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0490" windowHeight="70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06" sheetId="67" r:id="rId52"/>
    <sheet name="330" sheetId="24" r:id="rId53"/>
    <sheet name="307" sheetId="68" r:id="rId54"/>
    <sheet name="314" sheetId="73" r:id="rId55"/>
    <sheet name="308" sheetId="27" r:id="rId56"/>
    <sheet name="311" sheetId="70" r:id="rId57"/>
    <sheet name="324" sheetId="82" r:id="rId58"/>
    <sheet name="331" sheetId="30" r:id="rId59"/>
    <sheet name="315" sheetId="74" r:id="rId60"/>
    <sheet name="326" sheetId="84" r:id="rId61"/>
    <sheet name="332" sheetId="33" r:id="rId62"/>
    <sheet name="316" sheetId="75" r:id="rId63"/>
    <sheet name="320" sheetId="78" r:id="rId64"/>
    <sheet name="Div 6" sheetId="51" r:id="rId65"/>
    <sheet name="317" sheetId="76" r:id="rId66"/>
    <sheet name="310" sheetId="21" r:id="rId67"/>
    <sheet name="309" sheetId="69" r:id="rId68"/>
    <sheet name="313" sheetId="72" r:id="rId69"/>
    <sheet name="321" sheetId="79" r:id="rId70"/>
    <sheet name="322" sheetId="80" r:id="rId71"/>
    <sheet name="325" sheetId="83" r:id="rId72"/>
    <sheet name="327" sheetId="85" r:id="rId73"/>
    <sheet name="Div 4" sheetId="36" r:id="rId74"/>
    <sheet name="310 &amp; 491" sheetId="39" r:id="rId75"/>
    <sheet name="491" sheetId="42" r:id="rId76"/>
    <sheet name="405" sheetId="87" r:id="rId77"/>
    <sheet name="406" sheetId="88" r:id="rId78"/>
    <sheet name="411" sheetId="91" r:id="rId79"/>
    <sheet name="412" sheetId="92" r:id="rId80"/>
    <sheet name="413" sheetId="93" r:id="rId81"/>
    <sheet name="414" sheetId="94" r:id="rId82"/>
    <sheet name="415" sheetId="95" r:id="rId83"/>
    <sheet name="418" sheetId="97" r:id="rId84"/>
    <sheet name="420" sheetId="98" r:id="rId85"/>
    <sheet name="423" sheetId="99" r:id="rId86"/>
    <sheet name="424" sheetId="100" r:id="rId87"/>
    <sheet name="425" sheetId="101" r:id="rId88"/>
    <sheet name="455" sheetId="108" r:id="rId89"/>
    <sheet name="492" sheetId="45" r:id="rId90"/>
    <sheet name="430" sheetId="102" r:id="rId91"/>
    <sheet name="433" sheetId="103" r:id="rId92"/>
    <sheet name="435" sheetId="104" r:id="rId93"/>
    <sheet name="444" sheetId="105" r:id="rId94"/>
    <sheet name="450" sheetId="107" r:id="rId95"/>
    <sheet name="Div 5" sheetId="48" r:id="rId96"/>
    <sheet name="501" sheetId="109" r:id="rId97"/>
    <sheet name="Dept" sheetId="110" state="hidden" r:id="rId98"/>
    <sheet name="OSR_Dept_Y0WUKY" sheetId="111" state="hidden" r:id="rId99"/>
    <sheet name="OSR_Summary (...56e5d78f_5JEYZH" sheetId="112" state="hidden" r:id="rId100"/>
  </sheets>
  <definedNames>
    <definedName name="OSRRefD13x_0" localSheetId="48">'300'!$D$13:$D$105</definedName>
    <definedName name="OSRRefD13x_0" localSheetId="49">'300 &amp; 317'!$D$13:$D$123</definedName>
    <definedName name="OSRRefD13x_0" localSheetId="53">'307'!$D$13:$D$43</definedName>
    <definedName name="OSRRefD13x_0" localSheetId="55">'308'!$D$13:$D$41</definedName>
    <definedName name="OSRRefD13x_0" localSheetId="67">'309'!$D$13:$D$14</definedName>
    <definedName name="OSRRefD13x_0" localSheetId="66">'310'!$D$13:$D$21</definedName>
    <definedName name="OSRRefD13x_0" localSheetId="74">'310 &amp; 491'!$D$13:$D$28</definedName>
    <definedName name="OSRRefD13x_0" localSheetId="56">'311'!$D$13:$D$40</definedName>
    <definedName name="OSRRefD13x_0" localSheetId="68">'313'!$D$13:$D$18</definedName>
    <definedName name="OSRRefD13x_0" localSheetId="54">'314'!$D$13:$D$32</definedName>
    <definedName name="OSRRefD13x_0" localSheetId="59">'315'!$D$13:$D$50</definedName>
    <definedName name="OSRRefD13x_0" localSheetId="62">'316'!$D$13:$D$26</definedName>
    <definedName name="OSRRefD13x_0" localSheetId="65">'317'!$D$13:$D$37</definedName>
    <definedName name="OSRRefD13x_0" localSheetId="63">'320'!$D$13:$D$15</definedName>
    <definedName name="OSRRefD13x_0" localSheetId="69">'321'!$D$13:$D$14</definedName>
    <definedName name="OSRRefD13x_0" localSheetId="70">'322'!$D$13:$D$14</definedName>
    <definedName name="OSRRefD13x_0" localSheetId="57">'324'!$D$13:$D$15</definedName>
    <definedName name="OSRRefD13x_0" localSheetId="71">'325'!$D$13:$D$14</definedName>
    <definedName name="OSRRefD13x_0" localSheetId="60">'326'!$D$13:$D$38</definedName>
    <definedName name="OSRRefD13x_0" localSheetId="72">'327'!$D$13</definedName>
    <definedName name="OSRRefD13x_0" localSheetId="52">'330'!$D$13:$D$48</definedName>
    <definedName name="OSRRefD13x_0" localSheetId="58">'331'!$D$13:$D$54</definedName>
    <definedName name="OSRRefD13x_0" localSheetId="61">'332'!$D$13:$D$29</definedName>
    <definedName name="OSRRefD13x_0" localSheetId="76">'405'!$D$13:$D$14</definedName>
    <definedName name="OSRRefD13x_0" localSheetId="77">'406'!$D$13:$D$14</definedName>
    <definedName name="OSRRefD13x_0" localSheetId="79">'412'!$D$13:$D$14</definedName>
    <definedName name="OSRRefD13x_0" localSheetId="80">'413'!$D$13:$D$14</definedName>
    <definedName name="OSRRefD13x_0" localSheetId="81">'414'!$D$13:$D$14</definedName>
    <definedName name="OSRRefD13x_0" localSheetId="82">'415'!$D$13:$D$14</definedName>
    <definedName name="OSRRefD13x_0" localSheetId="83">'418'!$D$13:$D$14</definedName>
    <definedName name="OSRRefD13x_0" localSheetId="84">'420'!$D$13:$D$14</definedName>
    <definedName name="OSRRefD13x_0" localSheetId="86">'424'!$D$13</definedName>
    <definedName name="OSRRefD13x_0" localSheetId="87">'425'!$D$13:$D$15</definedName>
    <definedName name="OSRRefD13x_0" localSheetId="91">'433'!$D$13:$D$15</definedName>
    <definedName name="OSRRefD13x_0" localSheetId="92">'435'!$D$13:$D$15</definedName>
    <definedName name="OSRRefD13x_0" localSheetId="93">'444'!$D$13:$D$15</definedName>
    <definedName name="OSRRefD13x_0" localSheetId="94">'450'!$D$13:$D$15</definedName>
    <definedName name="OSRRefD13x_0" localSheetId="75">'491'!$D$13:$D$21</definedName>
    <definedName name="OSRRefD13x_0" localSheetId="89">'492'!$D$13:$D$17</definedName>
    <definedName name="OSRRefD13x_0" localSheetId="96">'501'!$D$13</definedName>
    <definedName name="OSRRefD13x_0" localSheetId="47">'Div 3'!$D$13:$D$108</definedName>
    <definedName name="OSRRefD13x_0" localSheetId="73">'Div 4'!$D$13:$D$22</definedName>
    <definedName name="OSRRefD13x_0" localSheetId="95">'Div 5'!$D$13</definedName>
    <definedName name="OSRRefD13x_0" localSheetId="64">'Div 6'!$D$13:$D$37</definedName>
    <definedName name="OSRRefD13x_0" localSheetId="2">Summary!$D$13:$D$133</definedName>
    <definedName name="OSRRefD16x_0" localSheetId="48">'300'!$D$108:$D$157</definedName>
    <definedName name="OSRRefD16x_0" localSheetId="49">'300 &amp; 317'!$D$126:$D$182</definedName>
    <definedName name="OSRRefD16x_0" localSheetId="53">'307'!$D$46:$D$65</definedName>
    <definedName name="OSRRefD16x_0" localSheetId="55">'308'!$D$44:$D$59</definedName>
    <definedName name="OSRRefD16x_0" localSheetId="67">'309'!$D$17:$D$18</definedName>
    <definedName name="OSRRefD16x_0" localSheetId="66">'310'!$D$24:$D$25</definedName>
    <definedName name="OSRRefD16x_0" localSheetId="74">'310 &amp; 491'!$D$31:$D$32</definedName>
    <definedName name="OSRRefD16x_0" localSheetId="56">'311'!$D$43:$D$58</definedName>
    <definedName name="OSRRefD16x_0" localSheetId="68">'313'!$D$21:$D$22</definedName>
    <definedName name="OSRRefD16x_0" localSheetId="54">'314'!$D$35:$D$49</definedName>
    <definedName name="OSRRefD16x_0" localSheetId="59">'315'!$D$53:$D$75</definedName>
    <definedName name="OSRRefD16x_0" localSheetId="65">'317'!$D$40:$D$52</definedName>
    <definedName name="OSRRefD16x_0" localSheetId="63">'320'!$D$18:$D$22</definedName>
    <definedName name="OSRRefD16x_0" localSheetId="69">'321'!$D$17:$D$18</definedName>
    <definedName name="OSRRefD16x_0" localSheetId="70">'322'!$D$17:$D$18</definedName>
    <definedName name="OSRRefD16x_0" localSheetId="57">'324'!$D$18:$D$19</definedName>
    <definedName name="OSRRefD16x_0" localSheetId="71">'325'!$D$17:$D$18</definedName>
    <definedName name="OSRRefD16x_0" localSheetId="60">'326'!$D$41:$D$55</definedName>
    <definedName name="OSRRefD16x_0" localSheetId="72">'327'!$D$16</definedName>
    <definedName name="OSRRefD16x_0" localSheetId="52">'330'!$D$51:$D$73</definedName>
    <definedName name="OSRRefD16x_0" localSheetId="58">'331'!$D$57:$D$83</definedName>
    <definedName name="OSRRefD16x_0" localSheetId="61">'332'!$D$32:$D$36</definedName>
    <definedName name="OSRRefD16x_0" localSheetId="76">'405'!$D$17:$D$18</definedName>
    <definedName name="OSRRefD16x_0" localSheetId="77">'406'!$D$17:$D$18</definedName>
    <definedName name="OSRRefD16x_0" localSheetId="79">'412'!$D$17</definedName>
    <definedName name="OSRRefD16x_0" localSheetId="80">'413'!$D$17:$D$18</definedName>
    <definedName name="OSRRefD16x_0" localSheetId="81">'414'!$D$17:$D$18</definedName>
    <definedName name="OSRRefD16x_0" localSheetId="82">'415'!$D$17:$D$18</definedName>
    <definedName name="OSRRefD16x_0" localSheetId="83">'418'!$D$17:$D$18</definedName>
    <definedName name="OSRRefD16x_0" localSheetId="84">'420'!$D$17</definedName>
    <definedName name="OSRRefD16x_0" localSheetId="85">'423'!$D$15</definedName>
    <definedName name="OSRRefD16x_0" localSheetId="86">'424'!$D$16:$D$17</definedName>
    <definedName name="OSRRefD16x_0" localSheetId="87">'425'!$D$18:$D$19</definedName>
    <definedName name="OSRRefD16x_0" localSheetId="91">'433'!$D$18:$D$19</definedName>
    <definedName name="OSRRefD16x_0" localSheetId="92">'435'!$D$18:$D$19</definedName>
    <definedName name="OSRRefD16x_0" localSheetId="93">'444'!$D$18:$D$19</definedName>
    <definedName name="OSRRefD16x_0" localSheetId="94">'450'!$D$18:$D$19</definedName>
    <definedName name="OSRRefD16x_0" localSheetId="75">'491'!$D$24:$D$25</definedName>
    <definedName name="OSRRefD16x_0" localSheetId="89">'492'!$D$20:$D$21</definedName>
    <definedName name="OSRRefD16x_0" localSheetId="47">'Div 3'!$D$111:$D$162</definedName>
    <definedName name="OSRRefD16x_0" localSheetId="73">'Div 4'!$D$25:$D$26</definedName>
    <definedName name="OSRRefD16x_0" localSheetId="64">'Div 6'!$D$40:$D$52</definedName>
    <definedName name="OSRRefD16x_0" localSheetId="2">Summary!$D$136:$D$194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'203'!$D$20:$D$29</definedName>
    <definedName name="OSRRefD22_0x_0" localSheetId="44">'204'!$D$20:$D$29</definedName>
    <definedName name="OSRRefD22_0x_0" localSheetId="45">'205'!$D$20:$D$27</definedName>
    <definedName name="OSRRefD22_0x_0" localSheetId="46">'206'!$D$20:$D$27</definedName>
    <definedName name="OSRRefD22_0x_0" localSheetId="48">'300'!$D$163:$D$172</definedName>
    <definedName name="OSRRefD22_0x_0" localSheetId="49">'300 &amp; 317'!$D$188:$D$197</definedName>
    <definedName name="OSRRefD22_0x_0" localSheetId="50">'301'!$D$20:$D$29</definedName>
    <definedName name="OSRRefD22_0x_0" localSheetId="51">'306'!$D$20:$D$28</definedName>
    <definedName name="OSRRefD22_0x_0" localSheetId="53">'307'!$D$71:$D$78</definedName>
    <definedName name="OSRRefD22_0x_0" localSheetId="55">'308'!$D$65:$D$73</definedName>
    <definedName name="OSRRefD22_0x_0" localSheetId="67">'309'!$D$24:$D$31</definedName>
    <definedName name="OSRRefD22_0x_0" localSheetId="66">'310'!$D$31:$D$38</definedName>
    <definedName name="OSRRefD22_0x_0" localSheetId="74">'310 &amp; 491'!$D$38:$D$46</definedName>
    <definedName name="OSRRefD22_0x_0" localSheetId="56">'311'!$D$64:$D$72</definedName>
    <definedName name="OSRRefD22_0x_0" localSheetId="68">'313'!$D$28:$D$35</definedName>
    <definedName name="OSRRefD22_0x_0" localSheetId="54">'314'!$D$55:$D$62</definedName>
    <definedName name="OSRRefD22_0x_0" localSheetId="59">'315'!$D$81:$D$88</definedName>
    <definedName name="OSRRefD22_0x_0" localSheetId="62">'316'!$D$34:$D$41</definedName>
    <definedName name="OSRRefD22_0x_0" localSheetId="65">'317'!$D$58:$D$66</definedName>
    <definedName name="OSRRefD22_0x_0" localSheetId="63">'320'!$D$28:$D$34</definedName>
    <definedName name="OSRRefD22_0x_0" localSheetId="69">'321'!$D$24:$D$31</definedName>
    <definedName name="OSRRefD22_0x_0" localSheetId="70">'322'!$D$24:$D$31</definedName>
    <definedName name="OSRRefD22_0x_0" localSheetId="71">'325'!$D$24:$D$31</definedName>
    <definedName name="OSRRefD22_0x_0" localSheetId="60">'326'!$D$61:$D$68</definedName>
    <definedName name="OSRRefD22_0x_0" localSheetId="72">'327'!$D$22</definedName>
    <definedName name="OSRRefD22_0x_0" localSheetId="52">'330'!$D$79:$D$86</definedName>
    <definedName name="OSRRefD22_0x_0" localSheetId="58">'331'!$D$89:$D$96</definedName>
    <definedName name="OSRRefD22_0x_0" localSheetId="61">'332'!$D$42:$D$49</definedName>
    <definedName name="OSRRefD22_0x_0" localSheetId="76">'405'!$D$24:$D$31</definedName>
    <definedName name="OSRRefD22_0x_0" localSheetId="77">'406'!$D$24:$D$31</definedName>
    <definedName name="OSRRefD22_0x_0" localSheetId="78">'411'!$D$20:$D$28</definedName>
    <definedName name="OSRRefD22_0x_0" localSheetId="79">'412'!$D$23:$D$30</definedName>
    <definedName name="OSRRefD22_0x_0" localSheetId="80">'413'!$D$24:$D$31</definedName>
    <definedName name="OSRRefD22_0x_0" localSheetId="81">'414'!$D$24:$D$31</definedName>
    <definedName name="OSRRefD22_0x_0" localSheetId="82">'415'!$D$24:$D$31</definedName>
    <definedName name="OSRRefD22_0x_0" localSheetId="83">'418'!$D$24:$D$31</definedName>
    <definedName name="OSRRefD22_0x_0" localSheetId="84">'420'!$D$23:$D$30</definedName>
    <definedName name="OSRRefD22_0x_0" localSheetId="85">'423'!$D$21:$D$28</definedName>
    <definedName name="OSRRefD22_0x_0" localSheetId="86">'424'!$D$23:$D$24</definedName>
    <definedName name="OSRRefD22_0x_0" localSheetId="87">'425'!$D$25:$D$33</definedName>
    <definedName name="OSRRefD22_0x_0" localSheetId="90">'430'!$D$20:$D$27</definedName>
    <definedName name="OSRRefD22_0x_0" localSheetId="91">'433'!$D$25:$D$33</definedName>
    <definedName name="OSRRefD22_0x_0" localSheetId="92">'435'!$D$25:$D$27</definedName>
    <definedName name="OSRRefD22_0x_0" localSheetId="93">'444'!$D$25:$D$33</definedName>
    <definedName name="OSRRefD22_0x_0" localSheetId="94">'450'!$D$25:$D$33</definedName>
    <definedName name="OSRRefD22_0x_0" localSheetId="88">'455'!$D$20:$D$26</definedName>
    <definedName name="OSRRefD22_0x_0" localSheetId="75">'491'!$D$31:$D$39</definedName>
    <definedName name="OSRRefD22_0x_0" localSheetId="89">'492'!$D$27:$D$35</definedName>
    <definedName name="OSRRefD22_0x_0" localSheetId="96">'501'!$D$21:$D$29</definedName>
    <definedName name="OSRRefD22_0x_0" localSheetId="39">'Div 2'!$D$20:$D$30</definedName>
    <definedName name="OSRRefD22_0x_0" localSheetId="47">'Div 3'!$D$168:$D$177</definedName>
    <definedName name="OSRRefD22_0x_0" localSheetId="73">'Div 4'!$D$32:$D$40</definedName>
    <definedName name="OSRRefD22_0x_0" localSheetId="95">'Div 5'!$D$21:$D$29</definedName>
    <definedName name="OSRRefD22_0x_0" localSheetId="64">'Div 6'!$D$58:$D$66</definedName>
    <definedName name="OSRRefD22_0x_0" localSheetId="2">Summary!$D$200:$D$209</definedName>
    <definedName name="OSRRefD22_10x_0" localSheetId="41">'201'!$D$51:$D$53</definedName>
    <definedName name="OSRRefD22_10x_0" localSheetId="42">'202'!$D$53</definedName>
    <definedName name="OSRRefD22_10x_0" localSheetId="43">'203'!$D$54:$D$55</definedName>
    <definedName name="OSRRefD22_10x_0" localSheetId="44">'204'!$D$56:$D$57</definedName>
    <definedName name="OSRRefD22_10x_0" localSheetId="48">'300'!$D$201:$D$202</definedName>
    <definedName name="OSRRefD22_10x_0" localSheetId="49">'300 &amp; 317'!$D$226:$D$227</definedName>
    <definedName name="OSRRefD22_10x_0" localSheetId="50">'301'!$D$58</definedName>
    <definedName name="OSRRefD22_10x_0" localSheetId="53">'307'!$D$107</definedName>
    <definedName name="OSRRefD22_10x_0" localSheetId="55">'308'!$D$102:$D$103</definedName>
    <definedName name="OSRRefD22_10x_0" localSheetId="67">'309'!$D$56:$D$58</definedName>
    <definedName name="OSRRefD22_10x_0" localSheetId="66">'310'!$D$64</definedName>
    <definedName name="OSRRefD22_10x_0" localSheetId="74">'310 &amp; 491'!$D$74:$D$75</definedName>
    <definedName name="OSRRefD22_10x_0" localSheetId="56">'311'!$D$101:$D$102</definedName>
    <definedName name="OSRRefD22_10x_0" localSheetId="68">'313'!$D$61:$D$65</definedName>
    <definedName name="OSRRefD22_10x_0" localSheetId="59">'315'!$D$121</definedName>
    <definedName name="OSRRefD22_10x_0" localSheetId="62">'316'!$D$67:$D$72</definedName>
    <definedName name="OSRRefD22_10x_0" localSheetId="65">'317'!$D$91:$D$93</definedName>
    <definedName name="OSRRefD22_10x_0" localSheetId="69">'321'!$D$62</definedName>
    <definedName name="OSRRefD22_10x_0" localSheetId="70">'322'!$D$57:$D$62</definedName>
    <definedName name="OSRRefD22_10x_0" localSheetId="71">'325'!$D$56</definedName>
    <definedName name="OSRRefD22_10x_0" localSheetId="60">'326'!$D$92</definedName>
    <definedName name="OSRRefD22_10x_0" localSheetId="52">'330'!$D$113</definedName>
    <definedName name="OSRRefD22_10x_0" localSheetId="58">'331'!$D$123</definedName>
    <definedName name="OSRRefD22_10x_0" localSheetId="61">'332'!$D$75</definedName>
    <definedName name="OSRRefD22_10x_0" localSheetId="76">'405'!$D$55:$D$56</definedName>
    <definedName name="OSRRefD22_10x_0" localSheetId="77">'406'!$D$57:$D$58</definedName>
    <definedName name="OSRRefD22_10x_0" localSheetId="78">'411'!$D$55</definedName>
    <definedName name="OSRRefD22_10x_0" localSheetId="79">'412'!$D$56:$D$57</definedName>
    <definedName name="OSRRefD22_10x_0" localSheetId="80">'413'!$D$63</definedName>
    <definedName name="OSRRefD22_10x_0" localSheetId="81">'414'!$D$56</definedName>
    <definedName name="OSRRefD22_10x_0" localSheetId="82">'415'!$D$56</definedName>
    <definedName name="OSRRefD22_10x_0" localSheetId="83">'418'!$D$57:$D$58</definedName>
    <definedName name="OSRRefD22_10x_0" localSheetId="86">'424'!$D$49</definedName>
    <definedName name="OSRRefD22_10x_0" localSheetId="87">'425'!$D$60</definedName>
    <definedName name="OSRRefD22_10x_0" localSheetId="91">'433'!$D$58</definedName>
    <definedName name="OSRRefD22_10x_0" localSheetId="93">'444'!$D$58</definedName>
    <definedName name="OSRRefD22_10x_0" localSheetId="94">'450'!$D$58</definedName>
    <definedName name="OSRRefD22_10x_0" localSheetId="75">'491'!$D$67</definedName>
    <definedName name="OSRRefD22_10x_0" localSheetId="89">'492'!$D$61</definedName>
    <definedName name="OSRRefD22_10x_0" localSheetId="96">'501'!$D$56</definedName>
    <definedName name="OSRRefD22_10x_0" localSheetId="39">'Div 2'!$D$57</definedName>
    <definedName name="OSRRefD22_10x_0" localSheetId="47">'Div 3'!$D$206:$D$207</definedName>
    <definedName name="OSRRefD22_10x_0" localSheetId="73">'Div 4'!$D$68</definedName>
    <definedName name="OSRRefD22_10x_0" localSheetId="95">'Div 5'!$D$56</definedName>
    <definedName name="OSRRefD22_10x_0" localSheetId="64">'Div 6'!$D$91:$D$93</definedName>
    <definedName name="OSRRefD22_10x_0" localSheetId="2">Summary!$D$239:$D$240</definedName>
    <definedName name="OSRRefD22_11x_0" localSheetId="41">'201'!$D$55</definedName>
    <definedName name="OSRRefD22_11x_0" localSheetId="42">'202'!$D$55:$D$57</definedName>
    <definedName name="OSRRefD22_11x_0" localSheetId="43">'203'!$D$57</definedName>
    <definedName name="OSRRefD22_11x_0" localSheetId="48">'300'!$D$204</definedName>
    <definedName name="OSRRefD22_11x_0" localSheetId="49">'300 &amp; 317'!$D$229</definedName>
    <definedName name="OSRRefD22_11x_0" localSheetId="50">'301'!$D$60</definedName>
    <definedName name="OSRRefD22_11x_0" localSheetId="53">'307'!$D$109</definedName>
    <definedName name="OSRRefD22_11x_0" localSheetId="55">'308'!$D$105:$D$107</definedName>
    <definedName name="OSRRefD22_11x_0" localSheetId="67">'309'!$D$60:$D$62</definedName>
    <definedName name="OSRRefD22_11x_0" localSheetId="66">'310'!$D$66</definedName>
    <definedName name="OSRRefD22_11x_0" localSheetId="74">'310 &amp; 491'!$D$77:$D$78</definedName>
    <definedName name="OSRRefD22_11x_0" localSheetId="56">'311'!$D$104:$D$106</definedName>
    <definedName name="OSRRefD22_11x_0" localSheetId="68">'313'!$D$67</definedName>
    <definedName name="OSRRefD22_11x_0" localSheetId="59">'315'!$D$123</definedName>
    <definedName name="OSRRefD22_11x_0" localSheetId="62">'316'!$D$74</definedName>
    <definedName name="OSRRefD22_11x_0" localSheetId="65">'317'!$D$95</definedName>
    <definedName name="OSRRefD22_11x_0" localSheetId="69">'321'!$D$64</definedName>
    <definedName name="OSRRefD22_11x_0" localSheetId="70">'322'!$D$64</definedName>
    <definedName name="OSRRefD22_11x_0" localSheetId="71">'325'!$D$58:$D$60</definedName>
    <definedName name="OSRRefD22_11x_0" localSheetId="60">'326'!$D$94</definedName>
    <definedName name="OSRRefD22_11x_0" localSheetId="52">'330'!$D$115:$D$118</definedName>
    <definedName name="OSRRefD22_11x_0" localSheetId="58">'331'!$D$125</definedName>
    <definedName name="OSRRefD22_11x_0" localSheetId="61">'332'!$D$77:$D$82</definedName>
    <definedName name="OSRRefD22_11x_0" localSheetId="76">'405'!$D$58</definedName>
    <definedName name="OSRRefD22_11x_0" localSheetId="77">'406'!$D$60:$D$64</definedName>
    <definedName name="OSRRefD22_11x_0" localSheetId="78">'411'!$D$57</definedName>
    <definedName name="OSRRefD22_11x_0" localSheetId="79">'412'!$D$59:$D$64</definedName>
    <definedName name="OSRRefD22_11x_0" localSheetId="81">'414'!$D$58</definedName>
    <definedName name="OSRRefD22_11x_0" localSheetId="82">'415'!$D$58:$D$61</definedName>
    <definedName name="OSRRefD22_11x_0" localSheetId="83">'418'!$D$60:$D$62</definedName>
    <definedName name="OSRRefD22_11x_0" localSheetId="86">'424'!$D$51:$D$54</definedName>
    <definedName name="OSRRefD22_11x_0" localSheetId="87">'425'!$D$62:$D$63</definedName>
    <definedName name="OSRRefD22_11x_0" localSheetId="91">'433'!$D$60:$D$62</definedName>
    <definedName name="OSRRefD22_11x_0" localSheetId="93">'444'!$D$60:$D$62</definedName>
    <definedName name="OSRRefD22_11x_0" localSheetId="94">'450'!$D$60</definedName>
    <definedName name="OSRRefD22_11x_0" localSheetId="75">'491'!$D$69:$D$70</definedName>
    <definedName name="OSRRefD22_11x_0" localSheetId="89">'492'!$D$63</definedName>
    <definedName name="OSRRefD22_11x_0" localSheetId="96">'501'!$D$58:$D$60</definedName>
    <definedName name="OSRRefD22_11x_0" localSheetId="39">'Div 2'!$D$59</definedName>
    <definedName name="OSRRefD22_11x_0" localSheetId="47">'Div 3'!$D$209</definedName>
    <definedName name="OSRRefD22_11x_0" localSheetId="73">'Div 4'!$D$70:$D$71</definedName>
    <definedName name="OSRRefD22_11x_0" localSheetId="95">'Div 5'!$D$58:$D$60</definedName>
    <definedName name="OSRRefD22_11x_0" localSheetId="64">'Div 6'!$D$95</definedName>
    <definedName name="OSRRefD22_11x_0" localSheetId="2">Summary!$D$242:$D$243</definedName>
    <definedName name="OSRRefD22_12x_0" localSheetId="41">'201'!$D$57:$D$60</definedName>
    <definedName name="OSRRefD22_12x_0" localSheetId="42">'202'!$D$59</definedName>
    <definedName name="OSRRefD22_12x_0" localSheetId="43">'203'!$D$59:$D$62</definedName>
    <definedName name="OSRRefD22_12x_0" localSheetId="48">'300'!$D$206</definedName>
    <definedName name="OSRRefD22_12x_0" localSheetId="49">'300 &amp; 317'!$D$231</definedName>
    <definedName name="OSRRefD22_12x_0" localSheetId="50">'301'!$D$62</definedName>
    <definedName name="OSRRefD22_12x_0" localSheetId="55">'308'!$D$109:$D$110</definedName>
    <definedName name="OSRRefD22_12x_0" localSheetId="67">'309'!$D$64</definedName>
    <definedName name="OSRRefD22_12x_0" localSheetId="66">'310'!$D$68</definedName>
    <definedName name="OSRRefD22_12x_0" localSheetId="74">'310 &amp; 491'!$D$80</definedName>
    <definedName name="OSRRefD22_12x_0" localSheetId="56">'311'!$D$108:$D$109</definedName>
    <definedName name="OSRRefD22_12x_0" localSheetId="68">'313'!$D$69</definedName>
    <definedName name="OSRRefD22_12x_0" localSheetId="59">'315'!$D$125:$D$126</definedName>
    <definedName name="OSRRefD22_12x_0" localSheetId="62">'316'!$D$76</definedName>
    <definedName name="OSRRefD22_12x_0" localSheetId="65">'317'!$D$97</definedName>
    <definedName name="OSRRefD22_12x_0" localSheetId="70">'322'!$D$66</definedName>
    <definedName name="OSRRefD22_12x_0" localSheetId="71">'325'!$D$62:$D$64</definedName>
    <definedName name="OSRRefD22_12x_0" localSheetId="60">'326'!$D$96:$D$97</definedName>
    <definedName name="OSRRefD22_12x_0" localSheetId="52">'330'!$D$120</definedName>
    <definedName name="OSRRefD22_12x_0" localSheetId="58">'331'!$D$127</definedName>
    <definedName name="OSRRefD22_12x_0" localSheetId="61">'332'!$D$84</definedName>
    <definedName name="OSRRefD22_12x_0" localSheetId="76">'405'!$D$60:$D$62</definedName>
    <definedName name="OSRRefD22_12x_0" localSheetId="77">'406'!$D$66</definedName>
    <definedName name="OSRRefD22_12x_0" localSheetId="78">'411'!$D$59:$D$60</definedName>
    <definedName name="OSRRefD22_12x_0" localSheetId="79">'412'!$D$66</definedName>
    <definedName name="OSRRefD22_12x_0" localSheetId="81">'414'!$D$60</definedName>
    <definedName name="OSRRefD22_12x_0" localSheetId="82">'415'!$D$63:$D$67</definedName>
    <definedName name="OSRRefD22_12x_0" localSheetId="83">'418'!$D$64:$D$66</definedName>
    <definedName name="OSRRefD22_12x_0" localSheetId="86">'424'!$D$56</definedName>
    <definedName name="OSRRefD22_12x_0" localSheetId="87">'425'!$D$65:$D$71</definedName>
    <definedName name="OSRRefD22_12x_0" localSheetId="91">'433'!$D$64:$D$66</definedName>
    <definedName name="OSRRefD22_12x_0" localSheetId="93">'444'!$D$64:$D$67</definedName>
    <definedName name="OSRRefD22_12x_0" localSheetId="94">'450'!$D$62</definedName>
    <definedName name="OSRRefD22_12x_0" localSheetId="75">'491'!$D$72</definedName>
    <definedName name="OSRRefD22_12x_0" localSheetId="89">'492'!$D$65:$D$67</definedName>
    <definedName name="OSRRefD22_12x_0" localSheetId="96">'501'!$D$62</definedName>
    <definedName name="OSRRefD22_12x_0" localSheetId="39">'Div 2'!$D$61:$D$64</definedName>
    <definedName name="OSRRefD22_12x_0" localSheetId="47">'Div 3'!$D$211</definedName>
    <definedName name="OSRRefD22_12x_0" localSheetId="73">'Div 4'!$D$73</definedName>
    <definedName name="OSRRefD22_12x_0" localSheetId="95">'Div 5'!$D$62</definedName>
    <definedName name="OSRRefD22_12x_0" localSheetId="64">'Div 6'!$D$97</definedName>
    <definedName name="OSRRefD22_12x_0" localSheetId="2">Summary!$D$245</definedName>
    <definedName name="OSRRefD22_13x_0" localSheetId="41">'201'!$D$62</definedName>
    <definedName name="OSRRefD22_13x_0" localSheetId="42">'202'!$D$61</definedName>
    <definedName name="OSRRefD22_13x_0" localSheetId="43">'203'!$D$64</definedName>
    <definedName name="OSRRefD22_13x_0" localSheetId="48">'300'!$D$208</definedName>
    <definedName name="OSRRefD22_13x_0" localSheetId="49">'300 &amp; 317'!$D$233</definedName>
    <definedName name="OSRRefD22_13x_0" localSheetId="50">'301'!$D$64</definedName>
    <definedName name="OSRRefD22_13x_0" localSheetId="55">'308'!$D$112</definedName>
    <definedName name="OSRRefD22_13x_0" localSheetId="66">'310'!$D$70</definedName>
    <definedName name="OSRRefD22_13x_0" localSheetId="74">'310 &amp; 491'!$D$82</definedName>
    <definedName name="OSRRefD22_13x_0" localSheetId="56">'311'!$D$111</definedName>
    <definedName name="OSRRefD22_13x_0" localSheetId="62">'316'!$D$78</definedName>
    <definedName name="OSRRefD22_13x_0" localSheetId="65">'317'!$D$99</definedName>
    <definedName name="OSRRefD22_13x_0" localSheetId="71">'325'!$D$66</definedName>
    <definedName name="OSRRefD22_13x_0" localSheetId="60">'326'!$D$99:$D$101</definedName>
    <definedName name="OSRRefD22_13x_0" localSheetId="52">'330'!$D$122</definedName>
    <definedName name="OSRRefD22_13x_0" localSheetId="58">'331'!$D$129:$D$130</definedName>
    <definedName name="OSRRefD22_13x_0" localSheetId="61">'332'!$D$86</definedName>
    <definedName name="OSRRefD22_13x_0" localSheetId="76">'405'!$D$64:$D$65</definedName>
    <definedName name="OSRRefD22_13x_0" localSheetId="77">'406'!$D$68</definedName>
    <definedName name="OSRRefD22_13x_0" localSheetId="78">'411'!$D$62:$D$66</definedName>
    <definedName name="OSRRefD22_13x_0" localSheetId="79">'412'!$D$68</definedName>
    <definedName name="OSRRefD22_13x_0" localSheetId="81">'414'!$D$62:$D$68</definedName>
    <definedName name="OSRRefD22_13x_0" localSheetId="82">'415'!$D$69:$D$70</definedName>
    <definedName name="OSRRefD22_13x_0" localSheetId="83">'418'!$D$68:$D$69</definedName>
    <definedName name="OSRRefD22_13x_0" localSheetId="87">'425'!$D$73</definedName>
    <definedName name="OSRRefD22_13x_0" localSheetId="91">'433'!$D$68:$D$75</definedName>
    <definedName name="OSRRefD22_13x_0" localSheetId="93">'444'!$D$69</definedName>
    <definedName name="OSRRefD22_13x_0" localSheetId="94">'450'!$D$64:$D$66</definedName>
    <definedName name="OSRRefD22_13x_0" localSheetId="75">'491'!$D$74</definedName>
    <definedName name="OSRRefD22_13x_0" localSheetId="89">'492'!$D$69:$D$72</definedName>
    <definedName name="OSRRefD22_13x_0" localSheetId="39">'Div 2'!$D$66:$D$68</definedName>
    <definedName name="OSRRefD22_13x_0" localSheetId="47">'Div 3'!$D$213</definedName>
    <definedName name="OSRRefD22_13x_0" localSheetId="73">'Div 4'!$D$75</definedName>
    <definedName name="OSRRefD22_13x_0" localSheetId="64">'Div 6'!$D$99</definedName>
    <definedName name="OSRRefD22_13x_0" localSheetId="2">Summary!$D$247</definedName>
    <definedName name="OSRRefD22_14x_0" localSheetId="41">'201'!$D$64</definedName>
    <definedName name="OSRRefD22_14x_0" localSheetId="42">'202'!$D$63</definedName>
    <definedName name="OSRRefD22_14x_0" localSheetId="43">'203'!$D$66</definedName>
    <definedName name="OSRRefD22_14x_0" localSheetId="48">'300'!$D$210</definedName>
    <definedName name="OSRRefD22_14x_0" localSheetId="49">'300 &amp; 317'!$D$235</definedName>
    <definedName name="OSRRefD22_14x_0" localSheetId="50">'301'!$D$66</definedName>
    <definedName name="OSRRefD22_14x_0" localSheetId="55">'308'!$D$114</definedName>
    <definedName name="OSRRefD22_14x_0" localSheetId="66">'310'!$D$72:$D$74</definedName>
    <definedName name="OSRRefD22_14x_0" localSheetId="74">'310 &amp; 491'!$D$84</definedName>
    <definedName name="OSRRefD22_14x_0" localSheetId="56">'311'!$D$113</definedName>
    <definedName name="OSRRefD22_14x_0" localSheetId="71">'325'!$D$68:$D$72</definedName>
    <definedName name="OSRRefD22_14x_0" localSheetId="60">'326'!$D$103:$D$104</definedName>
    <definedName name="OSRRefD22_14x_0" localSheetId="52">'330'!$D$124</definedName>
    <definedName name="OSRRefD22_14x_0" localSheetId="58">'331'!$D$132:$D$133</definedName>
    <definedName name="OSRRefD22_14x_0" localSheetId="61">'332'!$D$88</definedName>
    <definedName name="OSRRefD22_14x_0" localSheetId="76">'405'!$D$67:$D$73</definedName>
    <definedName name="OSRRefD22_14x_0" localSheetId="78">'411'!$D$68</definedName>
    <definedName name="OSRRefD22_14x_0" localSheetId="81">'414'!$D$70</definedName>
    <definedName name="OSRRefD22_14x_0" localSheetId="82">'415'!$D$72:$D$79</definedName>
    <definedName name="OSRRefD22_14x_0" localSheetId="83">'418'!$D$71:$D$77</definedName>
    <definedName name="OSRRefD22_14x_0" localSheetId="87">'425'!$D$75</definedName>
    <definedName name="OSRRefD22_14x_0" localSheetId="91">'433'!$D$77</definedName>
    <definedName name="OSRRefD22_14x_0" localSheetId="93">'444'!$D$71:$D$79</definedName>
    <definedName name="OSRRefD22_14x_0" localSheetId="94">'450'!$D$68:$D$73</definedName>
    <definedName name="OSRRefD22_14x_0" localSheetId="75">'491'!$D$76</definedName>
    <definedName name="OSRRefD22_14x_0" localSheetId="89">'492'!$D$74</definedName>
    <definedName name="OSRRefD22_14x_0" localSheetId="39">'Div 2'!$D$70:$D$71</definedName>
    <definedName name="OSRRefD22_14x_0" localSheetId="47">'Div 3'!$D$215</definedName>
    <definedName name="OSRRefD22_14x_0" localSheetId="73">'Div 4'!$D$77</definedName>
    <definedName name="OSRRefD22_14x_0" localSheetId="2">Summary!$D$249</definedName>
    <definedName name="OSRRefD22_15x_0" localSheetId="41">'201'!$D$66</definedName>
    <definedName name="OSRRefD22_15x_0" localSheetId="43">'203'!$D$68</definedName>
    <definedName name="OSRRefD22_15x_0" localSheetId="48">'300'!$D$212</definedName>
    <definedName name="OSRRefD22_15x_0" localSheetId="49">'300 &amp; 317'!$D$237</definedName>
    <definedName name="OSRRefD22_15x_0" localSheetId="50">'301'!$D$68:$D$71</definedName>
    <definedName name="OSRRefD22_15x_0" localSheetId="66">'310'!$D$76</definedName>
    <definedName name="OSRRefD22_15x_0" localSheetId="74">'310 &amp; 491'!$D$86</definedName>
    <definedName name="OSRRefD22_15x_0" localSheetId="71">'325'!$D$74</definedName>
    <definedName name="OSRRefD22_15x_0" localSheetId="60">'326'!$D$106:$D$111</definedName>
    <definedName name="OSRRefD22_15x_0" localSheetId="58">'331'!$D$135:$D$137</definedName>
    <definedName name="OSRRefD22_15x_0" localSheetId="76">'405'!$D$75</definedName>
    <definedName name="OSRRefD22_15x_0" localSheetId="78">'411'!$D$70:$D$76</definedName>
    <definedName name="OSRRefD22_15x_0" localSheetId="81">'414'!$D$72</definedName>
    <definedName name="OSRRefD22_15x_0" localSheetId="82">'415'!$D$81</definedName>
    <definedName name="OSRRefD22_15x_0" localSheetId="83">'418'!$D$79</definedName>
    <definedName name="OSRRefD22_15x_0" localSheetId="91">'433'!$D$79</definedName>
    <definedName name="OSRRefD22_15x_0" localSheetId="93">'444'!$D$81</definedName>
    <definedName name="OSRRefD22_15x_0" localSheetId="94">'450'!$D$75</definedName>
    <definedName name="OSRRefD22_15x_0" localSheetId="75">'491'!$D$78</definedName>
    <definedName name="OSRRefD22_15x_0" localSheetId="89">'492'!$D$76:$D$84</definedName>
    <definedName name="OSRRefD22_15x_0" localSheetId="39">'Div 2'!$D$73</definedName>
    <definedName name="OSRRefD22_15x_0" localSheetId="47">'Div 3'!$D$217</definedName>
    <definedName name="OSRRefD22_15x_0" localSheetId="73">'Div 4'!$D$79</definedName>
    <definedName name="OSRRefD22_15x_0" localSheetId="2">Summary!$D$251</definedName>
    <definedName name="OSRRefD22_16x_0" localSheetId="48">'300'!$D$214:$D$217</definedName>
    <definedName name="OSRRefD22_16x_0" localSheetId="49">'300 &amp; 317'!$D$239:$D$242</definedName>
    <definedName name="OSRRefD22_16x_0" localSheetId="50">'301'!$D$73:$D$75</definedName>
    <definedName name="OSRRefD22_16x_0" localSheetId="66">'310'!$D$78:$D$81</definedName>
    <definedName name="OSRRefD22_16x_0" localSheetId="74">'310 &amp; 491'!$D$88:$D$91</definedName>
    <definedName name="OSRRefD22_16x_0" localSheetId="71">'325'!$D$76</definedName>
    <definedName name="OSRRefD22_16x_0" localSheetId="60">'326'!$D$113</definedName>
    <definedName name="OSRRefD22_16x_0" localSheetId="58">'331'!$D$139:$D$140</definedName>
    <definedName name="OSRRefD22_16x_0" localSheetId="76">'405'!$D$77</definedName>
    <definedName name="OSRRefD22_16x_0" localSheetId="78">'411'!$D$78</definedName>
    <definedName name="OSRRefD22_16x_0" localSheetId="82">'415'!$D$83</definedName>
    <definedName name="OSRRefD22_16x_0" localSheetId="83">'418'!$D$81</definedName>
    <definedName name="OSRRefD22_16x_0" localSheetId="91">'433'!$D$81</definedName>
    <definedName name="OSRRefD22_16x_0" localSheetId="93">'444'!$D$83</definedName>
    <definedName name="OSRRefD22_16x_0" localSheetId="94">'450'!$D$77</definedName>
    <definedName name="OSRRefD22_16x_0" localSheetId="75">'491'!$D$80:$D$83</definedName>
    <definedName name="OSRRefD22_16x_0" localSheetId="89">'492'!$D$86</definedName>
    <definedName name="OSRRefD22_16x_0" localSheetId="39">'Div 2'!$D$75:$D$79</definedName>
    <definedName name="OSRRefD22_16x_0" localSheetId="47">'Div 3'!$D$219</definedName>
    <definedName name="OSRRefD22_16x_0" localSheetId="73">'Div 4'!$D$81</definedName>
    <definedName name="OSRRefD22_16x_0" localSheetId="2">Summary!$D$253</definedName>
    <definedName name="OSRRefD22_17x_0" localSheetId="48">'300'!$D$219:$D$221</definedName>
    <definedName name="OSRRefD22_17x_0" localSheetId="49">'300 &amp; 317'!$D$244:$D$246</definedName>
    <definedName name="OSRRefD22_17x_0" localSheetId="50">'301'!$D$77</definedName>
    <definedName name="OSRRefD22_17x_0" localSheetId="66">'310'!$D$83</definedName>
    <definedName name="OSRRefD22_17x_0" localSheetId="74">'310 &amp; 491'!$D$93:$D$94</definedName>
    <definedName name="OSRRefD22_17x_0" localSheetId="60">'326'!$D$115</definedName>
    <definedName name="OSRRefD22_17x_0" localSheetId="58">'331'!$D$142:$D$147</definedName>
    <definedName name="OSRRefD22_17x_0" localSheetId="76">'405'!$D$79</definedName>
    <definedName name="OSRRefD22_17x_0" localSheetId="78">'411'!$D$80</definedName>
    <definedName name="OSRRefD22_17x_0" localSheetId="82">'415'!$D$85</definedName>
    <definedName name="OSRRefD22_17x_0" localSheetId="93">'444'!$D$85</definedName>
    <definedName name="OSRRefD22_17x_0" localSheetId="94">'450'!$D$79</definedName>
    <definedName name="OSRRefD22_17x_0" localSheetId="75">'491'!$D$85:$D$86</definedName>
    <definedName name="OSRRefD22_17x_0" localSheetId="89">'492'!$D$88</definedName>
    <definedName name="OSRRefD22_17x_0" localSheetId="39">'Div 2'!$D$81:$D$82</definedName>
    <definedName name="OSRRefD22_17x_0" localSheetId="47">'Div 3'!$D$221:$D$224</definedName>
    <definedName name="OSRRefD22_17x_0" localSheetId="73">'Div 4'!$D$83:$D$86</definedName>
    <definedName name="OSRRefD22_17x_0" localSheetId="2">Summary!$D$255</definedName>
    <definedName name="OSRRefD22_18x_0" localSheetId="48">'300'!$D$223:$D$226</definedName>
    <definedName name="OSRRefD22_18x_0" localSheetId="49">'300 &amp; 317'!$D$248:$D$251</definedName>
    <definedName name="OSRRefD22_18x_0" localSheetId="50">'301'!$D$79:$D$84</definedName>
    <definedName name="OSRRefD22_18x_0" localSheetId="66">'310'!$D$85:$D$92</definedName>
    <definedName name="OSRRefD22_18x_0" localSheetId="74">'310 &amp; 491'!$D$96:$D$100</definedName>
    <definedName name="OSRRefD22_18x_0" localSheetId="60">'326'!$D$117</definedName>
    <definedName name="OSRRefD22_18x_0" localSheetId="58">'331'!$D$149</definedName>
    <definedName name="OSRRefD22_18x_0" localSheetId="78">'411'!$D$82:$D$84</definedName>
    <definedName name="OSRRefD22_18x_0" localSheetId="75">'491'!$D$88:$D$92</definedName>
    <definedName name="OSRRefD22_18x_0" localSheetId="89">'492'!$D$90</definedName>
    <definedName name="OSRRefD22_18x_0" localSheetId="39">'Div 2'!$D$84</definedName>
    <definedName name="OSRRefD22_18x_0" localSheetId="47">'Div 3'!$D$226:$D$228</definedName>
    <definedName name="OSRRefD22_18x_0" localSheetId="73">'Div 4'!$D$88:$D$89</definedName>
    <definedName name="OSRRefD22_18x_0" localSheetId="2">Summary!$D$257:$D$260</definedName>
    <definedName name="OSRRefD22_19x_0" localSheetId="48">'300'!$D$228:$D$229</definedName>
    <definedName name="OSRRefD22_19x_0" localSheetId="49">'300 &amp; 317'!$D$253:$D$254</definedName>
    <definedName name="OSRRefD22_19x_0" localSheetId="50">'301'!$D$86</definedName>
    <definedName name="OSRRefD22_19x_0" localSheetId="66">'310'!$D$94</definedName>
    <definedName name="OSRRefD22_19x_0" localSheetId="74">'310 &amp; 491'!$D$102:$D$103</definedName>
    <definedName name="OSRRefD22_19x_0" localSheetId="58">'331'!$D$151</definedName>
    <definedName name="OSRRefD22_19x_0" localSheetId="78">'411'!$D$86</definedName>
    <definedName name="OSRRefD22_19x_0" localSheetId="75">'491'!$D$94:$D$95</definedName>
    <definedName name="OSRRefD22_19x_0" localSheetId="39">'Div 2'!$D$86:$D$87</definedName>
    <definedName name="OSRRefD22_19x_0" localSheetId="47">'Div 3'!$D$230:$D$234</definedName>
    <definedName name="OSRRefD22_19x_0" localSheetId="73">'Div 4'!$D$91:$D$95</definedName>
    <definedName name="OSRRefD22_19x_0" localSheetId="2">Summary!$D$262:$D$264</definedName>
    <definedName name="OSRRefD22_1x_0" localSheetId="40">'200'!$D$22</definedName>
    <definedName name="OSRRefD22_1x_0" localSheetId="41">'201'!$D$29:$D$31</definedName>
    <definedName name="OSRRefD22_1x_0" localSheetId="42">'202'!$D$29:$D$32</definedName>
    <definedName name="OSRRefD22_1x_0" localSheetId="43">'203'!$D$31:$D$35</definedName>
    <definedName name="OSRRefD22_1x_0" localSheetId="44">'204'!$D$31:$D$35</definedName>
    <definedName name="OSRRefD22_1x_0" localSheetId="45">'205'!$D$29</definedName>
    <definedName name="OSRRefD22_1x_0" localSheetId="46">'206'!$D$29:$D$32</definedName>
    <definedName name="OSRRefD22_1x_0" localSheetId="48">'300'!$D$174:$D$180</definedName>
    <definedName name="OSRRefD22_1x_0" localSheetId="49">'300 &amp; 317'!$D$199:$D$205</definedName>
    <definedName name="OSRRefD22_1x_0" localSheetId="50">'301'!$D$31:$D$37</definedName>
    <definedName name="OSRRefD22_1x_0" localSheetId="51">'306'!$D$30:$D$35</definedName>
    <definedName name="OSRRefD22_1x_0" localSheetId="53">'307'!$D$80:$D$83</definedName>
    <definedName name="OSRRefD22_1x_0" localSheetId="55">'308'!$D$75:$D$81</definedName>
    <definedName name="OSRRefD22_1x_0" localSheetId="67">'309'!$D$33:$D$37</definedName>
    <definedName name="OSRRefD22_1x_0" localSheetId="66">'310'!$D$40:$D$45</definedName>
    <definedName name="OSRRefD22_1x_0" localSheetId="74">'310 &amp; 491'!$D$48:$D$54</definedName>
    <definedName name="OSRRefD22_1x_0" localSheetId="56">'311'!$D$74:$D$80</definedName>
    <definedName name="OSRRefD22_1x_0" localSheetId="68">'313'!$D$37:$D$41</definedName>
    <definedName name="OSRRefD22_1x_0" localSheetId="54">'314'!$D$64:$D$66</definedName>
    <definedName name="OSRRefD22_1x_0" localSheetId="59">'315'!$D$90:$D$95</definedName>
    <definedName name="OSRRefD22_1x_0" localSheetId="62">'316'!$D$43:$D$46</definedName>
    <definedName name="OSRRefD22_1x_0" localSheetId="65">'317'!$D$68:$D$72</definedName>
    <definedName name="OSRRefD22_1x_0" localSheetId="63">'320'!$D$36:$D$38</definedName>
    <definedName name="OSRRefD22_1x_0" localSheetId="69">'321'!$D$33:$D$37</definedName>
    <definedName name="OSRRefD22_1x_0" localSheetId="70">'322'!$D$33:$D$36</definedName>
    <definedName name="OSRRefD22_1x_0" localSheetId="71">'325'!$D$33:$D$37</definedName>
    <definedName name="OSRRefD22_1x_0" localSheetId="60">'326'!$D$70:$D$74</definedName>
    <definedName name="OSRRefD22_1x_0" localSheetId="72">'327'!$D$24</definedName>
    <definedName name="OSRRefD22_1x_0" localSheetId="52">'330'!$D$88:$D$92</definedName>
    <definedName name="OSRRefD22_1x_0" localSheetId="58">'331'!$D$98:$D$103</definedName>
    <definedName name="OSRRefD22_1x_0" localSheetId="61">'332'!$D$51:$D$54</definedName>
    <definedName name="OSRRefD22_1x_0" localSheetId="76">'405'!$D$33:$D$36</definedName>
    <definedName name="OSRRefD22_1x_0" localSheetId="77">'406'!$D$33:$D$37</definedName>
    <definedName name="OSRRefD22_1x_0" localSheetId="78">'411'!$D$30:$D$35</definedName>
    <definedName name="OSRRefD22_1x_0" localSheetId="79">'412'!$D$32:$D$37</definedName>
    <definedName name="OSRRefD22_1x_0" localSheetId="80">'413'!$D$33:$D$36</definedName>
    <definedName name="OSRRefD22_1x_0" localSheetId="81">'414'!$D$33:$D$37</definedName>
    <definedName name="OSRRefD22_1x_0" localSheetId="82">'415'!$D$33:$D$37</definedName>
    <definedName name="OSRRefD22_1x_0" localSheetId="83">'418'!$D$33:$D$38</definedName>
    <definedName name="OSRRefD22_1x_0" localSheetId="84">'420'!$D$32:$D$35</definedName>
    <definedName name="OSRRefD22_1x_0" localSheetId="85">'423'!$D$30</definedName>
    <definedName name="OSRRefD22_1x_0" localSheetId="86">'424'!$D$26:$D$30</definedName>
    <definedName name="OSRRefD22_1x_0" localSheetId="87">'425'!$D$35:$D$40</definedName>
    <definedName name="OSRRefD22_1x_0" localSheetId="90">'430'!$D$29</definedName>
    <definedName name="OSRRefD22_1x_0" localSheetId="91">'433'!$D$35:$D$40</definedName>
    <definedName name="OSRRefD22_1x_0" localSheetId="92">'435'!$D$29:$D$31</definedName>
    <definedName name="OSRRefD22_1x_0" localSheetId="93">'444'!$D$35:$D$40</definedName>
    <definedName name="OSRRefD22_1x_0" localSheetId="94">'450'!$D$35:$D$40</definedName>
    <definedName name="OSRRefD22_1x_0" localSheetId="88">'455'!$D$28:$D$29</definedName>
    <definedName name="OSRRefD22_1x_0" localSheetId="75">'491'!$D$41:$D$47</definedName>
    <definedName name="OSRRefD22_1x_0" localSheetId="89">'492'!$D$37:$D$43</definedName>
    <definedName name="OSRRefD22_1x_0" localSheetId="96">'501'!$D$31:$D$35</definedName>
    <definedName name="OSRRefD22_1x_0" localSheetId="39">'Div 2'!$D$32:$D$38</definedName>
    <definedName name="OSRRefD22_1x_0" localSheetId="47">'Div 3'!$D$179:$D$185</definedName>
    <definedName name="OSRRefD22_1x_0" localSheetId="73">'Div 4'!$D$42:$D$48</definedName>
    <definedName name="OSRRefD22_1x_0" localSheetId="95">'Div 5'!$D$31:$D$35</definedName>
    <definedName name="OSRRefD22_1x_0" localSheetId="64">'Div 6'!$D$68:$D$72</definedName>
    <definedName name="OSRRefD22_1x_0" localSheetId="2">Summary!$D$211:$D$217</definedName>
    <definedName name="OSRRefD22_20x_0" localSheetId="48">'300'!$D$231:$D$237</definedName>
    <definedName name="OSRRefD22_20x_0" localSheetId="49">'300 &amp; 317'!$D$256:$D$262</definedName>
    <definedName name="OSRRefD22_20x_0" localSheetId="50">'301'!$D$88</definedName>
    <definedName name="OSRRefD22_20x_0" localSheetId="66">'310'!$D$96</definedName>
    <definedName name="OSRRefD22_20x_0" localSheetId="74">'310 &amp; 491'!$D$105:$D$113</definedName>
    <definedName name="OSRRefD22_20x_0" localSheetId="58">'331'!$D$153:$D$154</definedName>
    <definedName name="OSRRefD22_20x_0" localSheetId="75">'491'!$D$97:$D$105</definedName>
    <definedName name="OSRRefD22_20x_0" localSheetId="47">'Div 3'!$D$236:$D$237</definedName>
    <definedName name="OSRRefD22_20x_0" localSheetId="73">'Div 4'!$D$97:$D$98</definedName>
    <definedName name="OSRRefD22_20x_0" localSheetId="2">Summary!$D$266:$D$270</definedName>
    <definedName name="OSRRefD22_21x_0" localSheetId="48">'300'!$D$239:$D$240</definedName>
    <definedName name="OSRRefD22_21x_0" localSheetId="49">'300 &amp; 317'!$D$264:$D$265</definedName>
    <definedName name="OSRRefD22_21x_0" localSheetId="50">'301'!$D$90:$D$92</definedName>
    <definedName name="OSRRefD22_21x_0" localSheetId="66">'310'!$D$98</definedName>
    <definedName name="OSRRefD22_21x_0" localSheetId="74">'310 &amp; 491'!$D$115</definedName>
    <definedName name="OSRRefD22_21x_0" localSheetId="58">'331'!$D$156</definedName>
    <definedName name="OSRRefD22_21x_0" localSheetId="75">'491'!$D$107</definedName>
    <definedName name="OSRRefD22_21x_0" localSheetId="47">'Div 3'!$D$239:$D$246</definedName>
    <definedName name="OSRRefD22_21x_0" localSheetId="73">'Div 4'!$D$100:$D$108</definedName>
    <definedName name="OSRRefD22_21x_0" localSheetId="2">Summary!$D$272:$D$273</definedName>
    <definedName name="OSRRefD22_22x_0" localSheetId="48">'300'!$D$242</definedName>
    <definedName name="OSRRefD22_22x_0" localSheetId="49">'300 &amp; 317'!$D$267</definedName>
    <definedName name="OSRRefD22_22x_0" localSheetId="50">'301'!$D$94</definedName>
    <definedName name="OSRRefD22_22x_0" localSheetId="74">'310 &amp; 491'!$D$117</definedName>
    <definedName name="OSRRefD22_22x_0" localSheetId="75">'491'!$D$109</definedName>
    <definedName name="OSRRefD22_22x_0" localSheetId="47">'Div 3'!$D$248:$D$249</definedName>
    <definedName name="OSRRefD22_22x_0" localSheetId="73">'Div 4'!$D$110</definedName>
    <definedName name="OSRRefD22_22x_0" localSheetId="2">Summary!$D$275:$D$283</definedName>
    <definedName name="OSRRefD22_23x_0" localSheetId="48">'300'!$D$244:$D$246</definedName>
    <definedName name="OSRRefD22_23x_0" localSheetId="49">'300 &amp; 317'!$D$269:$D$271</definedName>
    <definedName name="OSRRefD22_23x_0" localSheetId="74">'310 &amp; 491'!$D$119:$D$121</definedName>
    <definedName name="OSRRefD22_23x_0" localSheetId="75">'491'!$D$111:$D$113</definedName>
    <definedName name="OSRRefD22_23x_0" localSheetId="47">'Div 3'!$D$251</definedName>
    <definedName name="OSRRefD22_23x_0" localSheetId="73">'Div 4'!$D$112</definedName>
    <definedName name="OSRRefD22_23x_0" localSheetId="2">Summary!$D$285:$D$286</definedName>
    <definedName name="OSRRefD22_24x_0" localSheetId="48">'300'!$D$248</definedName>
    <definedName name="OSRRefD22_24x_0" localSheetId="49">'300 &amp; 317'!$D$273</definedName>
    <definedName name="OSRRefD22_24x_0" localSheetId="74">'310 &amp; 491'!$D$123</definedName>
    <definedName name="OSRRefD22_24x_0" localSheetId="75">'491'!$D$115</definedName>
    <definedName name="OSRRefD22_24x_0" localSheetId="47">'Div 3'!$D$253:$D$255</definedName>
    <definedName name="OSRRefD22_24x_0" localSheetId="73">'Div 4'!$D$114:$D$116</definedName>
    <definedName name="OSRRefD22_24x_0" localSheetId="2">Summary!$D$288</definedName>
    <definedName name="OSRRefD22_25x_0" localSheetId="47">'Div 3'!$D$257</definedName>
    <definedName name="OSRRefD22_25x_0" localSheetId="73">'Div 4'!$D$118</definedName>
    <definedName name="OSRRefD22_25x_0" localSheetId="2">Summary!$D$290:$D$292</definedName>
    <definedName name="OSRRefD22_26x_0" localSheetId="2">Summary!$D$294</definedName>
    <definedName name="OSRRefD22_2x_0" localSheetId="40">'200'!$D$24</definedName>
    <definedName name="OSRRefD22_2x_0" localSheetId="41">'201'!$D$33</definedName>
    <definedName name="OSRRefD22_2x_0" localSheetId="42">'202'!$D$34</definedName>
    <definedName name="OSRRefD22_2x_0" localSheetId="43">'203'!$D$37</definedName>
    <definedName name="OSRRefD22_2x_0" localSheetId="44">'204'!$D$37</definedName>
    <definedName name="OSRRefD22_2x_0" localSheetId="45">'205'!$D$31</definedName>
    <definedName name="OSRRefD22_2x_0" localSheetId="46">'206'!$D$34</definedName>
    <definedName name="OSRRefD22_2x_0" localSheetId="48">'300'!$D$182</definedName>
    <definedName name="OSRRefD22_2x_0" localSheetId="49">'300 &amp; 317'!$D$207</definedName>
    <definedName name="OSRRefD22_2x_0" localSheetId="50">'301'!$D$39</definedName>
    <definedName name="OSRRefD22_2x_0" localSheetId="51">'306'!$D$37</definedName>
    <definedName name="OSRRefD22_2x_0" localSheetId="53">'307'!$D$85</definedName>
    <definedName name="OSRRefD22_2x_0" localSheetId="55">'308'!$D$83</definedName>
    <definedName name="OSRRefD22_2x_0" localSheetId="67">'309'!$D$39</definedName>
    <definedName name="OSRRefD22_2x_0" localSheetId="66">'310'!$D$47</definedName>
    <definedName name="OSRRefD22_2x_0" localSheetId="74">'310 &amp; 491'!$D$56</definedName>
    <definedName name="OSRRefD22_2x_0" localSheetId="56">'311'!$D$82</definedName>
    <definedName name="OSRRefD22_2x_0" localSheetId="68">'313'!$D$43</definedName>
    <definedName name="OSRRefD22_2x_0" localSheetId="54">'314'!$D$68</definedName>
    <definedName name="OSRRefD22_2x_0" localSheetId="59">'315'!$D$97</definedName>
    <definedName name="OSRRefD22_2x_0" localSheetId="62">'316'!$D$48</definedName>
    <definedName name="OSRRefD22_2x_0" localSheetId="65">'317'!$D$74</definedName>
    <definedName name="OSRRefD22_2x_0" localSheetId="63">'320'!$D$40</definedName>
    <definedName name="OSRRefD22_2x_0" localSheetId="69">'321'!$D$39</definedName>
    <definedName name="OSRRefD22_2x_0" localSheetId="70">'322'!$D$38</definedName>
    <definedName name="OSRRefD22_2x_0" localSheetId="71">'325'!$D$39</definedName>
    <definedName name="OSRRefD22_2x_0" localSheetId="60">'326'!$D$76</definedName>
    <definedName name="OSRRefD22_2x_0" localSheetId="72">'327'!$D$26</definedName>
    <definedName name="OSRRefD22_2x_0" localSheetId="52">'330'!$D$94</definedName>
    <definedName name="OSRRefD22_2x_0" localSheetId="58">'331'!$D$105</definedName>
    <definedName name="OSRRefD22_2x_0" localSheetId="61">'332'!$D$56</definedName>
    <definedName name="OSRRefD22_2x_0" localSheetId="76">'405'!$D$38</definedName>
    <definedName name="OSRRefD22_2x_0" localSheetId="77">'406'!$D$39</definedName>
    <definedName name="OSRRefD22_2x_0" localSheetId="78">'411'!$D$37</definedName>
    <definedName name="OSRRefD22_2x_0" localSheetId="79">'412'!$D$39</definedName>
    <definedName name="OSRRefD22_2x_0" localSheetId="80">'413'!$D$38</definedName>
    <definedName name="OSRRefD22_2x_0" localSheetId="81">'414'!$D$39</definedName>
    <definedName name="OSRRefD22_2x_0" localSheetId="82">'415'!$D$39</definedName>
    <definedName name="OSRRefD22_2x_0" localSheetId="83">'418'!$D$40</definedName>
    <definedName name="OSRRefD22_2x_0" localSheetId="84">'420'!$D$37</definedName>
    <definedName name="OSRRefD22_2x_0" localSheetId="85">'423'!$D$32</definedName>
    <definedName name="OSRRefD22_2x_0" localSheetId="86">'424'!$D$32</definedName>
    <definedName name="OSRRefD22_2x_0" localSheetId="87">'425'!$D$42</definedName>
    <definedName name="OSRRefD22_2x_0" localSheetId="90">'430'!$D$31</definedName>
    <definedName name="OSRRefD22_2x_0" localSheetId="91">'433'!$D$42</definedName>
    <definedName name="OSRRefD22_2x_0" localSheetId="92">'435'!$D$33</definedName>
    <definedName name="OSRRefD22_2x_0" localSheetId="93">'444'!$D$42</definedName>
    <definedName name="OSRRefD22_2x_0" localSheetId="94">'450'!$D$42</definedName>
    <definedName name="OSRRefD22_2x_0" localSheetId="75">'491'!$D$49</definedName>
    <definedName name="OSRRefD22_2x_0" localSheetId="89">'492'!$D$45</definedName>
    <definedName name="OSRRefD22_2x_0" localSheetId="96">'501'!$D$37</definedName>
    <definedName name="OSRRefD22_2x_0" localSheetId="39">'Div 2'!$D$40</definedName>
    <definedName name="OSRRefD22_2x_0" localSheetId="47">'Div 3'!$D$187</definedName>
    <definedName name="OSRRefD22_2x_0" localSheetId="73">'Div 4'!$D$50</definedName>
    <definedName name="OSRRefD22_2x_0" localSheetId="95">'Div 5'!$D$37</definedName>
    <definedName name="OSRRefD22_2x_0" localSheetId="64">'Div 6'!$D$74</definedName>
    <definedName name="OSRRefD22_2x_0" localSheetId="2">Summary!$D$219</definedName>
    <definedName name="OSRRefD22_3x_0" localSheetId="40">'200'!$D$26</definedName>
    <definedName name="OSRRefD22_3x_0" localSheetId="41">'201'!$D$35</definedName>
    <definedName name="OSRRefD22_3x_0" localSheetId="42">'202'!$D$36</definedName>
    <definedName name="OSRRefD22_3x_0" localSheetId="43">'203'!$D$39</definedName>
    <definedName name="OSRRefD22_3x_0" localSheetId="44">'204'!$D$39</definedName>
    <definedName name="OSRRefD22_3x_0" localSheetId="45">'205'!$D$33</definedName>
    <definedName name="OSRRefD22_3x_0" localSheetId="46">'206'!$D$36</definedName>
    <definedName name="OSRRefD22_3x_0" localSheetId="48">'300'!$D$184:$D$185</definedName>
    <definedName name="OSRRefD22_3x_0" localSheetId="49">'300 &amp; 317'!$D$209:$D$210</definedName>
    <definedName name="OSRRefD22_3x_0" localSheetId="50">'301'!$D$41:$D$42</definedName>
    <definedName name="OSRRefD22_3x_0" localSheetId="51">'306'!$D$39</definedName>
    <definedName name="OSRRefD22_3x_0" localSheetId="53">'307'!$D$87</definedName>
    <definedName name="OSRRefD22_3x_0" localSheetId="55">'308'!$D$85:$D$86</definedName>
    <definedName name="OSRRefD22_3x_0" localSheetId="67">'309'!$D$41</definedName>
    <definedName name="OSRRefD22_3x_0" localSheetId="66">'310'!$D$49</definedName>
    <definedName name="OSRRefD22_3x_0" localSheetId="74">'310 &amp; 491'!$D$58</definedName>
    <definedName name="OSRRefD22_3x_0" localSheetId="56">'311'!$D$84:$D$85</definedName>
    <definedName name="OSRRefD22_3x_0" localSheetId="68">'313'!$D$45</definedName>
    <definedName name="OSRRefD22_3x_0" localSheetId="54">'314'!$D$70:$D$71</definedName>
    <definedName name="OSRRefD22_3x_0" localSheetId="59">'315'!$D$99:$D$100</definedName>
    <definedName name="OSRRefD22_3x_0" localSheetId="62">'316'!$D$50</definedName>
    <definedName name="OSRRefD22_3x_0" localSheetId="65">'317'!$D$76</definedName>
    <definedName name="OSRRefD22_3x_0" localSheetId="63">'320'!$D$42</definedName>
    <definedName name="OSRRefD22_3x_0" localSheetId="69">'321'!$D$41</definedName>
    <definedName name="OSRRefD22_3x_0" localSheetId="70">'322'!$D$40</definedName>
    <definedName name="OSRRefD22_3x_0" localSheetId="71">'325'!$D$41</definedName>
    <definedName name="OSRRefD22_3x_0" localSheetId="60">'326'!$D$78</definedName>
    <definedName name="OSRRefD22_3x_0" localSheetId="52">'330'!$D$96</definedName>
    <definedName name="OSRRefD22_3x_0" localSheetId="58">'331'!$D$107</definedName>
    <definedName name="OSRRefD22_3x_0" localSheetId="61">'332'!$D$58</definedName>
    <definedName name="OSRRefD22_3x_0" localSheetId="76">'405'!$D$40</definedName>
    <definedName name="OSRRefD22_3x_0" localSheetId="77">'406'!$D$41</definedName>
    <definedName name="OSRRefD22_3x_0" localSheetId="78">'411'!$D$39</definedName>
    <definedName name="OSRRefD22_3x_0" localSheetId="79">'412'!$D$41</definedName>
    <definedName name="OSRRefD22_3x_0" localSheetId="80">'413'!$D$40</definedName>
    <definedName name="OSRRefD22_3x_0" localSheetId="81">'414'!$D$41</definedName>
    <definedName name="OSRRefD22_3x_0" localSheetId="82">'415'!$D$41</definedName>
    <definedName name="OSRRefD22_3x_0" localSheetId="83">'418'!$D$42</definedName>
    <definedName name="OSRRefD22_3x_0" localSheetId="84">'420'!$D$39</definedName>
    <definedName name="OSRRefD22_3x_0" localSheetId="85">'423'!$D$34</definedName>
    <definedName name="OSRRefD22_3x_0" localSheetId="86">'424'!$D$34</definedName>
    <definedName name="OSRRefD22_3x_0" localSheetId="87">'425'!$D$44</definedName>
    <definedName name="OSRRefD22_3x_0" localSheetId="90">'430'!$D$33</definedName>
    <definedName name="OSRRefD22_3x_0" localSheetId="91">'433'!$D$44</definedName>
    <definedName name="OSRRefD22_3x_0" localSheetId="92">'435'!$D$35</definedName>
    <definedName name="OSRRefD22_3x_0" localSheetId="93">'444'!$D$44</definedName>
    <definedName name="OSRRefD22_3x_0" localSheetId="94">'450'!$D$44</definedName>
    <definedName name="OSRRefD22_3x_0" localSheetId="75">'491'!$D$51</definedName>
    <definedName name="OSRRefD22_3x_0" localSheetId="89">'492'!$D$47</definedName>
    <definedName name="OSRRefD22_3x_0" localSheetId="96">'501'!$D$39</definedName>
    <definedName name="OSRRefD22_3x_0" localSheetId="39">'Div 2'!$D$42</definedName>
    <definedName name="OSRRefD22_3x_0" localSheetId="47">'Div 3'!$D$189:$D$190</definedName>
    <definedName name="OSRRefD22_3x_0" localSheetId="73">'Div 4'!$D$52</definedName>
    <definedName name="OSRRefD22_3x_0" localSheetId="95">'Div 5'!$D$39</definedName>
    <definedName name="OSRRefD22_3x_0" localSheetId="64">'Div 6'!$D$76</definedName>
    <definedName name="OSRRefD22_3x_0" localSheetId="2">Summary!$D$221:$D$222</definedName>
    <definedName name="OSRRefD22_4x_0" localSheetId="40">'200'!$D$28:$D$29</definedName>
    <definedName name="OSRRefD22_4x_0" localSheetId="41">'201'!$D$37</definedName>
    <definedName name="OSRRefD22_4x_0" localSheetId="42">'202'!$D$38</definedName>
    <definedName name="OSRRefD22_4x_0" localSheetId="43">'203'!$D$41</definedName>
    <definedName name="OSRRefD22_4x_0" localSheetId="44">'204'!$D$41</definedName>
    <definedName name="OSRRefD22_4x_0" localSheetId="45">'205'!$D$35:$D$36</definedName>
    <definedName name="OSRRefD22_4x_0" localSheetId="46">'206'!$D$38</definedName>
    <definedName name="OSRRefD22_4x_0" localSheetId="48">'300'!$D$187</definedName>
    <definedName name="OSRRefD22_4x_0" localSheetId="49">'300 &amp; 317'!$D$212</definedName>
    <definedName name="OSRRefD22_4x_0" localSheetId="50">'301'!$D$44</definedName>
    <definedName name="OSRRefD22_4x_0" localSheetId="51">'306'!$D$41</definedName>
    <definedName name="OSRRefD22_4x_0" localSheetId="53">'307'!$D$89:$D$90</definedName>
    <definedName name="OSRRefD22_4x_0" localSheetId="55">'308'!$D$88</definedName>
    <definedName name="OSRRefD22_4x_0" localSheetId="67">'309'!$D$43</definedName>
    <definedName name="OSRRefD22_4x_0" localSheetId="66">'310'!$D$51</definedName>
    <definedName name="OSRRefD22_4x_0" localSheetId="74">'310 &amp; 491'!$D$60</definedName>
    <definedName name="OSRRefD22_4x_0" localSheetId="56">'311'!$D$87</definedName>
    <definedName name="OSRRefD22_4x_0" localSheetId="68">'313'!$D$47</definedName>
    <definedName name="OSRRefD22_4x_0" localSheetId="54">'314'!$D$73</definedName>
    <definedName name="OSRRefD22_4x_0" localSheetId="59">'315'!$D$102</definedName>
    <definedName name="OSRRefD22_4x_0" localSheetId="62">'316'!$D$52</definedName>
    <definedName name="OSRRefD22_4x_0" localSheetId="65">'317'!$D$78</definedName>
    <definedName name="OSRRefD22_4x_0" localSheetId="63">'320'!$D$44:$D$45</definedName>
    <definedName name="OSRRefD22_4x_0" localSheetId="69">'321'!$D$43</definedName>
    <definedName name="OSRRefD22_4x_0" localSheetId="70">'322'!$D$42</definedName>
    <definedName name="OSRRefD22_4x_0" localSheetId="71">'325'!$D$43</definedName>
    <definedName name="OSRRefD22_4x_0" localSheetId="60">'326'!$D$80</definedName>
    <definedName name="OSRRefD22_4x_0" localSheetId="52">'330'!$D$98:$D$99</definedName>
    <definedName name="OSRRefD22_4x_0" localSheetId="58">'331'!$D$109</definedName>
    <definedName name="OSRRefD22_4x_0" localSheetId="61">'332'!$D$60</definedName>
    <definedName name="OSRRefD22_4x_0" localSheetId="76">'405'!$D$42</definedName>
    <definedName name="OSRRefD22_4x_0" localSheetId="77">'406'!$D$43</definedName>
    <definedName name="OSRRefD22_4x_0" localSheetId="78">'411'!$D$41:$D$43</definedName>
    <definedName name="OSRRefD22_4x_0" localSheetId="79">'412'!$D$43</definedName>
    <definedName name="OSRRefD22_4x_0" localSheetId="80">'413'!$D$42</definedName>
    <definedName name="OSRRefD22_4x_0" localSheetId="81">'414'!$D$43</definedName>
    <definedName name="OSRRefD22_4x_0" localSheetId="82">'415'!$D$43</definedName>
    <definedName name="OSRRefD22_4x_0" localSheetId="83">'418'!$D$44</definedName>
    <definedName name="OSRRefD22_4x_0" localSheetId="84">'420'!$D$41</definedName>
    <definedName name="OSRRefD22_4x_0" localSheetId="85">'423'!$D$36</definedName>
    <definedName name="OSRRefD22_4x_0" localSheetId="86">'424'!$D$36</definedName>
    <definedName name="OSRRefD22_4x_0" localSheetId="87">'425'!$D$46</definedName>
    <definedName name="OSRRefD22_4x_0" localSheetId="90">'430'!$D$35:$D$36</definedName>
    <definedName name="OSRRefD22_4x_0" localSheetId="91">'433'!$D$46</definedName>
    <definedName name="OSRRefD22_4x_0" localSheetId="92">'435'!$D$37</definedName>
    <definedName name="OSRRefD22_4x_0" localSheetId="93">'444'!$D$46</definedName>
    <definedName name="OSRRefD22_4x_0" localSheetId="94">'450'!$D$46</definedName>
    <definedName name="OSRRefD22_4x_0" localSheetId="75">'491'!$D$53</definedName>
    <definedName name="OSRRefD22_4x_0" localSheetId="89">'492'!$D$49</definedName>
    <definedName name="OSRRefD22_4x_0" localSheetId="96">'501'!$D$41</definedName>
    <definedName name="OSRRefD22_4x_0" localSheetId="39">'Div 2'!$D$44</definedName>
    <definedName name="OSRRefD22_4x_0" localSheetId="47">'Div 3'!$D$192</definedName>
    <definedName name="OSRRefD22_4x_0" localSheetId="73">'Div 4'!$D$54</definedName>
    <definedName name="OSRRefD22_4x_0" localSheetId="95">'Div 5'!$D$41</definedName>
    <definedName name="OSRRefD22_4x_0" localSheetId="64">'Div 6'!$D$78</definedName>
    <definedName name="OSRRefD22_4x_0" localSheetId="2">Summary!$D$224</definedName>
    <definedName name="OSRRefD22_5x_0" localSheetId="41">'201'!$D$39</definedName>
    <definedName name="OSRRefD22_5x_0" localSheetId="42">'202'!$D$40:$D$41</definedName>
    <definedName name="OSRRefD22_5x_0" localSheetId="43">'203'!$D$43</definedName>
    <definedName name="OSRRefD22_5x_0" localSheetId="44">'204'!$D$43</definedName>
    <definedName name="OSRRefD22_5x_0" localSheetId="45">'205'!$D$38</definedName>
    <definedName name="OSRRefD22_5x_0" localSheetId="46">'206'!$D$40:$D$41</definedName>
    <definedName name="OSRRefD22_5x_0" localSheetId="48">'300'!$D$189:$D$190</definedName>
    <definedName name="OSRRefD22_5x_0" localSheetId="49">'300 &amp; 317'!$D$214:$D$215</definedName>
    <definedName name="OSRRefD22_5x_0" localSheetId="50">'301'!$D$46:$D$47</definedName>
    <definedName name="OSRRefD22_5x_0" localSheetId="51">'306'!$D$43</definedName>
    <definedName name="OSRRefD22_5x_0" localSheetId="53">'307'!$D$92</definedName>
    <definedName name="OSRRefD22_5x_0" localSheetId="55">'308'!$D$90</definedName>
    <definedName name="OSRRefD22_5x_0" localSheetId="67">'309'!$D$45</definedName>
    <definedName name="OSRRefD22_5x_0" localSheetId="66">'310'!$D$53:$D$54</definedName>
    <definedName name="OSRRefD22_5x_0" localSheetId="74">'310 &amp; 491'!$D$62:$D$64</definedName>
    <definedName name="OSRRefD22_5x_0" localSheetId="56">'311'!$D$89</definedName>
    <definedName name="OSRRefD22_5x_0" localSheetId="68">'313'!$D$49</definedName>
    <definedName name="OSRRefD22_5x_0" localSheetId="54">'314'!$D$75</definedName>
    <definedName name="OSRRefD22_5x_0" localSheetId="59">'315'!$D$104:$D$105</definedName>
    <definedName name="OSRRefD22_5x_0" localSheetId="62">'316'!$D$54</definedName>
    <definedName name="OSRRefD22_5x_0" localSheetId="65">'317'!$D$80:$D$81</definedName>
    <definedName name="OSRRefD22_5x_0" localSheetId="63">'320'!$D$47</definedName>
    <definedName name="OSRRefD22_5x_0" localSheetId="69">'321'!$D$45</definedName>
    <definedName name="OSRRefD22_5x_0" localSheetId="70">'322'!$D$44</definedName>
    <definedName name="OSRRefD22_5x_0" localSheetId="71">'325'!$D$45:$D$46</definedName>
    <definedName name="OSRRefD22_5x_0" localSheetId="60">'326'!$D$82</definedName>
    <definedName name="OSRRefD22_5x_0" localSheetId="52">'330'!$D$101</definedName>
    <definedName name="OSRRefD22_5x_0" localSheetId="58">'331'!$D$111:$D$112</definedName>
    <definedName name="OSRRefD22_5x_0" localSheetId="61">'332'!$D$62</definedName>
    <definedName name="OSRRefD22_5x_0" localSheetId="76">'405'!$D$44:$D$45</definedName>
    <definedName name="OSRRefD22_5x_0" localSheetId="77">'406'!$D$45</definedName>
    <definedName name="OSRRefD22_5x_0" localSheetId="78">'411'!$D$45</definedName>
    <definedName name="OSRRefD22_5x_0" localSheetId="79">'412'!$D$45</definedName>
    <definedName name="OSRRefD22_5x_0" localSheetId="80">'413'!$D$44</definedName>
    <definedName name="OSRRefD22_5x_0" localSheetId="81">'414'!$D$45</definedName>
    <definedName name="OSRRefD22_5x_0" localSheetId="82">'415'!$D$45:$D$46</definedName>
    <definedName name="OSRRefD22_5x_0" localSheetId="83">'418'!$D$46:$D$47</definedName>
    <definedName name="OSRRefD22_5x_0" localSheetId="84">'420'!$D$43:$D$44</definedName>
    <definedName name="OSRRefD22_5x_0" localSheetId="85">'423'!$D$38</definedName>
    <definedName name="OSRRefD22_5x_0" localSheetId="86">'424'!$D$38</definedName>
    <definedName name="OSRRefD22_5x_0" localSheetId="87">'425'!$D$48</definedName>
    <definedName name="OSRRefD22_5x_0" localSheetId="90">'430'!$D$38</definedName>
    <definedName name="OSRRefD22_5x_0" localSheetId="91">'433'!$D$48</definedName>
    <definedName name="OSRRefD22_5x_0" localSheetId="92">'435'!$D$39</definedName>
    <definedName name="OSRRefD22_5x_0" localSheetId="93">'444'!$D$48</definedName>
    <definedName name="OSRRefD22_5x_0" localSheetId="94">'450'!$D$48</definedName>
    <definedName name="OSRRefD22_5x_0" localSheetId="75">'491'!$D$55:$D$57</definedName>
    <definedName name="OSRRefD22_5x_0" localSheetId="89">'492'!$D$51</definedName>
    <definedName name="OSRRefD22_5x_0" localSheetId="96">'501'!$D$43:$D$44</definedName>
    <definedName name="OSRRefD22_5x_0" localSheetId="39">'Div 2'!$D$46</definedName>
    <definedName name="OSRRefD22_5x_0" localSheetId="47">'Div 3'!$D$194:$D$195</definedName>
    <definedName name="OSRRefD22_5x_0" localSheetId="73">'Div 4'!$D$56:$D$58</definedName>
    <definedName name="OSRRefD22_5x_0" localSheetId="95">'Div 5'!$D$43:$D$44</definedName>
    <definedName name="OSRRefD22_5x_0" localSheetId="64">'Div 6'!$D$80:$D$81</definedName>
    <definedName name="OSRRefD22_5x_0" localSheetId="2">Summary!$D$226:$D$228</definedName>
    <definedName name="OSRRefD22_6x_0" localSheetId="41">'201'!$D$41</definedName>
    <definedName name="OSRRefD22_6x_0" localSheetId="42">'202'!$D$43</definedName>
    <definedName name="OSRRefD22_6x_0" localSheetId="43">'203'!$D$45</definedName>
    <definedName name="OSRRefD22_6x_0" localSheetId="44">'204'!$D$45:$D$47</definedName>
    <definedName name="OSRRefD22_6x_0" localSheetId="45">'205'!$D$40:$D$42</definedName>
    <definedName name="OSRRefD22_6x_0" localSheetId="46">'206'!$D$43</definedName>
    <definedName name="OSRRefD22_6x_0" localSheetId="48">'300'!$D$192:$D$193</definedName>
    <definedName name="OSRRefD22_6x_0" localSheetId="49">'300 &amp; 317'!$D$217:$D$218</definedName>
    <definedName name="OSRRefD22_6x_0" localSheetId="50">'301'!$D$49:$D$50</definedName>
    <definedName name="OSRRefD22_6x_0" localSheetId="51">'306'!$D$45:$D$46</definedName>
    <definedName name="OSRRefD22_6x_0" localSheetId="53">'307'!$D$94</definedName>
    <definedName name="OSRRefD22_6x_0" localSheetId="55">'308'!$D$92:$D$93</definedName>
    <definedName name="OSRRefD22_6x_0" localSheetId="67">'309'!$D$47</definedName>
    <definedName name="OSRRefD22_6x_0" localSheetId="66">'310'!$D$56</definedName>
    <definedName name="OSRRefD22_6x_0" localSheetId="74">'310 &amp; 491'!$D$66</definedName>
    <definedName name="OSRRefD22_6x_0" localSheetId="56">'311'!$D$91:$D$92</definedName>
    <definedName name="OSRRefD22_6x_0" localSheetId="68">'313'!$D$51</definedName>
    <definedName name="OSRRefD22_6x_0" localSheetId="54">'314'!$D$77</definedName>
    <definedName name="OSRRefD22_6x_0" localSheetId="59">'315'!$D$107</definedName>
    <definedName name="OSRRefD22_6x_0" localSheetId="62">'316'!$D$56:$D$57</definedName>
    <definedName name="OSRRefD22_6x_0" localSheetId="65">'317'!$D$83</definedName>
    <definedName name="OSRRefD22_6x_0" localSheetId="63">'320'!$D$49</definedName>
    <definedName name="OSRRefD22_6x_0" localSheetId="69">'321'!$D$47:$D$49</definedName>
    <definedName name="OSRRefD22_6x_0" localSheetId="70">'322'!$D$46</definedName>
    <definedName name="OSRRefD22_6x_0" localSheetId="71">'325'!$D$48</definedName>
    <definedName name="OSRRefD22_6x_0" localSheetId="60">'326'!$D$84</definedName>
    <definedName name="OSRRefD22_6x_0" localSheetId="52">'330'!$D$103</definedName>
    <definedName name="OSRRefD22_6x_0" localSheetId="58">'331'!$D$114</definedName>
    <definedName name="OSRRefD22_6x_0" localSheetId="61">'332'!$D$64:$D$65</definedName>
    <definedName name="OSRRefD22_6x_0" localSheetId="76">'405'!$D$47</definedName>
    <definedName name="OSRRefD22_6x_0" localSheetId="77">'406'!$D$47</definedName>
    <definedName name="OSRRefD22_6x_0" localSheetId="78">'411'!$D$47</definedName>
    <definedName name="OSRRefD22_6x_0" localSheetId="79">'412'!$D$47</definedName>
    <definedName name="OSRRefD22_6x_0" localSheetId="80">'413'!$D$46</definedName>
    <definedName name="OSRRefD22_6x_0" localSheetId="81">'414'!$D$47</definedName>
    <definedName name="OSRRefD22_6x_0" localSheetId="82">'415'!$D$48</definedName>
    <definedName name="OSRRefD22_6x_0" localSheetId="83">'418'!$D$49</definedName>
    <definedName name="OSRRefD22_6x_0" localSheetId="84">'420'!$D$46</definedName>
    <definedName name="OSRRefD22_6x_0" localSheetId="86">'424'!$D$40</definedName>
    <definedName name="OSRRefD22_6x_0" localSheetId="87">'425'!$D$50</definedName>
    <definedName name="OSRRefD22_6x_0" localSheetId="90">'430'!$D$40</definedName>
    <definedName name="OSRRefD22_6x_0" localSheetId="91">'433'!$D$50</definedName>
    <definedName name="OSRRefD22_6x_0" localSheetId="92">'435'!$D$41</definedName>
    <definedName name="OSRRefD22_6x_0" localSheetId="93">'444'!$D$50</definedName>
    <definedName name="OSRRefD22_6x_0" localSheetId="94">'450'!$D$50</definedName>
    <definedName name="OSRRefD22_6x_0" localSheetId="75">'491'!$D$59</definedName>
    <definedName name="OSRRefD22_6x_0" localSheetId="89">'492'!$D$53</definedName>
    <definedName name="OSRRefD22_6x_0" localSheetId="96">'501'!$D$46</definedName>
    <definedName name="OSRRefD22_6x_0" localSheetId="39">'Div 2'!$D$48</definedName>
    <definedName name="OSRRefD22_6x_0" localSheetId="47">'Div 3'!$D$197:$D$198</definedName>
    <definedName name="OSRRefD22_6x_0" localSheetId="73">'Div 4'!$D$60</definedName>
    <definedName name="OSRRefD22_6x_0" localSheetId="95">'Div 5'!$D$46</definedName>
    <definedName name="OSRRefD22_6x_0" localSheetId="64">'Div 6'!$D$83</definedName>
    <definedName name="OSRRefD22_6x_0" localSheetId="2">Summary!$D$230:$D$231</definedName>
    <definedName name="OSRRefD22_7x_0" localSheetId="41">'201'!$D$43</definedName>
    <definedName name="OSRRefD22_7x_0" localSheetId="42">'202'!$D$45</definedName>
    <definedName name="OSRRefD22_7x_0" localSheetId="43">'203'!$D$47</definedName>
    <definedName name="OSRRefD22_7x_0" localSheetId="44">'204'!$D$49</definedName>
    <definedName name="OSRRefD22_7x_0" localSheetId="45">'205'!$D$44</definedName>
    <definedName name="OSRRefD22_7x_0" localSheetId="46">'206'!$D$45</definedName>
    <definedName name="OSRRefD22_7x_0" localSheetId="48">'300'!$D$195</definedName>
    <definedName name="OSRRefD22_7x_0" localSheetId="49">'300 &amp; 317'!$D$220</definedName>
    <definedName name="OSRRefD22_7x_0" localSheetId="50">'301'!$D$52</definedName>
    <definedName name="OSRRefD22_7x_0" localSheetId="51">'306'!$D$48:$D$50</definedName>
    <definedName name="OSRRefD22_7x_0" localSheetId="53">'307'!$D$96:$D$97</definedName>
    <definedName name="OSRRefD22_7x_0" localSheetId="55">'308'!$D$95</definedName>
    <definedName name="OSRRefD22_7x_0" localSheetId="67">'309'!$D$49</definedName>
    <definedName name="OSRRefD22_7x_0" localSheetId="66">'310'!$D$58</definedName>
    <definedName name="OSRRefD22_7x_0" localSheetId="74">'310 &amp; 491'!$D$68</definedName>
    <definedName name="OSRRefD22_7x_0" localSheetId="56">'311'!$D$94</definedName>
    <definedName name="OSRRefD22_7x_0" localSheetId="68">'313'!$D$53</definedName>
    <definedName name="OSRRefD22_7x_0" localSheetId="54">'314'!$D$79</definedName>
    <definedName name="OSRRefD22_7x_0" localSheetId="59">'315'!$D$109:$D$110</definedName>
    <definedName name="OSRRefD22_7x_0" localSheetId="62">'316'!$D$59</definedName>
    <definedName name="OSRRefD22_7x_0" localSheetId="65">'317'!$D$85</definedName>
    <definedName name="OSRRefD22_7x_0" localSheetId="63">'320'!$D$51:$D$52</definedName>
    <definedName name="OSRRefD22_7x_0" localSheetId="69">'321'!$D$51</definedName>
    <definedName name="OSRRefD22_7x_0" localSheetId="70">'322'!$D$48</definedName>
    <definedName name="OSRRefD22_7x_0" localSheetId="71">'325'!$D$50</definedName>
    <definedName name="OSRRefD22_7x_0" localSheetId="60">'326'!$D$86</definedName>
    <definedName name="OSRRefD22_7x_0" localSheetId="52">'330'!$D$105</definedName>
    <definedName name="OSRRefD22_7x_0" localSheetId="58">'331'!$D$116:$D$117</definedName>
    <definedName name="OSRRefD22_7x_0" localSheetId="61">'332'!$D$67</definedName>
    <definedName name="OSRRefD22_7x_0" localSheetId="76">'405'!$D$49</definedName>
    <definedName name="OSRRefD22_7x_0" localSheetId="77">'406'!$D$49</definedName>
    <definedName name="OSRRefD22_7x_0" localSheetId="78">'411'!$D$49</definedName>
    <definedName name="OSRRefD22_7x_0" localSheetId="79">'412'!$D$49</definedName>
    <definedName name="OSRRefD22_7x_0" localSheetId="80">'413'!$D$48:$D$50</definedName>
    <definedName name="OSRRefD22_7x_0" localSheetId="81">'414'!$D$49</definedName>
    <definedName name="OSRRefD22_7x_0" localSheetId="82">'415'!$D$50</definedName>
    <definedName name="OSRRefD22_7x_0" localSheetId="83">'418'!$D$51</definedName>
    <definedName name="OSRRefD22_7x_0" localSheetId="86">'424'!$D$42</definedName>
    <definedName name="OSRRefD22_7x_0" localSheetId="87">'425'!$D$52</definedName>
    <definedName name="OSRRefD22_7x_0" localSheetId="90">'430'!$D$42</definedName>
    <definedName name="OSRRefD22_7x_0" localSheetId="91">'433'!$D$52</definedName>
    <definedName name="OSRRefD22_7x_0" localSheetId="92">'435'!$D$43:$D$45</definedName>
    <definedName name="OSRRefD22_7x_0" localSheetId="93">'444'!$D$52</definedName>
    <definedName name="OSRRefD22_7x_0" localSheetId="94">'450'!$D$52</definedName>
    <definedName name="OSRRefD22_7x_0" localSheetId="75">'491'!$D$61</definedName>
    <definedName name="OSRRefD22_7x_0" localSheetId="89">'492'!$D$55</definedName>
    <definedName name="OSRRefD22_7x_0" localSheetId="96">'501'!$D$48</definedName>
    <definedName name="OSRRefD22_7x_0" localSheetId="39">'Div 2'!$D$50</definedName>
    <definedName name="OSRRefD22_7x_0" localSheetId="47">'Div 3'!$D$200</definedName>
    <definedName name="OSRRefD22_7x_0" localSheetId="73">'Div 4'!$D$62</definedName>
    <definedName name="OSRRefD22_7x_0" localSheetId="95">'Div 5'!$D$48</definedName>
    <definedName name="OSRRefD22_7x_0" localSheetId="64">'Div 6'!$D$85</definedName>
    <definedName name="OSRRefD22_7x_0" localSheetId="2">Summary!$D$233</definedName>
    <definedName name="OSRRefD22_8x_0" localSheetId="41">'201'!$D$45</definedName>
    <definedName name="OSRRefD22_8x_0" localSheetId="42">'202'!$D$47:$D$49</definedName>
    <definedName name="OSRRefD22_8x_0" localSheetId="43">'203'!$D$49</definedName>
    <definedName name="OSRRefD22_8x_0" localSheetId="44">'204'!$D$51:$D$52</definedName>
    <definedName name="OSRRefD22_8x_0" localSheetId="45">'205'!$D$46</definedName>
    <definedName name="OSRRefD22_8x_0" localSheetId="48">'300'!$D$197</definedName>
    <definedName name="OSRRefD22_8x_0" localSheetId="49">'300 &amp; 317'!$D$222</definedName>
    <definedName name="OSRRefD22_8x_0" localSheetId="50">'301'!$D$54</definedName>
    <definedName name="OSRRefD22_8x_0" localSheetId="51">'306'!$D$52</definedName>
    <definedName name="OSRRefD22_8x_0" localSheetId="53">'307'!$D$99:$D$100</definedName>
    <definedName name="OSRRefD22_8x_0" localSheetId="55">'308'!$D$97</definedName>
    <definedName name="OSRRefD22_8x_0" localSheetId="67">'309'!$D$51</definedName>
    <definedName name="OSRRefD22_8x_0" localSheetId="66">'310'!$D$60</definedName>
    <definedName name="OSRRefD22_8x_0" localSheetId="74">'310 &amp; 491'!$D$70</definedName>
    <definedName name="OSRRefD22_8x_0" localSheetId="56">'311'!$D$96</definedName>
    <definedName name="OSRRefD22_8x_0" localSheetId="68">'313'!$D$55:$D$57</definedName>
    <definedName name="OSRRefD22_8x_0" localSheetId="59">'315'!$D$112:$D$113</definedName>
    <definedName name="OSRRefD22_8x_0" localSheetId="62">'316'!$D$61:$D$63</definedName>
    <definedName name="OSRRefD22_8x_0" localSheetId="65">'317'!$D$87</definedName>
    <definedName name="OSRRefD22_8x_0" localSheetId="63">'320'!$D$54</definedName>
    <definedName name="OSRRefD22_8x_0" localSheetId="69">'321'!$D$53:$D$55</definedName>
    <definedName name="OSRRefD22_8x_0" localSheetId="70">'322'!$D$50:$D$51</definedName>
    <definedName name="OSRRefD22_8x_0" localSheetId="71">'325'!$D$52</definedName>
    <definedName name="OSRRefD22_8x_0" localSheetId="60">'326'!$D$88</definedName>
    <definedName name="OSRRefD22_8x_0" localSheetId="52">'330'!$D$107:$D$108</definedName>
    <definedName name="OSRRefD22_8x_0" localSheetId="58">'331'!$D$119</definedName>
    <definedName name="OSRRefD22_8x_0" localSheetId="61">'332'!$D$69</definedName>
    <definedName name="OSRRefD22_8x_0" localSheetId="76">'405'!$D$51</definedName>
    <definedName name="OSRRefD22_8x_0" localSheetId="77">'406'!$D$51</definedName>
    <definedName name="OSRRefD22_8x_0" localSheetId="78">'411'!$D$51</definedName>
    <definedName name="OSRRefD22_8x_0" localSheetId="79">'412'!$D$51</definedName>
    <definedName name="OSRRefD22_8x_0" localSheetId="80">'413'!$D$52:$D$54</definedName>
    <definedName name="OSRRefD22_8x_0" localSheetId="81">'414'!$D$51</definedName>
    <definedName name="OSRRefD22_8x_0" localSheetId="82">'415'!$D$52</definedName>
    <definedName name="OSRRefD22_8x_0" localSheetId="83">'418'!$D$53</definedName>
    <definedName name="OSRRefD22_8x_0" localSheetId="86">'424'!$D$44:$D$45</definedName>
    <definedName name="OSRRefD22_8x_0" localSheetId="87">'425'!$D$54</definedName>
    <definedName name="OSRRefD22_8x_0" localSheetId="91">'433'!$D$54</definedName>
    <definedName name="OSRRefD22_8x_0" localSheetId="92">'435'!$D$47</definedName>
    <definedName name="OSRRefD22_8x_0" localSheetId="93">'444'!$D$54</definedName>
    <definedName name="OSRRefD22_8x_0" localSheetId="94">'450'!$D$54</definedName>
    <definedName name="OSRRefD22_8x_0" localSheetId="75">'491'!$D$63</definedName>
    <definedName name="OSRRefD22_8x_0" localSheetId="89">'492'!$D$57</definedName>
    <definedName name="OSRRefD22_8x_0" localSheetId="96">'501'!$D$50</definedName>
    <definedName name="OSRRefD22_8x_0" localSheetId="39">'Div 2'!$D$52</definedName>
    <definedName name="OSRRefD22_8x_0" localSheetId="47">'Div 3'!$D$202</definedName>
    <definedName name="OSRRefD22_8x_0" localSheetId="73">'Div 4'!$D$64</definedName>
    <definedName name="OSRRefD22_8x_0" localSheetId="95">'Div 5'!$D$50</definedName>
    <definedName name="OSRRefD22_8x_0" localSheetId="64">'Div 6'!$D$87</definedName>
    <definedName name="OSRRefD22_8x_0" localSheetId="2">Summary!$D$235</definedName>
    <definedName name="OSRRefD22_9x_0" localSheetId="41">'201'!$D$47:$D$49</definedName>
    <definedName name="OSRRefD22_9x_0" localSheetId="42">'202'!$D$51</definedName>
    <definedName name="OSRRefD22_9x_0" localSheetId="43">'203'!$D$51:$D$52</definedName>
    <definedName name="OSRRefD22_9x_0" localSheetId="44">'204'!$D$54</definedName>
    <definedName name="OSRRefD22_9x_0" localSheetId="48">'300'!$D$199</definedName>
    <definedName name="OSRRefD22_9x_0" localSheetId="49">'300 &amp; 317'!$D$224</definedName>
    <definedName name="OSRRefD22_9x_0" localSheetId="50">'301'!$D$56</definedName>
    <definedName name="OSRRefD22_9x_0" localSheetId="51">'306'!$D$54</definedName>
    <definedName name="OSRRefD22_9x_0" localSheetId="53">'307'!$D$102:$D$105</definedName>
    <definedName name="OSRRefD22_9x_0" localSheetId="55">'308'!$D$99:$D$100</definedName>
    <definedName name="OSRRefD22_9x_0" localSheetId="67">'309'!$D$53:$D$54</definedName>
    <definedName name="OSRRefD22_9x_0" localSheetId="66">'310'!$D$62</definedName>
    <definedName name="OSRRefD22_9x_0" localSheetId="74">'310 &amp; 491'!$D$72</definedName>
    <definedName name="OSRRefD22_9x_0" localSheetId="56">'311'!$D$98:$D$99</definedName>
    <definedName name="OSRRefD22_9x_0" localSheetId="68">'313'!$D$59</definedName>
    <definedName name="OSRRefD22_9x_0" localSheetId="59">'315'!$D$115:$D$119</definedName>
    <definedName name="OSRRefD22_9x_0" localSheetId="62">'316'!$D$65</definedName>
    <definedName name="OSRRefD22_9x_0" localSheetId="65">'317'!$D$89</definedName>
    <definedName name="OSRRefD22_9x_0" localSheetId="69">'321'!$D$57:$D$60</definedName>
    <definedName name="OSRRefD22_9x_0" localSheetId="70">'322'!$D$53:$D$55</definedName>
    <definedName name="OSRRefD22_9x_0" localSheetId="71">'325'!$D$54</definedName>
    <definedName name="OSRRefD22_9x_0" localSheetId="60">'326'!$D$90</definedName>
    <definedName name="OSRRefD22_9x_0" localSheetId="52">'330'!$D$110:$D$111</definedName>
    <definedName name="OSRRefD22_9x_0" localSheetId="58">'331'!$D$121</definedName>
    <definedName name="OSRRefD22_9x_0" localSheetId="61">'332'!$D$71:$D$73</definedName>
    <definedName name="OSRRefD22_9x_0" localSheetId="76">'405'!$D$53</definedName>
    <definedName name="OSRRefD22_9x_0" localSheetId="77">'406'!$D$53:$D$55</definedName>
    <definedName name="OSRRefD22_9x_0" localSheetId="78">'411'!$D$53</definedName>
    <definedName name="OSRRefD22_9x_0" localSheetId="79">'412'!$D$53:$D$54</definedName>
    <definedName name="OSRRefD22_9x_0" localSheetId="80">'413'!$D$56:$D$61</definedName>
    <definedName name="OSRRefD22_9x_0" localSheetId="81">'414'!$D$53:$D$54</definedName>
    <definedName name="OSRRefD22_9x_0" localSheetId="82">'415'!$D$54</definedName>
    <definedName name="OSRRefD22_9x_0" localSheetId="83">'418'!$D$55</definedName>
    <definedName name="OSRRefD22_9x_0" localSheetId="86">'424'!$D$47</definedName>
    <definedName name="OSRRefD22_9x_0" localSheetId="87">'425'!$D$56:$D$58</definedName>
    <definedName name="OSRRefD22_9x_0" localSheetId="91">'433'!$D$56</definedName>
    <definedName name="OSRRefD22_9x_0" localSheetId="93">'444'!$D$56</definedName>
    <definedName name="OSRRefD22_9x_0" localSheetId="94">'450'!$D$56</definedName>
    <definedName name="OSRRefD22_9x_0" localSheetId="75">'491'!$D$65</definedName>
    <definedName name="OSRRefD22_9x_0" localSheetId="89">'492'!$D$59</definedName>
    <definedName name="OSRRefD22_9x_0" localSheetId="96">'501'!$D$52:$D$54</definedName>
    <definedName name="OSRRefD22_9x_0" localSheetId="39">'Div 2'!$D$54:$D$55</definedName>
    <definedName name="OSRRefD22_9x_0" localSheetId="47">'Div 3'!$D$204</definedName>
    <definedName name="OSRRefD22_9x_0" localSheetId="73">'Div 4'!$D$66</definedName>
    <definedName name="OSRRefD22_9x_0" localSheetId="95">'Div 5'!$D$52:$D$54</definedName>
    <definedName name="OSRRefD22_9x_0" localSheetId="64">'Div 6'!$D$89</definedName>
    <definedName name="OSRRefD22_9x_0" localSheetId="2">Summary!$D$237</definedName>
    <definedName name="OSRRefD22x_0" localSheetId="40">'200'!$D$20,'200'!$D$22,'200'!$D$24,'200'!$D$26,'200'!$D$28:$D$29</definedName>
    <definedName name="OSRRefD22x_0" localSheetId="41">'201'!$D$20:$D$27,'201'!$D$29:$D$31,'201'!$D$33,'201'!$D$35,'201'!$D$37,'201'!$D$39,'201'!$D$41,'201'!$D$43,'201'!$D$45,'201'!$D$47:$D$49,'201'!$D$51:$D$53,'201'!$D$55,'201'!$D$57:$D$60,'201'!$D$62,'201'!$D$64,'201'!$D$66</definedName>
    <definedName name="OSRRefD22x_0" localSheetId="42">'202'!$D$20:$D$27,'202'!$D$29:$D$32,'202'!$D$34,'202'!$D$36,'202'!$D$38,'202'!$D$40:$D$41,'202'!$D$43,'202'!$D$45,'202'!$D$47:$D$49,'202'!$D$51,'202'!$D$53,'202'!$D$55:$D$57,'202'!$D$59,'202'!$D$61,'202'!$D$63</definedName>
    <definedName name="OSRRefD22x_0" localSheetId="43">'203'!$D$20:$D$29,'203'!$D$31:$D$35,'203'!$D$37,'203'!$D$39,'203'!$D$41,'203'!$D$43,'203'!$D$45,'203'!$D$47,'203'!$D$49,'203'!$D$51:$D$52,'203'!$D$54:$D$55,'203'!$D$57,'203'!$D$59:$D$62,'203'!$D$64,'203'!$D$66,'203'!$D$68</definedName>
    <definedName name="OSRRefD22x_0" localSheetId="44">'204'!$D$20:$D$29,'204'!$D$31:$D$35,'204'!$D$37,'204'!$D$39,'204'!$D$41,'204'!$D$43,'204'!$D$45:$D$47,'204'!$D$49,'204'!$D$51:$D$52,'204'!$D$54,'204'!$D$56:$D$57</definedName>
    <definedName name="OSRRefD22x_0" localSheetId="45">'205'!$D$20:$D$27,'205'!$D$29,'205'!$D$31,'205'!$D$33,'205'!$D$35:$D$36,'205'!$D$38,'205'!$D$40:$D$42,'205'!$D$44,'205'!$D$46</definedName>
    <definedName name="OSRRefD22x_0" localSheetId="46">'206'!$D$20:$D$27,'206'!$D$29:$D$32,'206'!$D$34,'206'!$D$36,'206'!$D$38,'206'!$D$40:$D$41,'206'!$D$43,'206'!$D$45</definedName>
    <definedName name="OSRRefD22x_0" localSheetId="48">'300'!$D$163:$D$172,'300'!$D$174:$D$180,'300'!$D$182,'300'!$D$184:$D$185,'300'!$D$187,'300'!$D$189:$D$190,'300'!$D$192:$D$193,'300'!$D$195,'300'!$D$197,'300'!$D$199,'300'!$D$201:$D$202,'300'!$D$204,'300'!$D$206,'300'!$D$208,'300'!$D$210,'300'!$D$212,'300'!$D$214:$D$217,'300'!$D$219:$D$221,'300'!$D$223:$D$226,'300'!$D$228:$D$229,'300'!$D$231:$D$237,'300'!$D$239:$D$240,'300'!$D$242,'300'!$D$244:$D$246,'300'!$D$248</definedName>
    <definedName name="OSRRefD22x_0" localSheetId="49">'300 &amp; 317'!$D$188:$D$197,'300 &amp; 317'!$D$199:$D$205,'300 &amp; 317'!$D$207,'300 &amp; 317'!$D$209:$D$210,'300 &amp; 317'!$D$212,'300 &amp; 317'!$D$214:$D$215,'300 &amp; 317'!$D$217:$D$218,'300 &amp; 317'!$D$220,'300 &amp; 317'!$D$222,'300 &amp; 317'!$D$224,'300 &amp; 317'!$D$226:$D$227,'300 &amp; 317'!$D$229,'300 &amp; 317'!$D$231,'300 &amp; 317'!$D$233,'300 &amp; 317'!$D$235,'300 &amp; 317'!$D$237,'300 &amp; 317'!$D$239:$D$242,'300 &amp; 317'!$D$244:$D$246,'300 &amp; 317'!$D$248:$D$251,'300 &amp; 317'!$D$253:$D$254,'300 &amp; 317'!$D$256:$D$262,'300 &amp; 317'!$D$264:$D$265,'300 &amp; 317'!$D$267,'300 &amp; 317'!$D$269:$D$271,'300 &amp; 317'!$D$273</definedName>
    <definedName name="OSRRefD22x_0" localSheetId="50">'301'!$D$20:$D$29,'301'!$D$31:$D$37,'301'!$D$39,'301'!$D$41:$D$42,'301'!$D$44,'301'!$D$46:$D$47,'301'!$D$49:$D$50,'301'!$D$52,'301'!$D$54,'301'!$D$56,'301'!$D$58,'301'!$D$60,'301'!$D$62,'301'!$D$64,'301'!$D$66,'301'!$D$68:$D$71,'301'!$D$73:$D$75,'301'!$D$77,'301'!$D$79:$D$84,'301'!$D$86,'301'!$D$88,'301'!$D$90:$D$92,'301'!$D$94</definedName>
    <definedName name="OSRRefD22x_0" localSheetId="51">'306'!$D$20:$D$28,'306'!$D$30:$D$35,'306'!$D$37,'306'!$D$39,'306'!$D$41,'306'!$D$43,'306'!$D$45:$D$46,'306'!$D$48:$D$50,'306'!$D$52,'306'!$D$54</definedName>
    <definedName name="OSRRefD22x_0" localSheetId="53">'307'!$D$71:$D$78,'307'!$D$80:$D$83,'307'!$D$85,'307'!$D$87,'307'!$D$89:$D$90,'307'!$D$92,'307'!$D$94,'307'!$D$96:$D$97,'307'!$D$99:$D$100,'307'!$D$102:$D$105,'307'!$D$107,'307'!$D$109</definedName>
    <definedName name="OSRRefD22x_0" localSheetId="55">'308'!$D$65:$D$73,'308'!$D$75:$D$81,'308'!$D$83,'308'!$D$85:$D$86,'308'!$D$88,'308'!$D$90,'308'!$D$92:$D$93,'308'!$D$95,'308'!$D$97,'308'!$D$99:$D$100,'308'!$D$102:$D$103,'308'!$D$105:$D$107,'308'!$D$109:$D$110,'308'!$D$112,'308'!$D$114</definedName>
    <definedName name="OSRRefD22x_0" localSheetId="67">'309'!$D$24:$D$31,'309'!$D$33:$D$37,'309'!$D$39,'309'!$D$41,'309'!$D$43,'309'!$D$45,'309'!$D$47,'309'!$D$49,'309'!$D$51,'309'!$D$53:$D$54,'309'!$D$56:$D$58,'309'!$D$60:$D$62,'309'!$D$64</definedName>
    <definedName name="OSRRefD22x_0" localSheetId="66">'310'!$D$31:$D$38,'310'!$D$40:$D$45,'310'!$D$47,'310'!$D$49,'310'!$D$51,'310'!$D$53:$D$54,'310'!$D$56,'310'!$D$58,'310'!$D$60,'310'!$D$62,'310'!$D$64,'310'!$D$66,'310'!$D$68,'310'!$D$70,'310'!$D$72:$D$74,'310'!$D$76,'310'!$D$78:$D$81,'310'!$D$83,'310'!$D$85:$D$92,'310'!$D$94,'310'!$D$96,'310'!$D$98</definedName>
    <definedName name="OSRRefD22x_0" localSheetId="74">'310 &amp; 491'!$D$38:$D$46,'310 &amp; 491'!$D$48:$D$54,'310 &amp; 491'!$D$56,'310 &amp; 491'!$D$58,'310 &amp; 491'!$D$60,'310 &amp; 491'!$D$62:$D$64,'310 &amp; 491'!$D$66,'310 &amp; 491'!$D$68,'310 &amp; 491'!$D$70,'310 &amp; 491'!$D$72,'310 &amp; 491'!$D$74:$D$75,'310 &amp; 491'!$D$77:$D$78,'310 &amp; 491'!$D$80,'310 &amp; 491'!$D$82,'310 &amp; 491'!$D$84,'310 &amp; 491'!$D$86,'310 &amp; 491'!$D$88:$D$91,'310 &amp; 491'!$D$93:$D$94,'310 &amp; 491'!$D$96:$D$100,'310 &amp; 491'!$D$102:$D$103,'310 &amp; 491'!$D$105:$D$113,'310 &amp; 491'!$D$115,'310 &amp; 491'!$D$117,'310 &amp; 491'!$D$119:$D$121,'310 &amp; 491'!$D$123</definedName>
    <definedName name="OSRRefD22x_0" localSheetId="56">'311'!$D$64:$D$72,'311'!$D$74:$D$80,'311'!$D$82,'311'!$D$84:$D$85,'311'!$D$87,'311'!$D$89,'311'!$D$91:$D$92,'311'!$D$94,'311'!$D$96,'311'!$D$98:$D$99,'311'!$D$101:$D$102,'311'!$D$104:$D$106,'311'!$D$108:$D$109,'311'!$D$111,'311'!$D$113</definedName>
    <definedName name="OSRRefD22x_0" localSheetId="68">'313'!$D$28:$D$35,'313'!$D$37:$D$41,'313'!$D$43,'313'!$D$45,'313'!$D$47,'313'!$D$49,'313'!$D$51,'313'!$D$53,'313'!$D$55:$D$57,'313'!$D$59,'313'!$D$61:$D$65,'313'!$D$67,'313'!$D$69</definedName>
    <definedName name="OSRRefD22x_0" localSheetId="54">'314'!$D$55:$D$62,'314'!$D$64:$D$66,'314'!$D$68,'314'!$D$70:$D$71,'314'!$D$73,'314'!$D$75,'314'!$D$77,'314'!$D$79</definedName>
    <definedName name="OSRRefD22x_0" localSheetId="59">'315'!$D$81:$D$88,'315'!$D$90:$D$95,'315'!$D$97,'315'!$D$99:$D$100,'315'!$D$102,'315'!$D$104:$D$105,'315'!$D$107,'315'!$D$109:$D$110,'315'!$D$112:$D$113,'315'!$D$115:$D$119,'315'!$D$121,'315'!$D$123,'315'!$D$125:$D$126</definedName>
    <definedName name="OSRRefD22x_0" localSheetId="62">'316'!$D$34:$D$41,'316'!$D$43:$D$46,'316'!$D$48,'316'!$D$50,'316'!$D$52,'316'!$D$54,'316'!$D$56:$D$57,'316'!$D$59,'316'!$D$61:$D$63,'316'!$D$65,'316'!$D$67:$D$72,'316'!$D$74,'316'!$D$76,'316'!$D$78</definedName>
    <definedName name="OSRRefD22x_0" localSheetId="65">'317'!$D$58:$D$66,'317'!$D$68:$D$72,'317'!$D$74,'317'!$D$76,'317'!$D$78,'317'!$D$80:$D$81,'317'!$D$83,'317'!$D$85,'317'!$D$87,'317'!$D$89,'317'!$D$91:$D$93,'317'!$D$95,'317'!$D$97,'317'!$D$99</definedName>
    <definedName name="OSRRefD22x_0" localSheetId="63">'320'!$D$28:$D$34,'320'!$D$36:$D$38,'320'!$D$40,'320'!$D$42,'320'!$D$44:$D$45,'320'!$D$47,'320'!$D$49,'320'!$D$51:$D$52,'320'!$D$54</definedName>
    <definedName name="OSRRefD22x_0" localSheetId="69">'321'!$D$24:$D$31,'321'!$D$33:$D$37,'321'!$D$39,'321'!$D$41,'321'!$D$43,'321'!$D$45,'321'!$D$47:$D$49,'321'!$D$51,'321'!$D$53:$D$55,'321'!$D$57:$D$60,'321'!$D$62,'321'!$D$64</definedName>
    <definedName name="OSRRefD22x_0" localSheetId="70">'322'!$D$24:$D$31,'322'!$D$33:$D$36,'322'!$D$38,'322'!$D$40,'322'!$D$42,'322'!$D$44,'322'!$D$46,'322'!$D$48,'322'!$D$50:$D$51,'322'!$D$53:$D$55,'322'!$D$57:$D$62,'322'!$D$64,'322'!$D$66</definedName>
    <definedName name="OSRRefD22x_0" localSheetId="71">'325'!$D$24:$D$31,'325'!$D$33:$D$37,'325'!$D$39,'325'!$D$41,'325'!$D$43,'325'!$D$45:$D$46,'325'!$D$48,'325'!$D$50,'325'!$D$52,'325'!$D$54,'325'!$D$56,'325'!$D$58:$D$60,'325'!$D$62:$D$64,'325'!$D$66,'325'!$D$68:$D$72,'325'!$D$74,'325'!$D$76</definedName>
    <definedName name="OSRRefD22x_0" localSheetId="60">'326'!$D$61:$D$68,'326'!$D$70:$D$74,'326'!$D$76,'326'!$D$78,'326'!$D$80,'326'!$D$82,'326'!$D$84,'326'!$D$86,'326'!$D$88,'326'!$D$90,'326'!$D$92,'326'!$D$94,'326'!$D$96:$D$97,'326'!$D$99:$D$101,'326'!$D$103:$D$104,'326'!$D$106:$D$111,'326'!$D$113,'326'!$D$115,'326'!$D$117</definedName>
    <definedName name="OSRRefD22x_0" localSheetId="72">'327'!$D$22,'327'!$D$24,'327'!$D$26</definedName>
    <definedName name="OSRRefD22x_0" localSheetId="52">'330'!$D$79:$D$86,'330'!$D$88:$D$92,'330'!$D$94,'330'!$D$96,'330'!$D$98:$D$99,'330'!$D$101,'330'!$D$103,'330'!$D$105,'330'!$D$107:$D$108,'330'!$D$110:$D$111,'330'!$D$113,'330'!$D$115:$D$118,'330'!$D$120,'330'!$D$122,'330'!$D$124</definedName>
    <definedName name="OSRRefD22x_0" localSheetId="58">'331'!$D$89:$D$96,'331'!$D$98:$D$103,'331'!$D$105,'331'!$D$107,'331'!$D$109,'331'!$D$111:$D$112,'331'!$D$114,'331'!$D$116:$D$117,'331'!$D$119,'331'!$D$121,'331'!$D$123,'331'!$D$125,'331'!$D$127,'331'!$D$129:$D$130,'331'!$D$132:$D$133,'331'!$D$135:$D$137,'331'!$D$139:$D$140,'331'!$D$142:$D$147,'331'!$D$149,'331'!$D$151,'331'!$D$153:$D$154,'331'!$D$156</definedName>
    <definedName name="OSRRefD22x_0" localSheetId="61">'332'!$D$42:$D$49,'332'!$D$51:$D$54,'332'!$D$56,'332'!$D$58,'332'!$D$60,'332'!$D$62,'332'!$D$64:$D$65,'332'!$D$67,'332'!$D$69,'332'!$D$71:$D$73,'332'!$D$75,'332'!$D$77:$D$82,'332'!$D$84,'332'!$D$86,'332'!$D$88</definedName>
    <definedName name="OSRRefD22x_0" localSheetId="76">'405'!$D$24:$D$31,'405'!$D$33:$D$36,'405'!$D$38,'405'!$D$40,'405'!$D$42,'405'!$D$44:$D$45,'405'!$D$47,'405'!$D$49,'405'!$D$51,'405'!$D$53,'405'!$D$55:$D$56,'405'!$D$58,'405'!$D$60:$D$62,'405'!$D$64:$D$65,'405'!$D$67:$D$73,'405'!$D$75,'405'!$D$77,'405'!$D$79</definedName>
    <definedName name="OSRRefD22x_0" localSheetId="77">'406'!$D$24:$D$31,'406'!$D$33:$D$37,'406'!$D$39,'406'!$D$41,'406'!$D$43,'406'!$D$45,'406'!$D$47,'406'!$D$49,'406'!$D$51,'406'!$D$53:$D$55,'406'!$D$57:$D$58,'406'!$D$60:$D$64,'406'!$D$66,'406'!$D$68</definedName>
    <definedName name="OSRRefD22x_0" localSheetId="78">'411'!$D$20:$D$28,'411'!$D$30:$D$35,'411'!$D$37,'411'!$D$39,'411'!$D$41:$D$43,'411'!$D$45,'411'!$D$47,'411'!$D$49,'411'!$D$51,'411'!$D$53,'411'!$D$55,'411'!$D$57,'411'!$D$59:$D$60,'411'!$D$62:$D$66,'411'!$D$68,'411'!$D$70:$D$76,'411'!$D$78,'411'!$D$80,'411'!$D$82:$D$84,'411'!$D$86</definedName>
    <definedName name="OSRRefD22x_0" localSheetId="79">'412'!$D$23:$D$30,'412'!$D$32:$D$37,'412'!$D$39,'412'!$D$41,'412'!$D$43,'412'!$D$45,'412'!$D$47,'412'!$D$49,'412'!$D$51,'412'!$D$53:$D$54,'412'!$D$56:$D$57,'412'!$D$59:$D$64,'412'!$D$66,'412'!$D$68</definedName>
    <definedName name="OSRRefD22x_0" localSheetId="80">'413'!$D$24:$D$31,'413'!$D$33:$D$36,'413'!$D$38,'413'!$D$40,'413'!$D$42,'413'!$D$44,'413'!$D$46,'413'!$D$48:$D$50,'413'!$D$52:$D$54,'413'!$D$56:$D$61,'413'!$D$63</definedName>
    <definedName name="OSRRefD22x_0" localSheetId="81">'414'!$D$24:$D$31,'414'!$D$33:$D$37,'414'!$D$39,'414'!$D$41,'414'!$D$43,'414'!$D$45,'414'!$D$47,'414'!$D$49,'414'!$D$51,'414'!$D$53:$D$54,'414'!$D$56,'414'!$D$58,'414'!$D$60,'414'!$D$62:$D$68,'414'!$D$70,'414'!$D$72</definedName>
    <definedName name="OSRRefD22x_0" localSheetId="82">'415'!$D$24:$D$31,'415'!$D$33:$D$37,'415'!$D$39,'415'!$D$41,'415'!$D$43,'415'!$D$45:$D$46,'415'!$D$48,'415'!$D$50,'415'!$D$52,'415'!$D$54,'415'!$D$56,'415'!$D$58:$D$61,'415'!$D$63:$D$67,'415'!$D$69:$D$70,'415'!$D$72:$D$79,'415'!$D$81,'415'!$D$83,'415'!$D$85</definedName>
    <definedName name="OSRRefD22x_0" localSheetId="83">'418'!$D$24:$D$31,'418'!$D$33:$D$38,'418'!$D$40,'418'!$D$42,'418'!$D$44,'418'!$D$46:$D$47,'418'!$D$49,'418'!$D$51,'418'!$D$53,'418'!$D$55,'418'!$D$57:$D$58,'418'!$D$60:$D$62,'418'!$D$64:$D$66,'418'!$D$68:$D$69,'418'!$D$71:$D$77,'418'!$D$79,'418'!$D$81</definedName>
    <definedName name="OSRRefD22x_0" localSheetId="84">'420'!$D$23:$D$30,'420'!$D$32:$D$35,'420'!$D$37,'420'!$D$39,'420'!$D$41,'420'!$D$43:$D$44,'420'!$D$46</definedName>
    <definedName name="OSRRefD22x_0" localSheetId="85">'423'!$D$21:$D$28,'423'!$D$30,'423'!$D$32,'423'!$D$34,'423'!$D$36,'423'!$D$38</definedName>
    <definedName name="OSRRefD22x_0" localSheetId="86">'424'!$D$23:$D$24,'424'!$D$26:$D$30,'424'!$D$32,'424'!$D$34,'424'!$D$36,'424'!$D$38,'424'!$D$40,'424'!$D$42,'424'!$D$44:$D$45,'424'!$D$47,'424'!$D$49,'424'!$D$51:$D$54,'424'!$D$56</definedName>
    <definedName name="OSRRefD22x_0" localSheetId="87">'425'!$D$25:$D$33,'425'!$D$35:$D$40,'425'!$D$42,'425'!$D$44,'425'!$D$46,'425'!$D$48,'425'!$D$50,'425'!$D$52,'425'!$D$54,'425'!$D$56:$D$58,'425'!$D$60,'425'!$D$62:$D$63,'425'!$D$65:$D$71,'425'!$D$73,'425'!$D$75</definedName>
    <definedName name="OSRRefD22x_0" localSheetId="90">'430'!$D$20:$D$27,'430'!$D$29,'430'!$D$31,'430'!$D$33,'430'!$D$35:$D$36,'430'!$D$38,'430'!$D$40,'430'!$D$42</definedName>
    <definedName name="OSRRefD22x_0" localSheetId="91">'433'!$D$25:$D$33,'433'!$D$35:$D$40,'433'!$D$42,'433'!$D$44,'433'!$D$46,'433'!$D$48,'433'!$D$50,'433'!$D$52,'433'!$D$54,'433'!$D$56,'433'!$D$58,'433'!$D$60:$D$62,'433'!$D$64:$D$66,'433'!$D$68:$D$75,'433'!$D$77,'433'!$D$79,'433'!$D$81</definedName>
    <definedName name="OSRRefD22x_0" localSheetId="92">'435'!$D$25:$D$27,'435'!$D$29:$D$31,'435'!$D$33,'435'!$D$35,'435'!$D$37,'435'!$D$39,'435'!$D$41,'435'!$D$43:$D$45,'435'!$D$47</definedName>
    <definedName name="OSRRefD22x_0" localSheetId="93">'444'!$D$25:$D$33,'444'!$D$35:$D$40,'444'!$D$42,'444'!$D$44,'444'!$D$46,'444'!$D$48,'444'!$D$50,'444'!$D$52,'444'!$D$54,'444'!$D$56,'444'!$D$58,'444'!$D$60:$D$62,'444'!$D$64:$D$67,'444'!$D$69,'444'!$D$71:$D$79,'444'!$D$81,'444'!$D$83,'444'!$D$85</definedName>
    <definedName name="OSRRefD22x_0" localSheetId="94">'450'!$D$25:$D$33,'450'!$D$35:$D$40,'450'!$D$42,'450'!$D$44,'450'!$D$46,'450'!$D$48,'450'!$D$50,'450'!$D$52,'450'!$D$54,'450'!$D$56,'450'!$D$58,'450'!$D$60,'450'!$D$62,'450'!$D$64:$D$66,'450'!$D$68:$D$73,'450'!$D$75,'450'!$D$77,'450'!$D$79</definedName>
    <definedName name="OSRRefD22x_0" localSheetId="88">'455'!$D$20:$D$26,'455'!$D$28:$D$29</definedName>
    <definedName name="OSRRefD22x_0" localSheetId="75">'491'!$D$31:$D$39,'491'!$D$41:$D$47,'491'!$D$49,'491'!$D$51,'491'!$D$53,'491'!$D$55:$D$57,'491'!$D$59,'491'!$D$61,'491'!$D$63,'491'!$D$65,'491'!$D$67,'491'!$D$69:$D$70,'491'!$D$72,'491'!$D$74,'491'!$D$76,'491'!$D$78,'491'!$D$80:$D$83,'491'!$D$85:$D$86,'491'!$D$88:$D$92,'491'!$D$94:$D$95,'491'!$D$97:$D$105,'491'!$D$107,'491'!$D$109,'491'!$D$111:$D$113,'491'!$D$115</definedName>
    <definedName name="OSRRefD22x_0" localSheetId="89">'492'!$D$27:$D$35,'492'!$D$37:$D$43,'492'!$D$45,'492'!$D$47,'492'!$D$49,'492'!$D$51,'492'!$D$53,'492'!$D$55,'492'!$D$57,'492'!$D$59,'492'!$D$61,'492'!$D$63,'492'!$D$65:$D$67,'492'!$D$69:$D$72,'492'!$D$74,'492'!$D$76:$D$84,'492'!$D$86,'492'!$D$88,'492'!$D$90</definedName>
    <definedName name="OSRRefD22x_0" localSheetId="96">'501'!$D$21:$D$29,'501'!$D$31:$D$35,'501'!$D$37,'501'!$D$39,'501'!$D$41,'501'!$D$43:$D$44,'501'!$D$46,'501'!$D$48,'501'!$D$50,'501'!$D$52:$D$54,'501'!$D$56,'501'!$D$58:$D$60,'501'!$D$62</definedName>
    <definedName name="OSRRefD22x_0" localSheetId="39">'Div 2'!$D$20:$D$30,'Div 2'!$D$32:$D$38,'Div 2'!$D$40,'Div 2'!$D$42,'Div 2'!$D$44,'Div 2'!$D$46,'Div 2'!$D$48,'Div 2'!$D$50,'Div 2'!$D$52,'Div 2'!$D$54:$D$55,'Div 2'!$D$57,'Div 2'!$D$59,'Div 2'!$D$61:$D$64,'Div 2'!$D$66:$D$68,'Div 2'!$D$70:$D$71,'Div 2'!$D$73,'Div 2'!$D$75:$D$79,'Div 2'!$D$81:$D$82,'Div 2'!$D$84,'Div 2'!$D$86:$D$87</definedName>
    <definedName name="OSRRefD22x_0" localSheetId="47">'Div 3'!$D$168:$D$177,'Div 3'!$D$179:$D$185,'Div 3'!$D$187,'Div 3'!$D$189:$D$190,'Div 3'!$D$192,'Div 3'!$D$194:$D$195,'Div 3'!$D$197:$D$198,'Div 3'!$D$200,'Div 3'!$D$202,'Div 3'!$D$204,'Div 3'!$D$206:$D$207,'Div 3'!$D$209,'Div 3'!$D$211,'Div 3'!$D$213,'Div 3'!$D$215,'Div 3'!$D$217,'Div 3'!$D$219,'Div 3'!$D$221:$D$224,'Div 3'!$D$226:$D$228,'Div 3'!$D$230:$D$234,'Div 3'!$D$236:$D$237,'Div 3'!$D$239:$D$246,'Div 3'!$D$248:$D$249,'Div 3'!$D$251,'Div 3'!$D$253:$D$255,'Div 3'!$D$257</definedName>
    <definedName name="OSRRefD22x_0" localSheetId="73">'Div 4'!$D$32:$D$40,'Div 4'!$D$42:$D$48,'Div 4'!$D$50,'Div 4'!$D$52,'Div 4'!$D$54,'Div 4'!$D$56:$D$58,'Div 4'!$D$60,'Div 4'!$D$62,'Div 4'!$D$64,'Div 4'!$D$66,'Div 4'!$D$68,'Div 4'!$D$70:$D$71,'Div 4'!$D$73,'Div 4'!$D$75,'Div 4'!$D$77,'Div 4'!$D$79,'Div 4'!$D$81,'Div 4'!$D$83:$D$86,'Div 4'!$D$88:$D$89,'Div 4'!$D$91:$D$95,'Div 4'!$D$97:$D$98,'Div 4'!$D$100:$D$108,'Div 4'!$D$110,'Div 4'!$D$112,'Div 4'!$D$114:$D$116,'Div 4'!$D$118</definedName>
    <definedName name="OSRRefD22x_0" localSheetId="95">'Div 5'!$D$21:$D$29,'Div 5'!$D$31:$D$35,'Div 5'!$D$37,'Div 5'!$D$39,'Div 5'!$D$41,'Div 5'!$D$43:$D$44,'Div 5'!$D$46,'Div 5'!$D$48,'Div 5'!$D$50,'Div 5'!$D$52:$D$54,'Div 5'!$D$56,'Div 5'!$D$58:$D$60,'Div 5'!$D$62</definedName>
    <definedName name="OSRRefD22x_0" localSheetId="64">'Div 6'!$D$58:$D$66,'Div 6'!$D$68:$D$72,'Div 6'!$D$74,'Div 6'!$D$76,'Div 6'!$D$78,'Div 6'!$D$80:$D$81,'Div 6'!$D$83,'Div 6'!$D$85,'Div 6'!$D$87,'Div 6'!$D$89,'Div 6'!$D$91:$D$93,'Div 6'!$D$95,'Div 6'!$D$97,'Div 6'!$D$99</definedName>
    <definedName name="OSRRefD22x_0" localSheetId="2">Summary!$D$200:$D$209,Summary!$D$211:$D$217,Summary!$D$219,Summary!$D$221:$D$222,Summary!$D$224,Summary!$D$226:$D$228,Summary!$D$230:$D$231,Summary!$D$233,Summary!$D$235,Summary!$D$237,Summary!$D$239:$D$240,Summary!$D$242:$D$243,Summary!$D$245,Summary!$D$247,Summary!$D$249,Summary!$D$251,Summary!$D$253,Summary!$D$255,Summary!$D$257:$D$260,Summary!$D$262:$D$264,Summary!$D$266:$D$270,Summary!$D$272:$D$273,Summary!$D$275:$D$283,Summary!$D$285:$D$286,Summary!$D$288,Summary!$D$290:$D$292,Summary!$D$294</definedName>
    <definedName name="OSRRefD25x_0" localSheetId="48">'300'!$D$251:$D$259</definedName>
    <definedName name="OSRRefD25x_0" localSheetId="49">'300 &amp; 317'!$D$276:$D$287</definedName>
    <definedName name="OSRRefD25x_0" localSheetId="50">'301'!$D$97:$D$99</definedName>
    <definedName name="OSRRefD25x_0" localSheetId="53">'307'!$D$112</definedName>
    <definedName name="OSRRefD25x_0" localSheetId="55">'308'!$D$117:$D$119</definedName>
    <definedName name="OSRRefD25x_0" localSheetId="74">'310 &amp; 491'!$D$126:$D$128</definedName>
    <definedName name="OSRRefD25x_0" localSheetId="56">'311'!$D$116:$D$118</definedName>
    <definedName name="OSRRefD25x_0" localSheetId="59">'315'!$D$129:$D$130</definedName>
    <definedName name="OSRRefD25x_0" localSheetId="62">'316'!$D$81</definedName>
    <definedName name="OSRRefD25x_0" localSheetId="65">'317'!$D$102:$D$105</definedName>
    <definedName name="OSRRefD25x_0" localSheetId="63">'320'!$D$57:$D$61</definedName>
    <definedName name="OSRRefD25x_0" localSheetId="52">'330'!$D$127</definedName>
    <definedName name="OSRRefD25x_0" localSheetId="58">'331'!$D$159:$D$160</definedName>
    <definedName name="OSRRefD25x_0" localSheetId="61">'332'!$D$91:$D$96</definedName>
    <definedName name="OSRRefD25x_0" localSheetId="78">'411'!$D$89:$D$90</definedName>
    <definedName name="OSRRefD25x_0" localSheetId="80">'413'!$D$66</definedName>
    <definedName name="OSRRefD25x_0" localSheetId="82">'415'!$D$88</definedName>
    <definedName name="OSRRefD25x_0" localSheetId="83">'418'!$D$84</definedName>
    <definedName name="OSRRefD25x_0" localSheetId="85">'423'!$D$41</definedName>
    <definedName name="OSRRefD25x_0" localSheetId="86">'424'!$D$59</definedName>
    <definedName name="OSRRefD25x_0" localSheetId="87">'425'!$D$78</definedName>
    <definedName name="OSRRefD25x_0" localSheetId="88">'455'!$D$32:$D$33</definedName>
    <definedName name="OSRRefD25x_0" localSheetId="75">'491'!$D$118:$D$120</definedName>
    <definedName name="OSRRefD25x_0" localSheetId="96">'501'!$D$65</definedName>
    <definedName name="OSRRefD25x_0" localSheetId="47">'Div 3'!$D$260:$D$268</definedName>
    <definedName name="OSRRefD25x_0" localSheetId="73">'Div 4'!$D$121:$D$123</definedName>
    <definedName name="OSRRefD25x_0" localSheetId="95">'Div 5'!$D$65</definedName>
    <definedName name="OSRRefD25x_0" localSheetId="64">'Div 6'!$D$102:$D$105</definedName>
    <definedName name="OSRRefD25x_0" localSheetId="2">Summary!$D$297:$D$309</definedName>
    <definedName name="OSRRefH13x_0" localSheetId="48">'300'!$H$13:$H$105</definedName>
    <definedName name="OSRRefH13x_0" localSheetId="49">'300 &amp; 317'!$H$13:$H$123</definedName>
    <definedName name="OSRRefH13x_0" localSheetId="53">'307'!$H$13:$H$43</definedName>
    <definedName name="OSRRefH13x_0" localSheetId="55">'308'!$H$13:$H$41</definedName>
    <definedName name="OSRRefH13x_0" localSheetId="67">'309'!$H$13:$H$14</definedName>
    <definedName name="OSRRefH13x_0" localSheetId="66">'310'!$H$13:$H$21</definedName>
    <definedName name="OSRRefH13x_0" localSheetId="74">'310 &amp; 491'!$H$13:$H$28</definedName>
    <definedName name="OSRRefH13x_0" localSheetId="56">'311'!$H$13:$H$40</definedName>
    <definedName name="OSRRefH13x_0" localSheetId="68">'313'!$H$13:$H$18</definedName>
    <definedName name="OSRRefH13x_0" localSheetId="54">'314'!$H$13:$H$32</definedName>
    <definedName name="OSRRefH13x_0" localSheetId="59">'315'!$H$13:$H$50</definedName>
    <definedName name="OSRRefH13x_0" localSheetId="62">'316'!$H$13:$H$26</definedName>
    <definedName name="OSRRefH13x_0" localSheetId="65">'317'!$H$13:$H$37</definedName>
    <definedName name="OSRRefH13x_0" localSheetId="63">'320'!$H$13:$H$15</definedName>
    <definedName name="OSRRefH13x_0" localSheetId="69">'321'!$H$13:$H$14</definedName>
    <definedName name="OSRRefH13x_0" localSheetId="70">'322'!$H$13:$H$14</definedName>
    <definedName name="OSRRefH13x_0" localSheetId="57">'324'!$H$13:$H$15</definedName>
    <definedName name="OSRRefH13x_0" localSheetId="71">'325'!$H$13:$H$14</definedName>
    <definedName name="OSRRefH13x_0" localSheetId="60">'326'!$H$13:$H$38</definedName>
    <definedName name="OSRRefH13x_0" localSheetId="72">'327'!$H$13</definedName>
    <definedName name="OSRRefH13x_0" localSheetId="52">'330'!$H$13:$H$48</definedName>
    <definedName name="OSRRefH13x_0" localSheetId="58">'331'!$H$13:$H$54</definedName>
    <definedName name="OSRRefH13x_0" localSheetId="61">'332'!$H$13:$H$29</definedName>
    <definedName name="OSRRefH13x_0" localSheetId="76">'405'!$H$13:$H$14</definedName>
    <definedName name="OSRRefH13x_0" localSheetId="77">'406'!$H$13:$H$14</definedName>
    <definedName name="OSRRefH13x_0" localSheetId="79">'412'!$H$13:$H$14</definedName>
    <definedName name="OSRRefH13x_0" localSheetId="80">'413'!$H$13:$H$14</definedName>
    <definedName name="OSRRefH13x_0" localSheetId="81">'414'!$H$13:$H$14</definedName>
    <definedName name="OSRRefH13x_0" localSheetId="82">'415'!$H$13:$H$14</definedName>
    <definedName name="OSRRefH13x_0" localSheetId="83">'418'!$H$13:$H$14</definedName>
    <definedName name="OSRRefH13x_0" localSheetId="84">'420'!$H$13:$H$14</definedName>
    <definedName name="OSRRefH13x_0" localSheetId="86">'424'!$H$13</definedName>
    <definedName name="OSRRefH13x_0" localSheetId="87">'425'!$H$13:$H$15</definedName>
    <definedName name="OSRRefH13x_0" localSheetId="91">'433'!$H$13:$H$15</definedName>
    <definedName name="OSRRefH13x_0" localSheetId="92">'435'!$H$13:$H$15</definedName>
    <definedName name="OSRRefH13x_0" localSheetId="93">'444'!$H$13:$H$15</definedName>
    <definedName name="OSRRefH13x_0" localSheetId="94">'450'!$H$13:$H$15</definedName>
    <definedName name="OSRRefH13x_0" localSheetId="75">'491'!$H$13:$H$21</definedName>
    <definedName name="OSRRefH13x_0" localSheetId="89">'492'!$H$13:$H$17</definedName>
    <definedName name="OSRRefH13x_0" localSheetId="96">'501'!$H$13</definedName>
    <definedName name="OSRRefH13x_0" localSheetId="47">'Div 3'!$H$13:$H$108</definedName>
    <definedName name="OSRRefH13x_0" localSheetId="73">'Div 4'!$H$13:$H$22</definedName>
    <definedName name="OSRRefH13x_0" localSheetId="95">'Div 5'!$H$13</definedName>
    <definedName name="OSRRefH13x_0" localSheetId="64">'Div 6'!$H$13:$H$37</definedName>
    <definedName name="OSRRefH13x_0" localSheetId="2">Summary!$H$13:$H$133</definedName>
    <definedName name="OSRRefH16x_0" localSheetId="48">'300'!$H$108:$H$157</definedName>
    <definedName name="OSRRefH16x_0" localSheetId="49">'300 &amp; 317'!$H$126:$H$182</definedName>
    <definedName name="OSRRefH16x_0" localSheetId="53">'307'!$H$46:$H$65</definedName>
    <definedName name="OSRRefH16x_0" localSheetId="55">'308'!$H$44:$H$59</definedName>
    <definedName name="OSRRefH16x_0" localSheetId="67">'309'!$H$17:$H$18</definedName>
    <definedName name="OSRRefH16x_0" localSheetId="66">'310'!$H$24:$H$25</definedName>
    <definedName name="OSRRefH16x_0" localSheetId="74">'310 &amp; 491'!$H$31:$H$32</definedName>
    <definedName name="OSRRefH16x_0" localSheetId="56">'311'!$H$43:$H$58</definedName>
    <definedName name="OSRRefH16x_0" localSheetId="68">'313'!$H$21:$H$22</definedName>
    <definedName name="OSRRefH16x_0" localSheetId="54">'314'!$H$35:$H$49</definedName>
    <definedName name="OSRRefH16x_0" localSheetId="59">'315'!$H$53:$H$75</definedName>
    <definedName name="OSRRefH16x_0" localSheetId="65">'317'!$H$40:$H$52</definedName>
    <definedName name="OSRRefH16x_0" localSheetId="63">'320'!$H$18:$H$22</definedName>
    <definedName name="OSRRefH16x_0" localSheetId="69">'321'!$H$17:$H$18</definedName>
    <definedName name="OSRRefH16x_0" localSheetId="70">'322'!$H$17:$H$18</definedName>
    <definedName name="OSRRefH16x_0" localSheetId="57">'324'!$H$18:$H$19</definedName>
    <definedName name="OSRRefH16x_0" localSheetId="71">'325'!$H$17:$H$18</definedName>
    <definedName name="OSRRefH16x_0" localSheetId="60">'326'!$H$41:$H$55</definedName>
    <definedName name="OSRRefH16x_0" localSheetId="72">'327'!$H$16</definedName>
    <definedName name="OSRRefH16x_0" localSheetId="52">'330'!$H$51:$H$73</definedName>
    <definedName name="OSRRefH16x_0" localSheetId="58">'331'!$H$57:$H$83</definedName>
    <definedName name="OSRRefH16x_0" localSheetId="61">'332'!$H$32:$H$36</definedName>
    <definedName name="OSRRefH16x_0" localSheetId="76">'405'!$H$17:$H$18</definedName>
    <definedName name="OSRRefH16x_0" localSheetId="77">'406'!$H$17:$H$18</definedName>
    <definedName name="OSRRefH16x_0" localSheetId="79">'412'!$H$17</definedName>
    <definedName name="OSRRefH16x_0" localSheetId="80">'413'!$H$17:$H$18</definedName>
    <definedName name="OSRRefH16x_0" localSheetId="81">'414'!$H$17:$H$18</definedName>
    <definedName name="OSRRefH16x_0" localSheetId="82">'415'!$H$17:$H$18</definedName>
    <definedName name="OSRRefH16x_0" localSheetId="83">'418'!$H$17:$H$18</definedName>
    <definedName name="OSRRefH16x_0" localSheetId="84">'420'!$H$17</definedName>
    <definedName name="OSRRefH16x_0" localSheetId="85">'423'!$H$15</definedName>
    <definedName name="OSRRefH16x_0" localSheetId="86">'424'!$H$16:$H$17</definedName>
    <definedName name="OSRRefH16x_0" localSheetId="87">'425'!$H$18:$H$19</definedName>
    <definedName name="OSRRefH16x_0" localSheetId="91">'433'!$H$18:$H$19</definedName>
    <definedName name="OSRRefH16x_0" localSheetId="92">'435'!$H$18:$H$19</definedName>
    <definedName name="OSRRefH16x_0" localSheetId="93">'444'!$H$18:$H$19</definedName>
    <definedName name="OSRRefH16x_0" localSheetId="94">'450'!$H$18:$H$19</definedName>
    <definedName name="OSRRefH16x_0" localSheetId="75">'491'!$H$24:$H$25</definedName>
    <definedName name="OSRRefH16x_0" localSheetId="89">'492'!$H$20:$H$21</definedName>
    <definedName name="OSRRefH16x_0" localSheetId="47">'Div 3'!$H$111:$H$162</definedName>
    <definedName name="OSRRefH16x_0" localSheetId="73">'Div 4'!$H$25:$H$26</definedName>
    <definedName name="OSRRefH16x_0" localSheetId="64">'Div 6'!$H$40:$H$52</definedName>
    <definedName name="OSRRefH16x_0" localSheetId="2">Summary!$H$136:$H$194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'203'!$H$20:$H$29</definedName>
    <definedName name="OSRRefH22_0x_0" localSheetId="44">'204'!$H$20:$H$29</definedName>
    <definedName name="OSRRefH22_0x_0" localSheetId="45">'205'!$H$20:$H$27</definedName>
    <definedName name="OSRRefH22_0x_0" localSheetId="46">'206'!$H$20:$H$27</definedName>
    <definedName name="OSRRefH22_0x_0" localSheetId="48">'300'!$H$163:$H$172</definedName>
    <definedName name="OSRRefH22_0x_0" localSheetId="49">'300 &amp; 317'!$H$188:$H$197</definedName>
    <definedName name="OSRRefH22_0x_0" localSheetId="50">'301'!$H$20:$H$29</definedName>
    <definedName name="OSRRefH22_0x_0" localSheetId="51">'306'!$H$20:$H$28</definedName>
    <definedName name="OSRRefH22_0x_0" localSheetId="53">'307'!$H$71:$H$78</definedName>
    <definedName name="OSRRefH22_0x_0" localSheetId="55">'308'!$H$65:$H$73</definedName>
    <definedName name="OSRRefH22_0x_0" localSheetId="67">'309'!$H$24:$H$31</definedName>
    <definedName name="OSRRefH22_0x_0" localSheetId="66">'310'!$H$31:$H$38</definedName>
    <definedName name="OSRRefH22_0x_0" localSheetId="74">'310 &amp; 491'!$H$38:$H$46</definedName>
    <definedName name="OSRRefH22_0x_0" localSheetId="56">'311'!$H$64:$H$72</definedName>
    <definedName name="OSRRefH22_0x_0" localSheetId="68">'313'!$H$28:$H$35</definedName>
    <definedName name="OSRRefH22_0x_0" localSheetId="54">'314'!$H$55:$H$62</definedName>
    <definedName name="OSRRefH22_0x_0" localSheetId="59">'315'!$H$81:$H$88</definedName>
    <definedName name="OSRRefH22_0x_0" localSheetId="62">'316'!$H$34:$H$41</definedName>
    <definedName name="OSRRefH22_0x_0" localSheetId="65">'317'!$H$58:$H$66</definedName>
    <definedName name="OSRRefH22_0x_0" localSheetId="63">'320'!$H$28:$H$34</definedName>
    <definedName name="OSRRefH22_0x_0" localSheetId="69">'321'!$H$24:$H$31</definedName>
    <definedName name="OSRRefH22_0x_0" localSheetId="70">'322'!$H$24:$H$31</definedName>
    <definedName name="OSRRefH22_0x_0" localSheetId="71">'325'!$H$24:$H$31</definedName>
    <definedName name="OSRRefH22_0x_0" localSheetId="60">'326'!$H$61:$H$68</definedName>
    <definedName name="OSRRefH22_0x_0" localSheetId="72">'327'!$H$22</definedName>
    <definedName name="OSRRefH22_0x_0" localSheetId="52">'330'!$H$79:$H$86</definedName>
    <definedName name="OSRRefH22_0x_0" localSheetId="58">'331'!$H$89:$H$96</definedName>
    <definedName name="OSRRefH22_0x_0" localSheetId="61">'332'!$H$42:$H$49</definedName>
    <definedName name="OSRRefH22_0x_0" localSheetId="76">'405'!$H$24:$H$31</definedName>
    <definedName name="OSRRefH22_0x_0" localSheetId="77">'406'!$H$24:$H$31</definedName>
    <definedName name="OSRRefH22_0x_0" localSheetId="78">'411'!$H$20:$H$28</definedName>
    <definedName name="OSRRefH22_0x_0" localSheetId="79">'412'!$H$23:$H$30</definedName>
    <definedName name="OSRRefH22_0x_0" localSheetId="80">'413'!$H$24:$H$31</definedName>
    <definedName name="OSRRefH22_0x_0" localSheetId="81">'414'!$H$24:$H$31</definedName>
    <definedName name="OSRRefH22_0x_0" localSheetId="82">'415'!$H$24:$H$31</definedName>
    <definedName name="OSRRefH22_0x_0" localSheetId="83">'418'!$H$24:$H$31</definedName>
    <definedName name="OSRRefH22_0x_0" localSheetId="84">'420'!$H$23:$H$30</definedName>
    <definedName name="OSRRefH22_0x_0" localSheetId="85">'423'!$H$21:$H$28</definedName>
    <definedName name="OSRRefH22_0x_0" localSheetId="86">'424'!$H$23:$H$24</definedName>
    <definedName name="OSRRefH22_0x_0" localSheetId="87">'425'!$H$25:$H$33</definedName>
    <definedName name="OSRRefH22_0x_0" localSheetId="90">'430'!$H$20:$H$27</definedName>
    <definedName name="OSRRefH22_0x_0" localSheetId="91">'433'!$H$25:$H$33</definedName>
    <definedName name="OSRRefH22_0x_0" localSheetId="92">'435'!$H$25:$H$27</definedName>
    <definedName name="OSRRefH22_0x_0" localSheetId="93">'444'!$H$25:$H$33</definedName>
    <definedName name="OSRRefH22_0x_0" localSheetId="94">'450'!$H$25:$H$33</definedName>
    <definedName name="OSRRefH22_0x_0" localSheetId="88">'455'!$H$20:$H$26</definedName>
    <definedName name="OSRRefH22_0x_0" localSheetId="75">'491'!$H$31:$H$39</definedName>
    <definedName name="OSRRefH22_0x_0" localSheetId="89">'492'!$H$27:$H$35</definedName>
    <definedName name="OSRRefH22_0x_0" localSheetId="96">'501'!$H$21:$H$29</definedName>
    <definedName name="OSRRefH22_0x_0" localSheetId="39">'Div 2'!$H$20:$H$30</definedName>
    <definedName name="OSRRefH22_0x_0" localSheetId="47">'Div 3'!$H$168:$H$177</definedName>
    <definedName name="OSRRefH22_0x_0" localSheetId="73">'Div 4'!$H$32:$H$40</definedName>
    <definedName name="OSRRefH22_0x_0" localSheetId="95">'Div 5'!$H$21:$H$29</definedName>
    <definedName name="OSRRefH22_0x_0" localSheetId="64">'Div 6'!$H$58:$H$66</definedName>
    <definedName name="OSRRefH22_0x_0" localSheetId="2">Summary!$H$200:$H$209</definedName>
    <definedName name="OSRRefH22_10x_0" localSheetId="41">'201'!$H$51:$H$53</definedName>
    <definedName name="OSRRefH22_10x_0" localSheetId="42">'202'!$H$53</definedName>
    <definedName name="OSRRefH22_10x_0" localSheetId="43">'203'!$H$54:$H$55</definedName>
    <definedName name="OSRRefH22_10x_0" localSheetId="44">'204'!$H$56:$H$57</definedName>
    <definedName name="OSRRefH22_10x_0" localSheetId="48">'300'!$H$201:$H$202</definedName>
    <definedName name="OSRRefH22_10x_0" localSheetId="49">'300 &amp; 317'!$H$226:$H$227</definedName>
    <definedName name="OSRRefH22_10x_0" localSheetId="50">'301'!$H$58</definedName>
    <definedName name="OSRRefH22_10x_0" localSheetId="53">'307'!$H$107</definedName>
    <definedName name="OSRRefH22_10x_0" localSheetId="55">'308'!$H$102:$H$103</definedName>
    <definedName name="OSRRefH22_10x_0" localSheetId="67">'309'!$H$56:$H$58</definedName>
    <definedName name="OSRRefH22_10x_0" localSheetId="66">'310'!$H$64</definedName>
    <definedName name="OSRRefH22_10x_0" localSheetId="74">'310 &amp; 491'!$H$74:$H$75</definedName>
    <definedName name="OSRRefH22_10x_0" localSheetId="56">'311'!$H$101:$H$102</definedName>
    <definedName name="OSRRefH22_10x_0" localSheetId="68">'313'!$H$61:$H$65</definedName>
    <definedName name="OSRRefH22_10x_0" localSheetId="59">'315'!$H$121</definedName>
    <definedName name="OSRRefH22_10x_0" localSheetId="62">'316'!$H$67:$H$72</definedName>
    <definedName name="OSRRefH22_10x_0" localSheetId="65">'317'!$H$91:$H$93</definedName>
    <definedName name="OSRRefH22_10x_0" localSheetId="69">'321'!$H$62</definedName>
    <definedName name="OSRRefH22_10x_0" localSheetId="70">'322'!$H$57:$H$62</definedName>
    <definedName name="OSRRefH22_10x_0" localSheetId="71">'325'!$H$56</definedName>
    <definedName name="OSRRefH22_10x_0" localSheetId="60">'326'!$H$92</definedName>
    <definedName name="OSRRefH22_10x_0" localSheetId="52">'330'!$H$113</definedName>
    <definedName name="OSRRefH22_10x_0" localSheetId="58">'331'!$H$123</definedName>
    <definedName name="OSRRefH22_10x_0" localSheetId="61">'332'!$H$75</definedName>
    <definedName name="OSRRefH22_10x_0" localSheetId="76">'405'!$H$55:$H$56</definedName>
    <definedName name="OSRRefH22_10x_0" localSheetId="77">'406'!$H$57:$H$58</definedName>
    <definedName name="OSRRefH22_10x_0" localSheetId="78">'411'!$H$55</definedName>
    <definedName name="OSRRefH22_10x_0" localSheetId="79">'412'!$H$56:$H$57</definedName>
    <definedName name="OSRRefH22_10x_0" localSheetId="80">'413'!$H$63</definedName>
    <definedName name="OSRRefH22_10x_0" localSheetId="81">'414'!$H$56</definedName>
    <definedName name="OSRRefH22_10x_0" localSheetId="82">'415'!$H$56</definedName>
    <definedName name="OSRRefH22_10x_0" localSheetId="83">'418'!$H$57:$H$58</definedName>
    <definedName name="OSRRefH22_10x_0" localSheetId="86">'424'!$H$49</definedName>
    <definedName name="OSRRefH22_10x_0" localSheetId="87">'425'!$H$60</definedName>
    <definedName name="OSRRefH22_10x_0" localSheetId="91">'433'!$H$58</definedName>
    <definedName name="OSRRefH22_10x_0" localSheetId="93">'444'!$H$58</definedName>
    <definedName name="OSRRefH22_10x_0" localSheetId="94">'450'!$H$58</definedName>
    <definedName name="OSRRefH22_10x_0" localSheetId="75">'491'!$H$67</definedName>
    <definedName name="OSRRefH22_10x_0" localSheetId="89">'492'!$H$61</definedName>
    <definedName name="OSRRefH22_10x_0" localSheetId="96">'501'!$H$56</definedName>
    <definedName name="OSRRefH22_10x_0" localSheetId="39">'Div 2'!$H$57</definedName>
    <definedName name="OSRRefH22_10x_0" localSheetId="47">'Div 3'!$H$206:$H$207</definedName>
    <definedName name="OSRRefH22_10x_0" localSheetId="73">'Div 4'!$H$68</definedName>
    <definedName name="OSRRefH22_10x_0" localSheetId="95">'Div 5'!$H$56</definedName>
    <definedName name="OSRRefH22_10x_0" localSheetId="64">'Div 6'!$H$91:$H$93</definedName>
    <definedName name="OSRRefH22_10x_0" localSheetId="2">Summary!$H$239:$H$240</definedName>
    <definedName name="OSRRefH22_11x_0" localSheetId="41">'201'!$H$55</definedName>
    <definedName name="OSRRefH22_11x_0" localSheetId="42">'202'!$H$55:$H$57</definedName>
    <definedName name="OSRRefH22_11x_0" localSheetId="43">'203'!$H$57</definedName>
    <definedName name="OSRRefH22_11x_0" localSheetId="48">'300'!$H$204</definedName>
    <definedName name="OSRRefH22_11x_0" localSheetId="49">'300 &amp; 317'!$H$229</definedName>
    <definedName name="OSRRefH22_11x_0" localSheetId="50">'301'!$H$60</definedName>
    <definedName name="OSRRefH22_11x_0" localSheetId="53">'307'!$H$109</definedName>
    <definedName name="OSRRefH22_11x_0" localSheetId="55">'308'!$H$105:$H$107</definedName>
    <definedName name="OSRRefH22_11x_0" localSheetId="67">'309'!$H$60:$H$62</definedName>
    <definedName name="OSRRefH22_11x_0" localSheetId="66">'310'!$H$66</definedName>
    <definedName name="OSRRefH22_11x_0" localSheetId="74">'310 &amp; 491'!$H$77:$H$78</definedName>
    <definedName name="OSRRefH22_11x_0" localSheetId="56">'311'!$H$104:$H$106</definedName>
    <definedName name="OSRRefH22_11x_0" localSheetId="68">'313'!$H$67</definedName>
    <definedName name="OSRRefH22_11x_0" localSheetId="59">'315'!$H$123</definedName>
    <definedName name="OSRRefH22_11x_0" localSheetId="62">'316'!$H$74</definedName>
    <definedName name="OSRRefH22_11x_0" localSheetId="65">'317'!$H$95</definedName>
    <definedName name="OSRRefH22_11x_0" localSheetId="69">'321'!$H$64</definedName>
    <definedName name="OSRRefH22_11x_0" localSheetId="70">'322'!$H$64</definedName>
    <definedName name="OSRRefH22_11x_0" localSheetId="71">'325'!$H$58:$H$60</definedName>
    <definedName name="OSRRefH22_11x_0" localSheetId="60">'326'!$H$94</definedName>
    <definedName name="OSRRefH22_11x_0" localSheetId="52">'330'!$H$115:$H$118</definedName>
    <definedName name="OSRRefH22_11x_0" localSheetId="58">'331'!$H$125</definedName>
    <definedName name="OSRRefH22_11x_0" localSheetId="61">'332'!$H$77:$H$82</definedName>
    <definedName name="OSRRefH22_11x_0" localSheetId="76">'405'!$H$58</definedName>
    <definedName name="OSRRefH22_11x_0" localSheetId="77">'406'!$H$60:$H$64</definedName>
    <definedName name="OSRRefH22_11x_0" localSheetId="78">'411'!$H$57</definedName>
    <definedName name="OSRRefH22_11x_0" localSheetId="79">'412'!$H$59:$H$64</definedName>
    <definedName name="OSRRefH22_11x_0" localSheetId="81">'414'!$H$58</definedName>
    <definedName name="OSRRefH22_11x_0" localSheetId="82">'415'!$H$58:$H$61</definedName>
    <definedName name="OSRRefH22_11x_0" localSheetId="83">'418'!$H$60:$H$62</definedName>
    <definedName name="OSRRefH22_11x_0" localSheetId="86">'424'!$H$51:$H$54</definedName>
    <definedName name="OSRRefH22_11x_0" localSheetId="87">'425'!$H$62:$H$63</definedName>
    <definedName name="OSRRefH22_11x_0" localSheetId="91">'433'!$H$60:$H$62</definedName>
    <definedName name="OSRRefH22_11x_0" localSheetId="93">'444'!$H$60:$H$62</definedName>
    <definedName name="OSRRefH22_11x_0" localSheetId="94">'450'!$H$60</definedName>
    <definedName name="OSRRefH22_11x_0" localSheetId="75">'491'!$H$69:$H$70</definedName>
    <definedName name="OSRRefH22_11x_0" localSheetId="89">'492'!$H$63</definedName>
    <definedName name="OSRRefH22_11x_0" localSheetId="96">'501'!$H$58:$H$60</definedName>
    <definedName name="OSRRefH22_11x_0" localSheetId="39">'Div 2'!$H$59</definedName>
    <definedName name="OSRRefH22_11x_0" localSheetId="47">'Div 3'!$H$209</definedName>
    <definedName name="OSRRefH22_11x_0" localSheetId="73">'Div 4'!$H$70:$H$71</definedName>
    <definedName name="OSRRefH22_11x_0" localSheetId="95">'Div 5'!$H$58:$H$60</definedName>
    <definedName name="OSRRefH22_11x_0" localSheetId="64">'Div 6'!$H$95</definedName>
    <definedName name="OSRRefH22_11x_0" localSheetId="2">Summary!$H$242:$H$243</definedName>
    <definedName name="OSRRefH22_12x_0" localSheetId="41">'201'!$H$57:$H$60</definedName>
    <definedName name="OSRRefH22_12x_0" localSheetId="42">'202'!$H$59</definedName>
    <definedName name="OSRRefH22_12x_0" localSheetId="43">'203'!$H$59:$H$62</definedName>
    <definedName name="OSRRefH22_12x_0" localSheetId="48">'300'!$H$206</definedName>
    <definedName name="OSRRefH22_12x_0" localSheetId="49">'300 &amp; 317'!$H$231</definedName>
    <definedName name="OSRRefH22_12x_0" localSheetId="50">'301'!$H$62</definedName>
    <definedName name="OSRRefH22_12x_0" localSheetId="55">'308'!$H$109:$H$110</definedName>
    <definedName name="OSRRefH22_12x_0" localSheetId="67">'309'!$H$64</definedName>
    <definedName name="OSRRefH22_12x_0" localSheetId="66">'310'!$H$68</definedName>
    <definedName name="OSRRefH22_12x_0" localSheetId="74">'310 &amp; 491'!$H$80</definedName>
    <definedName name="OSRRefH22_12x_0" localSheetId="56">'311'!$H$108:$H$109</definedName>
    <definedName name="OSRRefH22_12x_0" localSheetId="68">'313'!$H$69</definedName>
    <definedName name="OSRRefH22_12x_0" localSheetId="59">'315'!$H$125:$H$126</definedName>
    <definedName name="OSRRefH22_12x_0" localSheetId="62">'316'!$H$76</definedName>
    <definedName name="OSRRefH22_12x_0" localSheetId="65">'317'!$H$97</definedName>
    <definedName name="OSRRefH22_12x_0" localSheetId="70">'322'!$H$66</definedName>
    <definedName name="OSRRefH22_12x_0" localSheetId="71">'325'!$H$62:$H$64</definedName>
    <definedName name="OSRRefH22_12x_0" localSheetId="60">'326'!$H$96:$H$97</definedName>
    <definedName name="OSRRefH22_12x_0" localSheetId="52">'330'!$H$120</definedName>
    <definedName name="OSRRefH22_12x_0" localSheetId="58">'331'!$H$127</definedName>
    <definedName name="OSRRefH22_12x_0" localSheetId="61">'332'!$H$84</definedName>
    <definedName name="OSRRefH22_12x_0" localSheetId="76">'405'!$H$60:$H$62</definedName>
    <definedName name="OSRRefH22_12x_0" localSheetId="77">'406'!$H$66</definedName>
    <definedName name="OSRRefH22_12x_0" localSheetId="78">'411'!$H$59:$H$60</definedName>
    <definedName name="OSRRefH22_12x_0" localSheetId="79">'412'!$H$66</definedName>
    <definedName name="OSRRefH22_12x_0" localSheetId="81">'414'!$H$60</definedName>
    <definedName name="OSRRefH22_12x_0" localSheetId="82">'415'!$H$63:$H$67</definedName>
    <definedName name="OSRRefH22_12x_0" localSheetId="83">'418'!$H$64:$H$66</definedName>
    <definedName name="OSRRefH22_12x_0" localSheetId="86">'424'!$H$56</definedName>
    <definedName name="OSRRefH22_12x_0" localSheetId="87">'425'!$H$65:$H$71</definedName>
    <definedName name="OSRRefH22_12x_0" localSheetId="91">'433'!$H$64:$H$66</definedName>
    <definedName name="OSRRefH22_12x_0" localSheetId="93">'444'!$H$64:$H$67</definedName>
    <definedName name="OSRRefH22_12x_0" localSheetId="94">'450'!$H$62</definedName>
    <definedName name="OSRRefH22_12x_0" localSheetId="75">'491'!$H$72</definedName>
    <definedName name="OSRRefH22_12x_0" localSheetId="89">'492'!$H$65:$H$67</definedName>
    <definedName name="OSRRefH22_12x_0" localSheetId="96">'501'!$H$62</definedName>
    <definedName name="OSRRefH22_12x_0" localSheetId="39">'Div 2'!$H$61:$H$64</definedName>
    <definedName name="OSRRefH22_12x_0" localSheetId="47">'Div 3'!$H$211</definedName>
    <definedName name="OSRRefH22_12x_0" localSheetId="73">'Div 4'!$H$73</definedName>
    <definedName name="OSRRefH22_12x_0" localSheetId="95">'Div 5'!$H$62</definedName>
    <definedName name="OSRRefH22_12x_0" localSheetId="64">'Div 6'!$H$97</definedName>
    <definedName name="OSRRefH22_12x_0" localSheetId="2">Summary!$H$245</definedName>
    <definedName name="OSRRefH22_13x_0" localSheetId="41">'201'!$H$62</definedName>
    <definedName name="OSRRefH22_13x_0" localSheetId="42">'202'!$H$61</definedName>
    <definedName name="OSRRefH22_13x_0" localSheetId="43">'203'!$H$64</definedName>
    <definedName name="OSRRefH22_13x_0" localSheetId="48">'300'!$H$208</definedName>
    <definedName name="OSRRefH22_13x_0" localSheetId="49">'300 &amp; 317'!$H$233</definedName>
    <definedName name="OSRRefH22_13x_0" localSheetId="50">'301'!$H$64</definedName>
    <definedName name="OSRRefH22_13x_0" localSheetId="55">'308'!$H$112</definedName>
    <definedName name="OSRRefH22_13x_0" localSheetId="66">'310'!$H$70</definedName>
    <definedName name="OSRRefH22_13x_0" localSheetId="74">'310 &amp; 491'!$H$82</definedName>
    <definedName name="OSRRefH22_13x_0" localSheetId="56">'311'!$H$111</definedName>
    <definedName name="OSRRefH22_13x_0" localSheetId="62">'316'!$H$78</definedName>
    <definedName name="OSRRefH22_13x_0" localSheetId="65">'317'!$H$99</definedName>
    <definedName name="OSRRefH22_13x_0" localSheetId="71">'325'!$H$66</definedName>
    <definedName name="OSRRefH22_13x_0" localSheetId="60">'326'!$H$99:$H$101</definedName>
    <definedName name="OSRRefH22_13x_0" localSheetId="52">'330'!$H$122</definedName>
    <definedName name="OSRRefH22_13x_0" localSheetId="58">'331'!$H$129:$H$130</definedName>
    <definedName name="OSRRefH22_13x_0" localSheetId="61">'332'!$H$86</definedName>
    <definedName name="OSRRefH22_13x_0" localSheetId="76">'405'!$H$64:$H$65</definedName>
    <definedName name="OSRRefH22_13x_0" localSheetId="77">'406'!$H$68</definedName>
    <definedName name="OSRRefH22_13x_0" localSheetId="78">'411'!$H$62:$H$66</definedName>
    <definedName name="OSRRefH22_13x_0" localSheetId="79">'412'!$H$68</definedName>
    <definedName name="OSRRefH22_13x_0" localSheetId="81">'414'!$H$62:$H$68</definedName>
    <definedName name="OSRRefH22_13x_0" localSheetId="82">'415'!$H$69:$H$70</definedName>
    <definedName name="OSRRefH22_13x_0" localSheetId="83">'418'!$H$68:$H$69</definedName>
    <definedName name="OSRRefH22_13x_0" localSheetId="87">'425'!$H$73</definedName>
    <definedName name="OSRRefH22_13x_0" localSheetId="91">'433'!$H$68:$H$75</definedName>
    <definedName name="OSRRefH22_13x_0" localSheetId="93">'444'!$H$69</definedName>
    <definedName name="OSRRefH22_13x_0" localSheetId="94">'450'!$H$64:$H$66</definedName>
    <definedName name="OSRRefH22_13x_0" localSheetId="75">'491'!$H$74</definedName>
    <definedName name="OSRRefH22_13x_0" localSheetId="89">'492'!$H$69:$H$72</definedName>
    <definedName name="OSRRefH22_13x_0" localSheetId="39">'Div 2'!$H$66:$H$68</definedName>
    <definedName name="OSRRefH22_13x_0" localSheetId="47">'Div 3'!$H$213</definedName>
    <definedName name="OSRRefH22_13x_0" localSheetId="73">'Div 4'!$H$75</definedName>
    <definedName name="OSRRefH22_13x_0" localSheetId="64">'Div 6'!$H$99</definedName>
    <definedName name="OSRRefH22_13x_0" localSheetId="2">Summary!$H$247</definedName>
    <definedName name="OSRRefH22_14x_0" localSheetId="41">'201'!$H$64</definedName>
    <definedName name="OSRRefH22_14x_0" localSheetId="42">'202'!$H$63</definedName>
    <definedName name="OSRRefH22_14x_0" localSheetId="43">'203'!$H$66</definedName>
    <definedName name="OSRRefH22_14x_0" localSheetId="48">'300'!$H$210</definedName>
    <definedName name="OSRRefH22_14x_0" localSheetId="49">'300 &amp; 317'!$H$235</definedName>
    <definedName name="OSRRefH22_14x_0" localSheetId="50">'301'!$H$66</definedName>
    <definedName name="OSRRefH22_14x_0" localSheetId="55">'308'!$H$114</definedName>
    <definedName name="OSRRefH22_14x_0" localSheetId="66">'310'!$H$72:$H$74</definedName>
    <definedName name="OSRRefH22_14x_0" localSheetId="74">'310 &amp; 491'!$H$84</definedName>
    <definedName name="OSRRefH22_14x_0" localSheetId="56">'311'!$H$113</definedName>
    <definedName name="OSRRefH22_14x_0" localSheetId="71">'325'!$H$68:$H$72</definedName>
    <definedName name="OSRRefH22_14x_0" localSheetId="60">'326'!$H$103:$H$104</definedName>
    <definedName name="OSRRefH22_14x_0" localSheetId="52">'330'!$H$124</definedName>
    <definedName name="OSRRefH22_14x_0" localSheetId="58">'331'!$H$132:$H$133</definedName>
    <definedName name="OSRRefH22_14x_0" localSheetId="61">'332'!$H$88</definedName>
    <definedName name="OSRRefH22_14x_0" localSheetId="76">'405'!$H$67:$H$73</definedName>
    <definedName name="OSRRefH22_14x_0" localSheetId="78">'411'!$H$68</definedName>
    <definedName name="OSRRefH22_14x_0" localSheetId="81">'414'!$H$70</definedName>
    <definedName name="OSRRefH22_14x_0" localSheetId="82">'415'!$H$72:$H$79</definedName>
    <definedName name="OSRRefH22_14x_0" localSheetId="83">'418'!$H$71:$H$77</definedName>
    <definedName name="OSRRefH22_14x_0" localSheetId="87">'425'!$H$75</definedName>
    <definedName name="OSRRefH22_14x_0" localSheetId="91">'433'!$H$77</definedName>
    <definedName name="OSRRefH22_14x_0" localSheetId="93">'444'!$H$71:$H$79</definedName>
    <definedName name="OSRRefH22_14x_0" localSheetId="94">'450'!$H$68:$H$73</definedName>
    <definedName name="OSRRefH22_14x_0" localSheetId="75">'491'!$H$76</definedName>
    <definedName name="OSRRefH22_14x_0" localSheetId="89">'492'!$H$74</definedName>
    <definedName name="OSRRefH22_14x_0" localSheetId="39">'Div 2'!$H$70:$H$71</definedName>
    <definedName name="OSRRefH22_14x_0" localSheetId="47">'Div 3'!$H$215</definedName>
    <definedName name="OSRRefH22_14x_0" localSheetId="73">'Div 4'!$H$77</definedName>
    <definedName name="OSRRefH22_14x_0" localSheetId="2">Summary!$H$249</definedName>
    <definedName name="OSRRefH22_15x_0" localSheetId="41">'201'!$H$66</definedName>
    <definedName name="OSRRefH22_15x_0" localSheetId="43">'203'!$H$68</definedName>
    <definedName name="OSRRefH22_15x_0" localSheetId="48">'300'!$H$212</definedName>
    <definedName name="OSRRefH22_15x_0" localSheetId="49">'300 &amp; 317'!$H$237</definedName>
    <definedName name="OSRRefH22_15x_0" localSheetId="50">'301'!$H$68:$H$71</definedName>
    <definedName name="OSRRefH22_15x_0" localSheetId="66">'310'!$H$76</definedName>
    <definedName name="OSRRefH22_15x_0" localSheetId="74">'310 &amp; 491'!$H$86</definedName>
    <definedName name="OSRRefH22_15x_0" localSheetId="71">'325'!$H$74</definedName>
    <definedName name="OSRRefH22_15x_0" localSheetId="60">'326'!$H$106:$H$111</definedName>
    <definedName name="OSRRefH22_15x_0" localSheetId="58">'331'!$H$135:$H$137</definedName>
    <definedName name="OSRRefH22_15x_0" localSheetId="76">'405'!$H$75</definedName>
    <definedName name="OSRRefH22_15x_0" localSheetId="78">'411'!$H$70:$H$76</definedName>
    <definedName name="OSRRefH22_15x_0" localSheetId="81">'414'!$H$72</definedName>
    <definedName name="OSRRefH22_15x_0" localSheetId="82">'415'!$H$81</definedName>
    <definedName name="OSRRefH22_15x_0" localSheetId="83">'418'!$H$79</definedName>
    <definedName name="OSRRefH22_15x_0" localSheetId="91">'433'!$H$79</definedName>
    <definedName name="OSRRefH22_15x_0" localSheetId="93">'444'!$H$81</definedName>
    <definedName name="OSRRefH22_15x_0" localSheetId="94">'450'!$H$75</definedName>
    <definedName name="OSRRefH22_15x_0" localSheetId="75">'491'!$H$78</definedName>
    <definedName name="OSRRefH22_15x_0" localSheetId="89">'492'!$H$76:$H$84</definedName>
    <definedName name="OSRRefH22_15x_0" localSheetId="39">'Div 2'!$H$73</definedName>
    <definedName name="OSRRefH22_15x_0" localSheetId="47">'Div 3'!$H$217</definedName>
    <definedName name="OSRRefH22_15x_0" localSheetId="73">'Div 4'!$H$79</definedName>
    <definedName name="OSRRefH22_15x_0" localSheetId="2">Summary!$H$251</definedName>
    <definedName name="OSRRefH22_16x_0" localSheetId="48">'300'!$H$214:$H$217</definedName>
    <definedName name="OSRRefH22_16x_0" localSheetId="49">'300 &amp; 317'!$H$239:$H$242</definedName>
    <definedName name="OSRRefH22_16x_0" localSheetId="50">'301'!$H$73:$H$75</definedName>
    <definedName name="OSRRefH22_16x_0" localSheetId="66">'310'!$H$78:$H$81</definedName>
    <definedName name="OSRRefH22_16x_0" localSheetId="74">'310 &amp; 491'!$H$88:$H$91</definedName>
    <definedName name="OSRRefH22_16x_0" localSheetId="71">'325'!$H$76</definedName>
    <definedName name="OSRRefH22_16x_0" localSheetId="60">'326'!$H$113</definedName>
    <definedName name="OSRRefH22_16x_0" localSheetId="58">'331'!$H$139:$H$140</definedName>
    <definedName name="OSRRefH22_16x_0" localSheetId="76">'405'!$H$77</definedName>
    <definedName name="OSRRefH22_16x_0" localSheetId="78">'411'!$H$78</definedName>
    <definedName name="OSRRefH22_16x_0" localSheetId="82">'415'!$H$83</definedName>
    <definedName name="OSRRefH22_16x_0" localSheetId="83">'418'!$H$81</definedName>
    <definedName name="OSRRefH22_16x_0" localSheetId="91">'433'!$H$81</definedName>
    <definedName name="OSRRefH22_16x_0" localSheetId="93">'444'!$H$83</definedName>
    <definedName name="OSRRefH22_16x_0" localSheetId="94">'450'!$H$77</definedName>
    <definedName name="OSRRefH22_16x_0" localSheetId="75">'491'!$H$80:$H$83</definedName>
    <definedName name="OSRRefH22_16x_0" localSheetId="89">'492'!$H$86</definedName>
    <definedName name="OSRRefH22_16x_0" localSheetId="39">'Div 2'!$H$75:$H$79</definedName>
    <definedName name="OSRRefH22_16x_0" localSheetId="47">'Div 3'!$H$219</definedName>
    <definedName name="OSRRefH22_16x_0" localSheetId="73">'Div 4'!$H$81</definedName>
    <definedName name="OSRRefH22_16x_0" localSheetId="2">Summary!$H$253</definedName>
    <definedName name="OSRRefH22_17x_0" localSheetId="48">'300'!$H$219:$H$221</definedName>
    <definedName name="OSRRefH22_17x_0" localSheetId="49">'300 &amp; 317'!$H$244:$H$246</definedName>
    <definedName name="OSRRefH22_17x_0" localSheetId="50">'301'!$H$77</definedName>
    <definedName name="OSRRefH22_17x_0" localSheetId="66">'310'!$H$83</definedName>
    <definedName name="OSRRefH22_17x_0" localSheetId="74">'310 &amp; 491'!$H$93:$H$94</definedName>
    <definedName name="OSRRefH22_17x_0" localSheetId="60">'326'!$H$115</definedName>
    <definedName name="OSRRefH22_17x_0" localSheetId="58">'331'!$H$142:$H$147</definedName>
    <definedName name="OSRRefH22_17x_0" localSheetId="76">'405'!$H$79</definedName>
    <definedName name="OSRRefH22_17x_0" localSheetId="78">'411'!$H$80</definedName>
    <definedName name="OSRRefH22_17x_0" localSheetId="82">'415'!$H$85</definedName>
    <definedName name="OSRRefH22_17x_0" localSheetId="93">'444'!$H$85</definedName>
    <definedName name="OSRRefH22_17x_0" localSheetId="94">'450'!$H$79</definedName>
    <definedName name="OSRRefH22_17x_0" localSheetId="75">'491'!$H$85:$H$86</definedName>
    <definedName name="OSRRefH22_17x_0" localSheetId="89">'492'!$H$88</definedName>
    <definedName name="OSRRefH22_17x_0" localSheetId="39">'Div 2'!$H$81:$H$82</definedName>
    <definedName name="OSRRefH22_17x_0" localSheetId="47">'Div 3'!$H$221:$H$224</definedName>
    <definedName name="OSRRefH22_17x_0" localSheetId="73">'Div 4'!$H$83:$H$86</definedName>
    <definedName name="OSRRefH22_17x_0" localSheetId="2">Summary!$H$255</definedName>
    <definedName name="OSRRefH22_18x_0" localSheetId="48">'300'!$H$223:$H$226</definedName>
    <definedName name="OSRRefH22_18x_0" localSheetId="49">'300 &amp; 317'!$H$248:$H$251</definedName>
    <definedName name="OSRRefH22_18x_0" localSheetId="50">'301'!$H$79:$H$84</definedName>
    <definedName name="OSRRefH22_18x_0" localSheetId="66">'310'!$H$85:$H$92</definedName>
    <definedName name="OSRRefH22_18x_0" localSheetId="74">'310 &amp; 491'!$H$96:$H$100</definedName>
    <definedName name="OSRRefH22_18x_0" localSheetId="60">'326'!$H$117</definedName>
    <definedName name="OSRRefH22_18x_0" localSheetId="58">'331'!$H$149</definedName>
    <definedName name="OSRRefH22_18x_0" localSheetId="78">'411'!$H$82:$H$84</definedName>
    <definedName name="OSRRefH22_18x_0" localSheetId="75">'491'!$H$88:$H$92</definedName>
    <definedName name="OSRRefH22_18x_0" localSheetId="89">'492'!$H$90</definedName>
    <definedName name="OSRRefH22_18x_0" localSheetId="39">'Div 2'!$H$84</definedName>
    <definedName name="OSRRefH22_18x_0" localSheetId="47">'Div 3'!$H$226:$H$228</definedName>
    <definedName name="OSRRefH22_18x_0" localSheetId="73">'Div 4'!$H$88:$H$89</definedName>
    <definedName name="OSRRefH22_18x_0" localSheetId="2">Summary!$H$257:$H$260</definedName>
    <definedName name="OSRRefH22_19x_0" localSheetId="48">'300'!$H$228:$H$229</definedName>
    <definedName name="OSRRefH22_19x_0" localSheetId="49">'300 &amp; 317'!$H$253:$H$254</definedName>
    <definedName name="OSRRefH22_19x_0" localSheetId="50">'301'!$H$86</definedName>
    <definedName name="OSRRefH22_19x_0" localSheetId="66">'310'!$H$94</definedName>
    <definedName name="OSRRefH22_19x_0" localSheetId="74">'310 &amp; 491'!$H$102:$H$103</definedName>
    <definedName name="OSRRefH22_19x_0" localSheetId="58">'331'!$H$151</definedName>
    <definedName name="OSRRefH22_19x_0" localSheetId="78">'411'!$H$86</definedName>
    <definedName name="OSRRefH22_19x_0" localSheetId="75">'491'!$H$94:$H$95</definedName>
    <definedName name="OSRRefH22_19x_0" localSheetId="39">'Div 2'!$H$86:$H$87</definedName>
    <definedName name="OSRRefH22_19x_0" localSheetId="47">'Div 3'!$H$230:$H$234</definedName>
    <definedName name="OSRRefH22_19x_0" localSheetId="73">'Div 4'!$H$91:$H$95</definedName>
    <definedName name="OSRRefH22_19x_0" localSheetId="2">Summary!$H$262:$H$264</definedName>
    <definedName name="OSRRefH22_1x_0" localSheetId="40">'200'!$H$22</definedName>
    <definedName name="OSRRefH22_1x_0" localSheetId="41">'201'!$H$29:$H$31</definedName>
    <definedName name="OSRRefH22_1x_0" localSheetId="42">'202'!$H$29:$H$32</definedName>
    <definedName name="OSRRefH22_1x_0" localSheetId="43">'203'!$H$31:$H$35</definedName>
    <definedName name="OSRRefH22_1x_0" localSheetId="44">'204'!$H$31:$H$35</definedName>
    <definedName name="OSRRefH22_1x_0" localSheetId="45">'205'!$H$29</definedName>
    <definedName name="OSRRefH22_1x_0" localSheetId="46">'206'!$H$29:$H$32</definedName>
    <definedName name="OSRRefH22_1x_0" localSheetId="48">'300'!$H$174:$H$180</definedName>
    <definedName name="OSRRefH22_1x_0" localSheetId="49">'300 &amp; 317'!$H$199:$H$205</definedName>
    <definedName name="OSRRefH22_1x_0" localSheetId="50">'301'!$H$31:$H$37</definedName>
    <definedName name="OSRRefH22_1x_0" localSheetId="51">'306'!$H$30:$H$35</definedName>
    <definedName name="OSRRefH22_1x_0" localSheetId="53">'307'!$H$80:$H$83</definedName>
    <definedName name="OSRRefH22_1x_0" localSheetId="55">'308'!$H$75:$H$81</definedName>
    <definedName name="OSRRefH22_1x_0" localSheetId="67">'309'!$H$33:$H$37</definedName>
    <definedName name="OSRRefH22_1x_0" localSheetId="66">'310'!$H$40:$H$45</definedName>
    <definedName name="OSRRefH22_1x_0" localSheetId="74">'310 &amp; 491'!$H$48:$H$54</definedName>
    <definedName name="OSRRefH22_1x_0" localSheetId="56">'311'!$H$74:$H$80</definedName>
    <definedName name="OSRRefH22_1x_0" localSheetId="68">'313'!$H$37:$H$41</definedName>
    <definedName name="OSRRefH22_1x_0" localSheetId="54">'314'!$H$64:$H$66</definedName>
    <definedName name="OSRRefH22_1x_0" localSheetId="59">'315'!$H$90:$H$95</definedName>
    <definedName name="OSRRefH22_1x_0" localSheetId="62">'316'!$H$43:$H$46</definedName>
    <definedName name="OSRRefH22_1x_0" localSheetId="65">'317'!$H$68:$H$72</definedName>
    <definedName name="OSRRefH22_1x_0" localSheetId="63">'320'!$H$36:$H$38</definedName>
    <definedName name="OSRRefH22_1x_0" localSheetId="69">'321'!$H$33:$H$37</definedName>
    <definedName name="OSRRefH22_1x_0" localSheetId="70">'322'!$H$33:$H$36</definedName>
    <definedName name="OSRRefH22_1x_0" localSheetId="71">'325'!$H$33:$H$37</definedName>
    <definedName name="OSRRefH22_1x_0" localSheetId="60">'326'!$H$70:$H$74</definedName>
    <definedName name="OSRRefH22_1x_0" localSheetId="72">'327'!$H$24</definedName>
    <definedName name="OSRRefH22_1x_0" localSheetId="52">'330'!$H$88:$H$92</definedName>
    <definedName name="OSRRefH22_1x_0" localSheetId="58">'331'!$H$98:$H$103</definedName>
    <definedName name="OSRRefH22_1x_0" localSheetId="61">'332'!$H$51:$H$54</definedName>
    <definedName name="OSRRefH22_1x_0" localSheetId="76">'405'!$H$33:$H$36</definedName>
    <definedName name="OSRRefH22_1x_0" localSheetId="77">'406'!$H$33:$H$37</definedName>
    <definedName name="OSRRefH22_1x_0" localSheetId="78">'411'!$H$30:$H$35</definedName>
    <definedName name="OSRRefH22_1x_0" localSheetId="79">'412'!$H$32:$H$37</definedName>
    <definedName name="OSRRefH22_1x_0" localSheetId="80">'413'!$H$33:$H$36</definedName>
    <definedName name="OSRRefH22_1x_0" localSheetId="81">'414'!$H$33:$H$37</definedName>
    <definedName name="OSRRefH22_1x_0" localSheetId="82">'415'!$H$33:$H$37</definedName>
    <definedName name="OSRRefH22_1x_0" localSheetId="83">'418'!$H$33:$H$38</definedName>
    <definedName name="OSRRefH22_1x_0" localSheetId="84">'420'!$H$32:$H$35</definedName>
    <definedName name="OSRRefH22_1x_0" localSheetId="85">'423'!$H$30</definedName>
    <definedName name="OSRRefH22_1x_0" localSheetId="86">'424'!$H$26:$H$30</definedName>
    <definedName name="OSRRefH22_1x_0" localSheetId="87">'425'!$H$35:$H$40</definedName>
    <definedName name="OSRRefH22_1x_0" localSheetId="90">'430'!$H$29</definedName>
    <definedName name="OSRRefH22_1x_0" localSheetId="91">'433'!$H$35:$H$40</definedName>
    <definedName name="OSRRefH22_1x_0" localSheetId="92">'435'!$H$29:$H$31</definedName>
    <definedName name="OSRRefH22_1x_0" localSheetId="93">'444'!$H$35:$H$40</definedName>
    <definedName name="OSRRefH22_1x_0" localSheetId="94">'450'!$H$35:$H$40</definedName>
    <definedName name="OSRRefH22_1x_0" localSheetId="88">'455'!$H$28:$H$29</definedName>
    <definedName name="OSRRefH22_1x_0" localSheetId="75">'491'!$H$41:$H$47</definedName>
    <definedName name="OSRRefH22_1x_0" localSheetId="89">'492'!$H$37:$H$43</definedName>
    <definedName name="OSRRefH22_1x_0" localSheetId="96">'501'!$H$31:$H$35</definedName>
    <definedName name="OSRRefH22_1x_0" localSheetId="39">'Div 2'!$H$32:$H$38</definedName>
    <definedName name="OSRRefH22_1x_0" localSheetId="47">'Div 3'!$H$179:$H$185</definedName>
    <definedName name="OSRRefH22_1x_0" localSheetId="73">'Div 4'!$H$42:$H$48</definedName>
    <definedName name="OSRRefH22_1x_0" localSheetId="95">'Div 5'!$H$31:$H$35</definedName>
    <definedName name="OSRRefH22_1x_0" localSheetId="64">'Div 6'!$H$68:$H$72</definedName>
    <definedName name="OSRRefH22_1x_0" localSheetId="2">Summary!$H$211:$H$217</definedName>
    <definedName name="OSRRefH22_20x_0" localSheetId="48">'300'!$H$231:$H$237</definedName>
    <definedName name="OSRRefH22_20x_0" localSheetId="49">'300 &amp; 317'!$H$256:$H$262</definedName>
    <definedName name="OSRRefH22_20x_0" localSheetId="50">'301'!$H$88</definedName>
    <definedName name="OSRRefH22_20x_0" localSheetId="66">'310'!$H$96</definedName>
    <definedName name="OSRRefH22_20x_0" localSheetId="74">'310 &amp; 491'!$H$105:$H$113</definedName>
    <definedName name="OSRRefH22_20x_0" localSheetId="58">'331'!$H$153:$H$154</definedName>
    <definedName name="OSRRefH22_20x_0" localSheetId="75">'491'!$H$97:$H$105</definedName>
    <definedName name="OSRRefH22_20x_0" localSheetId="47">'Div 3'!$H$236:$H$237</definedName>
    <definedName name="OSRRefH22_20x_0" localSheetId="73">'Div 4'!$H$97:$H$98</definedName>
    <definedName name="OSRRefH22_20x_0" localSheetId="2">Summary!$H$266:$H$270</definedName>
    <definedName name="OSRRefH22_21x_0" localSheetId="48">'300'!$H$239:$H$240</definedName>
    <definedName name="OSRRefH22_21x_0" localSheetId="49">'300 &amp; 317'!$H$264:$H$265</definedName>
    <definedName name="OSRRefH22_21x_0" localSheetId="50">'301'!$H$90:$H$92</definedName>
    <definedName name="OSRRefH22_21x_0" localSheetId="66">'310'!$H$98</definedName>
    <definedName name="OSRRefH22_21x_0" localSheetId="74">'310 &amp; 491'!$H$115</definedName>
    <definedName name="OSRRefH22_21x_0" localSheetId="58">'331'!$H$156</definedName>
    <definedName name="OSRRefH22_21x_0" localSheetId="75">'491'!$H$107</definedName>
    <definedName name="OSRRefH22_21x_0" localSheetId="47">'Div 3'!$H$239:$H$246</definedName>
    <definedName name="OSRRefH22_21x_0" localSheetId="73">'Div 4'!$H$100:$H$108</definedName>
    <definedName name="OSRRefH22_21x_0" localSheetId="2">Summary!$H$272:$H$273</definedName>
    <definedName name="OSRRefH22_22x_0" localSheetId="48">'300'!$H$242</definedName>
    <definedName name="OSRRefH22_22x_0" localSheetId="49">'300 &amp; 317'!$H$267</definedName>
    <definedName name="OSRRefH22_22x_0" localSheetId="50">'301'!$H$94</definedName>
    <definedName name="OSRRefH22_22x_0" localSheetId="74">'310 &amp; 491'!$H$117</definedName>
    <definedName name="OSRRefH22_22x_0" localSheetId="75">'491'!$H$109</definedName>
    <definedName name="OSRRefH22_22x_0" localSheetId="47">'Div 3'!$H$248:$H$249</definedName>
    <definedName name="OSRRefH22_22x_0" localSheetId="73">'Div 4'!$H$110</definedName>
    <definedName name="OSRRefH22_22x_0" localSheetId="2">Summary!$H$275:$H$283</definedName>
    <definedName name="OSRRefH22_23x_0" localSheetId="48">'300'!$H$244:$H$246</definedName>
    <definedName name="OSRRefH22_23x_0" localSheetId="49">'300 &amp; 317'!$H$269:$H$271</definedName>
    <definedName name="OSRRefH22_23x_0" localSheetId="74">'310 &amp; 491'!$H$119:$H$121</definedName>
    <definedName name="OSRRefH22_23x_0" localSheetId="75">'491'!$H$111:$H$113</definedName>
    <definedName name="OSRRefH22_23x_0" localSheetId="47">'Div 3'!$H$251</definedName>
    <definedName name="OSRRefH22_23x_0" localSheetId="73">'Div 4'!$H$112</definedName>
    <definedName name="OSRRefH22_23x_0" localSheetId="2">Summary!$H$285:$H$286</definedName>
    <definedName name="OSRRefH22_24x_0" localSheetId="48">'300'!$H$248</definedName>
    <definedName name="OSRRefH22_24x_0" localSheetId="49">'300 &amp; 317'!$H$273</definedName>
    <definedName name="OSRRefH22_24x_0" localSheetId="74">'310 &amp; 491'!$H$123</definedName>
    <definedName name="OSRRefH22_24x_0" localSheetId="75">'491'!$H$115</definedName>
    <definedName name="OSRRefH22_24x_0" localSheetId="47">'Div 3'!$H$253:$H$255</definedName>
    <definedName name="OSRRefH22_24x_0" localSheetId="73">'Div 4'!$H$114:$H$116</definedName>
    <definedName name="OSRRefH22_24x_0" localSheetId="2">Summary!$H$288</definedName>
    <definedName name="OSRRefH22_25x_0" localSheetId="47">'Div 3'!$H$257</definedName>
    <definedName name="OSRRefH22_25x_0" localSheetId="73">'Div 4'!$H$118</definedName>
    <definedName name="OSRRefH22_25x_0" localSheetId="2">Summary!$H$290:$H$292</definedName>
    <definedName name="OSRRefH22_26x_0" localSheetId="2">Summary!$H$294</definedName>
    <definedName name="OSRRefH22_2x_0" localSheetId="40">'200'!$H$24</definedName>
    <definedName name="OSRRefH22_2x_0" localSheetId="41">'201'!$H$33</definedName>
    <definedName name="OSRRefH22_2x_0" localSheetId="42">'202'!$H$34</definedName>
    <definedName name="OSRRefH22_2x_0" localSheetId="43">'203'!$H$37</definedName>
    <definedName name="OSRRefH22_2x_0" localSheetId="44">'204'!$H$37</definedName>
    <definedName name="OSRRefH22_2x_0" localSheetId="45">'205'!$H$31</definedName>
    <definedName name="OSRRefH22_2x_0" localSheetId="46">'206'!$H$34</definedName>
    <definedName name="OSRRefH22_2x_0" localSheetId="48">'300'!$H$182</definedName>
    <definedName name="OSRRefH22_2x_0" localSheetId="49">'300 &amp; 317'!$H$207</definedName>
    <definedName name="OSRRefH22_2x_0" localSheetId="50">'301'!$H$39</definedName>
    <definedName name="OSRRefH22_2x_0" localSheetId="51">'306'!$H$37</definedName>
    <definedName name="OSRRefH22_2x_0" localSheetId="53">'307'!$H$85</definedName>
    <definedName name="OSRRefH22_2x_0" localSheetId="55">'308'!$H$83</definedName>
    <definedName name="OSRRefH22_2x_0" localSheetId="67">'309'!$H$39</definedName>
    <definedName name="OSRRefH22_2x_0" localSheetId="66">'310'!$H$47</definedName>
    <definedName name="OSRRefH22_2x_0" localSheetId="74">'310 &amp; 491'!$H$56</definedName>
    <definedName name="OSRRefH22_2x_0" localSheetId="56">'311'!$H$82</definedName>
    <definedName name="OSRRefH22_2x_0" localSheetId="68">'313'!$H$43</definedName>
    <definedName name="OSRRefH22_2x_0" localSheetId="54">'314'!$H$68</definedName>
    <definedName name="OSRRefH22_2x_0" localSheetId="59">'315'!$H$97</definedName>
    <definedName name="OSRRefH22_2x_0" localSheetId="62">'316'!$H$48</definedName>
    <definedName name="OSRRefH22_2x_0" localSheetId="65">'317'!$H$74</definedName>
    <definedName name="OSRRefH22_2x_0" localSheetId="63">'320'!$H$40</definedName>
    <definedName name="OSRRefH22_2x_0" localSheetId="69">'321'!$H$39</definedName>
    <definedName name="OSRRefH22_2x_0" localSheetId="70">'322'!$H$38</definedName>
    <definedName name="OSRRefH22_2x_0" localSheetId="71">'325'!$H$39</definedName>
    <definedName name="OSRRefH22_2x_0" localSheetId="60">'326'!$H$76</definedName>
    <definedName name="OSRRefH22_2x_0" localSheetId="72">'327'!$H$26</definedName>
    <definedName name="OSRRefH22_2x_0" localSheetId="52">'330'!$H$94</definedName>
    <definedName name="OSRRefH22_2x_0" localSheetId="58">'331'!$H$105</definedName>
    <definedName name="OSRRefH22_2x_0" localSheetId="61">'332'!$H$56</definedName>
    <definedName name="OSRRefH22_2x_0" localSheetId="76">'405'!$H$38</definedName>
    <definedName name="OSRRefH22_2x_0" localSheetId="77">'406'!$H$39</definedName>
    <definedName name="OSRRefH22_2x_0" localSheetId="78">'411'!$H$37</definedName>
    <definedName name="OSRRefH22_2x_0" localSheetId="79">'412'!$H$39</definedName>
    <definedName name="OSRRefH22_2x_0" localSheetId="80">'413'!$H$38</definedName>
    <definedName name="OSRRefH22_2x_0" localSheetId="81">'414'!$H$39</definedName>
    <definedName name="OSRRefH22_2x_0" localSheetId="82">'415'!$H$39</definedName>
    <definedName name="OSRRefH22_2x_0" localSheetId="83">'418'!$H$40</definedName>
    <definedName name="OSRRefH22_2x_0" localSheetId="84">'420'!$H$37</definedName>
    <definedName name="OSRRefH22_2x_0" localSheetId="85">'423'!$H$32</definedName>
    <definedName name="OSRRefH22_2x_0" localSheetId="86">'424'!$H$32</definedName>
    <definedName name="OSRRefH22_2x_0" localSheetId="87">'425'!$H$42</definedName>
    <definedName name="OSRRefH22_2x_0" localSheetId="90">'430'!$H$31</definedName>
    <definedName name="OSRRefH22_2x_0" localSheetId="91">'433'!$H$42</definedName>
    <definedName name="OSRRefH22_2x_0" localSheetId="92">'435'!$H$33</definedName>
    <definedName name="OSRRefH22_2x_0" localSheetId="93">'444'!$H$42</definedName>
    <definedName name="OSRRefH22_2x_0" localSheetId="94">'450'!$H$42</definedName>
    <definedName name="OSRRefH22_2x_0" localSheetId="75">'491'!$H$49</definedName>
    <definedName name="OSRRefH22_2x_0" localSheetId="89">'492'!$H$45</definedName>
    <definedName name="OSRRefH22_2x_0" localSheetId="96">'501'!$H$37</definedName>
    <definedName name="OSRRefH22_2x_0" localSheetId="39">'Div 2'!$H$40</definedName>
    <definedName name="OSRRefH22_2x_0" localSheetId="47">'Div 3'!$H$187</definedName>
    <definedName name="OSRRefH22_2x_0" localSheetId="73">'Div 4'!$H$50</definedName>
    <definedName name="OSRRefH22_2x_0" localSheetId="95">'Div 5'!$H$37</definedName>
    <definedName name="OSRRefH22_2x_0" localSheetId="64">'Div 6'!$H$74</definedName>
    <definedName name="OSRRefH22_2x_0" localSheetId="2">Summary!$H$219</definedName>
    <definedName name="OSRRefH22_3x_0" localSheetId="40">'200'!$H$26</definedName>
    <definedName name="OSRRefH22_3x_0" localSheetId="41">'201'!$H$35</definedName>
    <definedName name="OSRRefH22_3x_0" localSheetId="42">'202'!$H$36</definedName>
    <definedName name="OSRRefH22_3x_0" localSheetId="43">'203'!$H$39</definedName>
    <definedName name="OSRRefH22_3x_0" localSheetId="44">'204'!$H$39</definedName>
    <definedName name="OSRRefH22_3x_0" localSheetId="45">'205'!$H$33</definedName>
    <definedName name="OSRRefH22_3x_0" localSheetId="46">'206'!$H$36</definedName>
    <definedName name="OSRRefH22_3x_0" localSheetId="48">'300'!$H$184:$H$185</definedName>
    <definedName name="OSRRefH22_3x_0" localSheetId="49">'300 &amp; 317'!$H$209:$H$210</definedName>
    <definedName name="OSRRefH22_3x_0" localSheetId="50">'301'!$H$41:$H$42</definedName>
    <definedName name="OSRRefH22_3x_0" localSheetId="51">'306'!$H$39</definedName>
    <definedName name="OSRRefH22_3x_0" localSheetId="53">'307'!$H$87</definedName>
    <definedName name="OSRRefH22_3x_0" localSheetId="55">'308'!$H$85:$H$86</definedName>
    <definedName name="OSRRefH22_3x_0" localSheetId="67">'309'!$H$41</definedName>
    <definedName name="OSRRefH22_3x_0" localSheetId="66">'310'!$H$49</definedName>
    <definedName name="OSRRefH22_3x_0" localSheetId="74">'310 &amp; 491'!$H$58</definedName>
    <definedName name="OSRRefH22_3x_0" localSheetId="56">'311'!$H$84:$H$85</definedName>
    <definedName name="OSRRefH22_3x_0" localSheetId="68">'313'!$H$45</definedName>
    <definedName name="OSRRefH22_3x_0" localSheetId="54">'314'!$H$70:$H$71</definedName>
    <definedName name="OSRRefH22_3x_0" localSheetId="59">'315'!$H$99:$H$100</definedName>
    <definedName name="OSRRefH22_3x_0" localSheetId="62">'316'!$H$50</definedName>
    <definedName name="OSRRefH22_3x_0" localSheetId="65">'317'!$H$76</definedName>
    <definedName name="OSRRefH22_3x_0" localSheetId="63">'320'!$H$42</definedName>
    <definedName name="OSRRefH22_3x_0" localSheetId="69">'321'!$H$41</definedName>
    <definedName name="OSRRefH22_3x_0" localSheetId="70">'322'!$H$40</definedName>
    <definedName name="OSRRefH22_3x_0" localSheetId="71">'325'!$H$41</definedName>
    <definedName name="OSRRefH22_3x_0" localSheetId="60">'326'!$H$78</definedName>
    <definedName name="OSRRefH22_3x_0" localSheetId="52">'330'!$H$96</definedName>
    <definedName name="OSRRefH22_3x_0" localSheetId="58">'331'!$H$107</definedName>
    <definedName name="OSRRefH22_3x_0" localSheetId="61">'332'!$H$58</definedName>
    <definedName name="OSRRefH22_3x_0" localSheetId="76">'405'!$H$40</definedName>
    <definedName name="OSRRefH22_3x_0" localSheetId="77">'406'!$H$41</definedName>
    <definedName name="OSRRefH22_3x_0" localSheetId="78">'411'!$H$39</definedName>
    <definedName name="OSRRefH22_3x_0" localSheetId="79">'412'!$H$41</definedName>
    <definedName name="OSRRefH22_3x_0" localSheetId="80">'413'!$H$40</definedName>
    <definedName name="OSRRefH22_3x_0" localSheetId="81">'414'!$H$41</definedName>
    <definedName name="OSRRefH22_3x_0" localSheetId="82">'415'!$H$41</definedName>
    <definedName name="OSRRefH22_3x_0" localSheetId="83">'418'!$H$42</definedName>
    <definedName name="OSRRefH22_3x_0" localSheetId="84">'420'!$H$39</definedName>
    <definedName name="OSRRefH22_3x_0" localSheetId="85">'423'!$H$34</definedName>
    <definedName name="OSRRefH22_3x_0" localSheetId="86">'424'!$H$34</definedName>
    <definedName name="OSRRefH22_3x_0" localSheetId="87">'425'!$H$44</definedName>
    <definedName name="OSRRefH22_3x_0" localSheetId="90">'430'!$H$33</definedName>
    <definedName name="OSRRefH22_3x_0" localSheetId="91">'433'!$H$44</definedName>
    <definedName name="OSRRefH22_3x_0" localSheetId="92">'435'!$H$35</definedName>
    <definedName name="OSRRefH22_3x_0" localSheetId="93">'444'!$H$44</definedName>
    <definedName name="OSRRefH22_3x_0" localSheetId="94">'450'!$H$44</definedName>
    <definedName name="OSRRefH22_3x_0" localSheetId="75">'491'!$H$51</definedName>
    <definedName name="OSRRefH22_3x_0" localSheetId="89">'492'!$H$47</definedName>
    <definedName name="OSRRefH22_3x_0" localSheetId="96">'501'!$H$39</definedName>
    <definedName name="OSRRefH22_3x_0" localSheetId="39">'Div 2'!$H$42</definedName>
    <definedName name="OSRRefH22_3x_0" localSheetId="47">'Div 3'!$H$189:$H$190</definedName>
    <definedName name="OSRRefH22_3x_0" localSheetId="73">'Div 4'!$H$52</definedName>
    <definedName name="OSRRefH22_3x_0" localSheetId="95">'Div 5'!$H$39</definedName>
    <definedName name="OSRRefH22_3x_0" localSheetId="64">'Div 6'!$H$76</definedName>
    <definedName name="OSRRefH22_3x_0" localSheetId="2">Summary!$H$221:$H$222</definedName>
    <definedName name="OSRRefH22_4x_0" localSheetId="40">'200'!$H$28:$H$29</definedName>
    <definedName name="OSRRefH22_4x_0" localSheetId="41">'201'!$H$37</definedName>
    <definedName name="OSRRefH22_4x_0" localSheetId="42">'202'!$H$38</definedName>
    <definedName name="OSRRefH22_4x_0" localSheetId="43">'203'!$H$41</definedName>
    <definedName name="OSRRefH22_4x_0" localSheetId="44">'204'!$H$41</definedName>
    <definedName name="OSRRefH22_4x_0" localSheetId="45">'205'!$H$35:$H$36</definedName>
    <definedName name="OSRRefH22_4x_0" localSheetId="46">'206'!$H$38</definedName>
    <definedName name="OSRRefH22_4x_0" localSheetId="48">'300'!$H$187</definedName>
    <definedName name="OSRRefH22_4x_0" localSheetId="49">'300 &amp; 317'!$H$212</definedName>
    <definedName name="OSRRefH22_4x_0" localSheetId="50">'301'!$H$44</definedName>
    <definedName name="OSRRefH22_4x_0" localSheetId="51">'306'!$H$41</definedName>
    <definedName name="OSRRefH22_4x_0" localSheetId="53">'307'!$H$89:$H$90</definedName>
    <definedName name="OSRRefH22_4x_0" localSheetId="55">'308'!$H$88</definedName>
    <definedName name="OSRRefH22_4x_0" localSheetId="67">'309'!$H$43</definedName>
    <definedName name="OSRRefH22_4x_0" localSheetId="66">'310'!$H$51</definedName>
    <definedName name="OSRRefH22_4x_0" localSheetId="74">'310 &amp; 491'!$H$60</definedName>
    <definedName name="OSRRefH22_4x_0" localSheetId="56">'311'!$H$87</definedName>
    <definedName name="OSRRefH22_4x_0" localSheetId="68">'313'!$H$47</definedName>
    <definedName name="OSRRefH22_4x_0" localSheetId="54">'314'!$H$73</definedName>
    <definedName name="OSRRefH22_4x_0" localSheetId="59">'315'!$H$102</definedName>
    <definedName name="OSRRefH22_4x_0" localSheetId="62">'316'!$H$52</definedName>
    <definedName name="OSRRefH22_4x_0" localSheetId="65">'317'!$H$78</definedName>
    <definedName name="OSRRefH22_4x_0" localSheetId="63">'320'!$H$44:$H$45</definedName>
    <definedName name="OSRRefH22_4x_0" localSheetId="69">'321'!$H$43</definedName>
    <definedName name="OSRRefH22_4x_0" localSheetId="70">'322'!$H$42</definedName>
    <definedName name="OSRRefH22_4x_0" localSheetId="71">'325'!$H$43</definedName>
    <definedName name="OSRRefH22_4x_0" localSheetId="60">'326'!$H$80</definedName>
    <definedName name="OSRRefH22_4x_0" localSheetId="52">'330'!$H$98:$H$99</definedName>
    <definedName name="OSRRefH22_4x_0" localSheetId="58">'331'!$H$109</definedName>
    <definedName name="OSRRefH22_4x_0" localSheetId="61">'332'!$H$60</definedName>
    <definedName name="OSRRefH22_4x_0" localSheetId="76">'405'!$H$42</definedName>
    <definedName name="OSRRefH22_4x_0" localSheetId="77">'406'!$H$43</definedName>
    <definedName name="OSRRefH22_4x_0" localSheetId="78">'411'!$H$41:$H$43</definedName>
    <definedName name="OSRRefH22_4x_0" localSheetId="79">'412'!$H$43</definedName>
    <definedName name="OSRRefH22_4x_0" localSheetId="80">'413'!$H$42</definedName>
    <definedName name="OSRRefH22_4x_0" localSheetId="81">'414'!$H$43</definedName>
    <definedName name="OSRRefH22_4x_0" localSheetId="82">'415'!$H$43</definedName>
    <definedName name="OSRRefH22_4x_0" localSheetId="83">'418'!$H$44</definedName>
    <definedName name="OSRRefH22_4x_0" localSheetId="84">'420'!$H$41</definedName>
    <definedName name="OSRRefH22_4x_0" localSheetId="85">'423'!$H$36</definedName>
    <definedName name="OSRRefH22_4x_0" localSheetId="86">'424'!$H$36</definedName>
    <definedName name="OSRRefH22_4x_0" localSheetId="87">'425'!$H$46</definedName>
    <definedName name="OSRRefH22_4x_0" localSheetId="90">'430'!$H$35:$H$36</definedName>
    <definedName name="OSRRefH22_4x_0" localSheetId="91">'433'!$H$46</definedName>
    <definedName name="OSRRefH22_4x_0" localSheetId="92">'435'!$H$37</definedName>
    <definedName name="OSRRefH22_4x_0" localSheetId="93">'444'!$H$46</definedName>
    <definedName name="OSRRefH22_4x_0" localSheetId="94">'450'!$H$46</definedName>
    <definedName name="OSRRefH22_4x_0" localSheetId="75">'491'!$H$53</definedName>
    <definedName name="OSRRefH22_4x_0" localSheetId="89">'492'!$H$49</definedName>
    <definedName name="OSRRefH22_4x_0" localSheetId="96">'501'!$H$41</definedName>
    <definedName name="OSRRefH22_4x_0" localSheetId="39">'Div 2'!$H$44</definedName>
    <definedName name="OSRRefH22_4x_0" localSheetId="47">'Div 3'!$H$192</definedName>
    <definedName name="OSRRefH22_4x_0" localSheetId="73">'Div 4'!$H$54</definedName>
    <definedName name="OSRRefH22_4x_0" localSheetId="95">'Div 5'!$H$41</definedName>
    <definedName name="OSRRefH22_4x_0" localSheetId="64">'Div 6'!$H$78</definedName>
    <definedName name="OSRRefH22_4x_0" localSheetId="2">Summary!$H$224</definedName>
    <definedName name="OSRRefH22_5x_0" localSheetId="41">'201'!$H$39</definedName>
    <definedName name="OSRRefH22_5x_0" localSheetId="42">'202'!$H$40:$H$41</definedName>
    <definedName name="OSRRefH22_5x_0" localSheetId="43">'203'!$H$43</definedName>
    <definedName name="OSRRefH22_5x_0" localSheetId="44">'204'!$H$43</definedName>
    <definedName name="OSRRefH22_5x_0" localSheetId="45">'205'!$H$38</definedName>
    <definedName name="OSRRefH22_5x_0" localSheetId="46">'206'!$H$40:$H$41</definedName>
    <definedName name="OSRRefH22_5x_0" localSheetId="48">'300'!$H$189:$H$190</definedName>
    <definedName name="OSRRefH22_5x_0" localSheetId="49">'300 &amp; 317'!$H$214:$H$215</definedName>
    <definedName name="OSRRefH22_5x_0" localSheetId="50">'301'!$H$46:$H$47</definedName>
    <definedName name="OSRRefH22_5x_0" localSheetId="51">'306'!$H$43</definedName>
    <definedName name="OSRRefH22_5x_0" localSheetId="53">'307'!$H$92</definedName>
    <definedName name="OSRRefH22_5x_0" localSheetId="55">'308'!$H$90</definedName>
    <definedName name="OSRRefH22_5x_0" localSheetId="67">'309'!$H$45</definedName>
    <definedName name="OSRRefH22_5x_0" localSheetId="66">'310'!$H$53:$H$54</definedName>
    <definedName name="OSRRefH22_5x_0" localSheetId="74">'310 &amp; 491'!$H$62:$H$64</definedName>
    <definedName name="OSRRefH22_5x_0" localSheetId="56">'311'!$H$89</definedName>
    <definedName name="OSRRefH22_5x_0" localSheetId="68">'313'!$H$49</definedName>
    <definedName name="OSRRefH22_5x_0" localSheetId="54">'314'!$H$75</definedName>
    <definedName name="OSRRefH22_5x_0" localSheetId="59">'315'!$H$104:$H$105</definedName>
    <definedName name="OSRRefH22_5x_0" localSheetId="62">'316'!$H$54</definedName>
    <definedName name="OSRRefH22_5x_0" localSheetId="65">'317'!$H$80:$H$81</definedName>
    <definedName name="OSRRefH22_5x_0" localSheetId="63">'320'!$H$47</definedName>
    <definedName name="OSRRefH22_5x_0" localSheetId="69">'321'!$H$45</definedName>
    <definedName name="OSRRefH22_5x_0" localSheetId="70">'322'!$H$44</definedName>
    <definedName name="OSRRefH22_5x_0" localSheetId="71">'325'!$H$45:$H$46</definedName>
    <definedName name="OSRRefH22_5x_0" localSheetId="60">'326'!$H$82</definedName>
    <definedName name="OSRRefH22_5x_0" localSheetId="52">'330'!$H$101</definedName>
    <definedName name="OSRRefH22_5x_0" localSheetId="58">'331'!$H$111:$H$112</definedName>
    <definedName name="OSRRefH22_5x_0" localSheetId="61">'332'!$H$62</definedName>
    <definedName name="OSRRefH22_5x_0" localSheetId="76">'405'!$H$44:$H$45</definedName>
    <definedName name="OSRRefH22_5x_0" localSheetId="77">'406'!$H$45</definedName>
    <definedName name="OSRRefH22_5x_0" localSheetId="78">'411'!$H$45</definedName>
    <definedName name="OSRRefH22_5x_0" localSheetId="79">'412'!$H$45</definedName>
    <definedName name="OSRRefH22_5x_0" localSheetId="80">'413'!$H$44</definedName>
    <definedName name="OSRRefH22_5x_0" localSheetId="81">'414'!$H$45</definedName>
    <definedName name="OSRRefH22_5x_0" localSheetId="82">'415'!$H$45:$H$46</definedName>
    <definedName name="OSRRefH22_5x_0" localSheetId="83">'418'!$H$46:$H$47</definedName>
    <definedName name="OSRRefH22_5x_0" localSheetId="84">'420'!$H$43:$H$44</definedName>
    <definedName name="OSRRefH22_5x_0" localSheetId="85">'423'!$H$38</definedName>
    <definedName name="OSRRefH22_5x_0" localSheetId="86">'424'!$H$38</definedName>
    <definedName name="OSRRefH22_5x_0" localSheetId="87">'425'!$H$48</definedName>
    <definedName name="OSRRefH22_5x_0" localSheetId="90">'430'!$H$38</definedName>
    <definedName name="OSRRefH22_5x_0" localSheetId="91">'433'!$H$48</definedName>
    <definedName name="OSRRefH22_5x_0" localSheetId="92">'435'!$H$39</definedName>
    <definedName name="OSRRefH22_5x_0" localSheetId="93">'444'!$H$48</definedName>
    <definedName name="OSRRefH22_5x_0" localSheetId="94">'450'!$H$48</definedName>
    <definedName name="OSRRefH22_5x_0" localSheetId="75">'491'!$H$55:$H$57</definedName>
    <definedName name="OSRRefH22_5x_0" localSheetId="89">'492'!$H$51</definedName>
    <definedName name="OSRRefH22_5x_0" localSheetId="96">'501'!$H$43:$H$44</definedName>
    <definedName name="OSRRefH22_5x_0" localSheetId="39">'Div 2'!$H$46</definedName>
    <definedName name="OSRRefH22_5x_0" localSheetId="47">'Div 3'!$H$194:$H$195</definedName>
    <definedName name="OSRRefH22_5x_0" localSheetId="73">'Div 4'!$H$56:$H$58</definedName>
    <definedName name="OSRRefH22_5x_0" localSheetId="95">'Div 5'!$H$43:$H$44</definedName>
    <definedName name="OSRRefH22_5x_0" localSheetId="64">'Div 6'!$H$80:$H$81</definedName>
    <definedName name="OSRRefH22_5x_0" localSheetId="2">Summary!$H$226:$H$228</definedName>
    <definedName name="OSRRefH22_6x_0" localSheetId="41">'201'!$H$41</definedName>
    <definedName name="OSRRefH22_6x_0" localSheetId="42">'202'!$H$43</definedName>
    <definedName name="OSRRefH22_6x_0" localSheetId="43">'203'!$H$45</definedName>
    <definedName name="OSRRefH22_6x_0" localSheetId="44">'204'!$H$45:$H$47</definedName>
    <definedName name="OSRRefH22_6x_0" localSheetId="45">'205'!$H$40:$H$42</definedName>
    <definedName name="OSRRefH22_6x_0" localSheetId="46">'206'!$H$43</definedName>
    <definedName name="OSRRefH22_6x_0" localSheetId="48">'300'!$H$192:$H$193</definedName>
    <definedName name="OSRRefH22_6x_0" localSheetId="49">'300 &amp; 317'!$H$217:$H$218</definedName>
    <definedName name="OSRRefH22_6x_0" localSheetId="50">'301'!$H$49:$H$50</definedName>
    <definedName name="OSRRefH22_6x_0" localSheetId="51">'306'!$H$45:$H$46</definedName>
    <definedName name="OSRRefH22_6x_0" localSheetId="53">'307'!$H$94</definedName>
    <definedName name="OSRRefH22_6x_0" localSheetId="55">'308'!$H$92:$H$93</definedName>
    <definedName name="OSRRefH22_6x_0" localSheetId="67">'309'!$H$47</definedName>
    <definedName name="OSRRefH22_6x_0" localSheetId="66">'310'!$H$56</definedName>
    <definedName name="OSRRefH22_6x_0" localSheetId="74">'310 &amp; 491'!$H$66</definedName>
    <definedName name="OSRRefH22_6x_0" localSheetId="56">'311'!$H$91:$H$92</definedName>
    <definedName name="OSRRefH22_6x_0" localSheetId="68">'313'!$H$51</definedName>
    <definedName name="OSRRefH22_6x_0" localSheetId="54">'314'!$H$77</definedName>
    <definedName name="OSRRefH22_6x_0" localSheetId="59">'315'!$H$107</definedName>
    <definedName name="OSRRefH22_6x_0" localSheetId="62">'316'!$H$56:$H$57</definedName>
    <definedName name="OSRRefH22_6x_0" localSheetId="65">'317'!$H$83</definedName>
    <definedName name="OSRRefH22_6x_0" localSheetId="63">'320'!$H$49</definedName>
    <definedName name="OSRRefH22_6x_0" localSheetId="69">'321'!$H$47:$H$49</definedName>
    <definedName name="OSRRefH22_6x_0" localSheetId="70">'322'!$H$46</definedName>
    <definedName name="OSRRefH22_6x_0" localSheetId="71">'325'!$H$48</definedName>
    <definedName name="OSRRefH22_6x_0" localSheetId="60">'326'!$H$84</definedName>
    <definedName name="OSRRefH22_6x_0" localSheetId="52">'330'!$H$103</definedName>
    <definedName name="OSRRefH22_6x_0" localSheetId="58">'331'!$H$114</definedName>
    <definedName name="OSRRefH22_6x_0" localSheetId="61">'332'!$H$64:$H$65</definedName>
    <definedName name="OSRRefH22_6x_0" localSheetId="76">'405'!$H$47</definedName>
    <definedName name="OSRRefH22_6x_0" localSheetId="77">'406'!$H$47</definedName>
    <definedName name="OSRRefH22_6x_0" localSheetId="78">'411'!$H$47</definedName>
    <definedName name="OSRRefH22_6x_0" localSheetId="79">'412'!$H$47</definedName>
    <definedName name="OSRRefH22_6x_0" localSheetId="80">'413'!$H$46</definedName>
    <definedName name="OSRRefH22_6x_0" localSheetId="81">'414'!$H$47</definedName>
    <definedName name="OSRRefH22_6x_0" localSheetId="82">'415'!$H$48</definedName>
    <definedName name="OSRRefH22_6x_0" localSheetId="83">'418'!$H$49</definedName>
    <definedName name="OSRRefH22_6x_0" localSheetId="84">'420'!$H$46</definedName>
    <definedName name="OSRRefH22_6x_0" localSheetId="86">'424'!$H$40</definedName>
    <definedName name="OSRRefH22_6x_0" localSheetId="87">'425'!$H$50</definedName>
    <definedName name="OSRRefH22_6x_0" localSheetId="90">'430'!$H$40</definedName>
    <definedName name="OSRRefH22_6x_0" localSheetId="91">'433'!$H$50</definedName>
    <definedName name="OSRRefH22_6x_0" localSheetId="92">'435'!$H$41</definedName>
    <definedName name="OSRRefH22_6x_0" localSheetId="93">'444'!$H$50</definedName>
    <definedName name="OSRRefH22_6x_0" localSheetId="94">'450'!$H$50</definedName>
    <definedName name="OSRRefH22_6x_0" localSheetId="75">'491'!$H$59</definedName>
    <definedName name="OSRRefH22_6x_0" localSheetId="89">'492'!$H$53</definedName>
    <definedName name="OSRRefH22_6x_0" localSheetId="96">'501'!$H$46</definedName>
    <definedName name="OSRRefH22_6x_0" localSheetId="39">'Div 2'!$H$48</definedName>
    <definedName name="OSRRefH22_6x_0" localSheetId="47">'Div 3'!$H$197:$H$198</definedName>
    <definedName name="OSRRefH22_6x_0" localSheetId="73">'Div 4'!$H$60</definedName>
    <definedName name="OSRRefH22_6x_0" localSheetId="95">'Div 5'!$H$46</definedName>
    <definedName name="OSRRefH22_6x_0" localSheetId="64">'Div 6'!$H$83</definedName>
    <definedName name="OSRRefH22_6x_0" localSheetId="2">Summary!$H$230:$H$231</definedName>
    <definedName name="OSRRefH22_7x_0" localSheetId="41">'201'!$H$43</definedName>
    <definedName name="OSRRefH22_7x_0" localSheetId="42">'202'!$H$45</definedName>
    <definedName name="OSRRefH22_7x_0" localSheetId="43">'203'!$H$47</definedName>
    <definedName name="OSRRefH22_7x_0" localSheetId="44">'204'!$H$49</definedName>
    <definedName name="OSRRefH22_7x_0" localSheetId="45">'205'!$H$44</definedName>
    <definedName name="OSRRefH22_7x_0" localSheetId="46">'206'!$H$45</definedName>
    <definedName name="OSRRefH22_7x_0" localSheetId="48">'300'!$H$195</definedName>
    <definedName name="OSRRefH22_7x_0" localSheetId="49">'300 &amp; 317'!$H$220</definedName>
    <definedName name="OSRRefH22_7x_0" localSheetId="50">'301'!$H$52</definedName>
    <definedName name="OSRRefH22_7x_0" localSheetId="51">'306'!$H$48:$H$50</definedName>
    <definedName name="OSRRefH22_7x_0" localSheetId="53">'307'!$H$96:$H$97</definedName>
    <definedName name="OSRRefH22_7x_0" localSheetId="55">'308'!$H$95</definedName>
    <definedName name="OSRRefH22_7x_0" localSheetId="67">'309'!$H$49</definedName>
    <definedName name="OSRRefH22_7x_0" localSheetId="66">'310'!$H$58</definedName>
    <definedName name="OSRRefH22_7x_0" localSheetId="74">'310 &amp; 491'!$H$68</definedName>
    <definedName name="OSRRefH22_7x_0" localSheetId="56">'311'!$H$94</definedName>
    <definedName name="OSRRefH22_7x_0" localSheetId="68">'313'!$H$53</definedName>
    <definedName name="OSRRefH22_7x_0" localSheetId="54">'314'!$H$79</definedName>
    <definedName name="OSRRefH22_7x_0" localSheetId="59">'315'!$H$109:$H$110</definedName>
    <definedName name="OSRRefH22_7x_0" localSheetId="62">'316'!$H$59</definedName>
    <definedName name="OSRRefH22_7x_0" localSheetId="65">'317'!$H$85</definedName>
    <definedName name="OSRRefH22_7x_0" localSheetId="63">'320'!$H$51:$H$52</definedName>
    <definedName name="OSRRefH22_7x_0" localSheetId="69">'321'!$H$51</definedName>
    <definedName name="OSRRefH22_7x_0" localSheetId="70">'322'!$H$48</definedName>
    <definedName name="OSRRefH22_7x_0" localSheetId="71">'325'!$H$50</definedName>
    <definedName name="OSRRefH22_7x_0" localSheetId="60">'326'!$H$86</definedName>
    <definedName name="OSRRefH22_7x_0" localSheetId="52">'330'!$H$105</definedName>
    <definedName name="OSRRefH22_7x_0" localSheetId="58">'331'!$H$116:$H$117</definedName>
    <definedName name="OSRRefH22_7x_0" localSheetId="61">'332'!$H$67</definedName>
    <definedName name="OSRRefH22_7x_0" localSheetId="76">'405'!$H$49</definedName>
    <definedName name="OSRRefH22_7x_0" localSheetId="77">'406'!$H$49</definedName>
    <definedName name="OSRRefH22_7x_0" localSheetId="78">'411'!$H$49</definedName>
    <definedName name="OSRRefH22_7x_0" localSheetId="79">'412'!$H$49</definedName>
    <definedName name="OSRRefH22_7x_0" localSheetId="80">'413'!$H$48:$H$50</definedName>
    <definedName name="OSRRefH22_7x_0" localSheetId="81">'414'!$H$49</definedName>
    <definedName name="OSRRefH22_7x_0" localSheetId="82">'415'!$H$50</definedName>
    <definedName name="OSRRefH22_7x_0" localSheetId="83">'418'!$H$51</definedName>
    <definedName name="OSRRefH22_7x_0" localSheetId="86">'424'!$H$42</definedName>
    <definedName name="OSRRefH22_7x_0" localSheetId="87">'425'!$H$52</definedName>
    <definedName name="OSRRefH22_7x_0" localSheetId="90">'430'!$H$42</definedName>
    <definedName name="OSRRefH22_7x_0" localSheetId="91">'433'!$H$52</definedName>
    <definedName name="OSRRefH22_7x_0" localSheetId="92">'435'!$H$43:$H$45</definedName>
    <definedName name="OSRRefH22_7x_0" localSheetId="93">'444'!$H$52</definedName>
    <definedName name="OSRRefH22_7x_0" localSheetId="94">'450'!$H$52</definedName>
    <definedName name="OSRRefH22_7x_0" localSheetId="75">'491'!$H$61</definedName>
    <definedName name="OSRRefH22_7x_0" localSheetId="89">'492'!$H$55</definedName>
    <definedName name="OSRRefH22_7x_0" localSheetId="96">'501'!$H$48</definedName>
    <definedName name="OSRRefH22_7x_0" localSheetId="39">'Div 2'!$H$50</definedName>
    <definedName name="OSRRefH22_7x_0" localSheetId="47">'Div 3'!$H$200</definedName>
    <definedName name="OSRRefH22_7x_0" localSheetId="73">'Div 4'!$H$62</definedName>
    <definedName name="OSRRefH22_7x_0" localSheetId="95">'Div 5'!$H$48</definedName>
    <definedName name="OSRRefH22_7x_0" localSheetId="64">'Div 6'!$H$85</definedName>
    <definedName name="OSRRefH22_7x_0" localSheetId="2">Summary!$H$233</definedName>
    <definedName name="OSRRefH22_8x_0" localSheetId="41">'201'!$H$45</definedName>
    <definedName name="OSRRefH22_8x_0" localSheetId="42">'202'!$H$47:$H$49</definedName>
    <definedName name="OSRRefH22_8x_0" localSheetId="43">'203'!$H$49</definedName>
    <definedName name="OSRRefH22_8x_0" localSheetId="44">'204'!$H$51:$H$52</definedName>
    <definedName name="OSRRefH22_8x_0" localSheetId="45">'205'!$H$46</definedName>
    <definedName name="OSRRefH22_8x_0" localSheetId="48">'300'!$H$197</definedName>
    <definedName name="OSRRefH22_8x_0" localSheetId="49">'300 &amp; 317'!$H$222</definedName>
    <definedName name="OSRRefH22_8x_0" localSheetId="50">'301'!$H$54</definedName>
    <definedName name="OSRRefH22_8x_0" localSheetId="51">'306'!$H$52</definedName>
    <definedName name="OSRRefH22_8x_0" localSheetId="53">'307'!$H$99:$H$100</definedName>
    <definedName name="OSRRefH22_8x_0" localSheetId="55">'308'!$H$97</definedName>
    <definedName name="OSRRefH22_8x_0" localSheetId="67">'309'!$H$51</definedName>
    <definedName name="OSRRefH22_8x_0" localSheetId="66">'310'!$H$60</definedName>
    <definedName name="OSRRefH22_8x_0" localSheetId="74">'310 &amp; 491'!$H$70</definedName>
    <definedName name="OSRRefH22_8x_0" localSheetId="56">'311'!$H$96</definedName>
    <definedName name="OSRRefH22_8x_0" localSheetId="68">'313'!$H$55:$H$57</definedName>
    <definedName name="OSRRefH22_8x_0" localSheetId="59">'315'!$H$112:$H$113</definedName>
    <definedName name="OSRRefH22_8x_0" localSheetId="62">'316'!$H$61:$H$63</definedName>
    <definedName name="OSRRefH22_8x_0" localSheetId="65">'317'!$H$87</definedName>
    <definedName name="OSRRefH22_8x_0" localSheetId="63">'320'!$H$54</definedName>
    <definedName name="OSRRefH22_8x_0" localSheetId="69">'321'!$H$53:$H$55</definedName>
    <definedName name="OSRRefH22_8x_0" localSheetId="70">'322'!$H$50:$H$51</definedName>
    <definedName name="OSRRefH22_8x_0" localSheetId="71">'325'!$H$52</definedName>
    <definedName name="OSRRefH22_8x_0" localSheetId="60">'326'!$H$88</definedName>
    <definedName name="OSRRefH22_8x_0" localSheetId="52">'330'!$H$107:$H$108</definedName>
    <definedName name="OSRRefH22_8x_0" localSheetId="58">'331'!$H$119</definedName>
    <definedName name="OSRRefH22_8x_0" localSheetId="61">'332'!$H$69</definedName>
    <definedName name="OSRRefH22_8x_0" localSheetId="76">'405'!$H$51</definedName>
    <definedName name="OSRRefH22_8x_0" localSheetId="77">'406'!$H$51</definedName>
    <definedName name="OSRRefH22_8x_0" localSheetId="78">'411'!$H$51</definedName>
    <definedName name="OSRRefH22_8x_0" localSheetId="79">'412'!$H$51</definedName>
    <definedName name="OSRRefH22_8x_0" localSheetId="80">'413'!$H$52:$H$54</definedName>
    <definedName name="OSRRefH22_8x_0" localSheetId="81">'414'!$H$51</definedName>
    <definedName name="OSRRefH22_8x_0" localSheetId="82">'415'!$H$52</definedName>
    <definedName name="OSRRefH22_8x_0" localSheetId="83">'418'!$H$53</definedName>
    <definedName name="OSRRefH22_8x_0" localSheetId="86">'424'!$H$44:$H$45</definedName>
    <definedName name="OSRRefH22_8x_0" localSheetId="87">'425'!$H$54</definedName>
    <definedName name="OSRRefH22_8x_0" localSheetId="91">'433'!$H$54</definedName>
    <definedName name="OSRRefH22_8x_0" localSheetId="92">'435'!$H$47</definedName>
    <definedName name="OSRRefH22_8x_0" localSheetId="93">'444'!$H$54</definedName>
    <definedName name="OSRRefH22_8x_0" localSheetId="94">'450'!$H$54</definedName>
    <definedName name="OSRRefH22_8x_0" localSheetId="75">'491'!$H$63</definedName>
    <definedName name="OSRRefH22_8x_0" localSheetId="89">'492'!$H$57</definedName>
    <definedName name="OSRRefH22_8x_0" localSheetId="96">'501'!$H$50</definedName>
    <definedName name="OSRRefH22_8x_0" localSheetId="39">'Div 2'!$H$52</definedName>
    <definedName name="OSRRefH22_8x_0" localSheetId="47">'Div 3'!$H$202</definedName>
    <definedName name="OSRRefH22_8x_0" localSheetId="73">'Div 4'!$H$64</definedName>
    <definedName name="OSRRefH22_8x_0" localSheetId="95">'Div 5'!$H$50</definedName>
    <definedName name="OSRRefH22_8x_0" localSheetId="64">'Div 6'!$H$87</definedName>
    <definedName name="OSRRefH22_8x_0" localSheetId="2">Summary!$H$235</definedName>
    <definedName name="OSRRefH22_9x_0" localSheetId="41">'201'!$H$47:$H$49</definedName>
    <definedName name="OSRRefH22_9x_0" localSheetId="42">'202'!$H$51</definedName>
    <definedName name="OSRRefH22_9x_0" localSheetId="43">'203'!$H$51:$H$52</definedName>
    <definedName name="OSRRefH22_9x_0" localSheetId="44">'204'!$H$54</definedName>
    <definedName name="OSRRefH22_9x_0" localSheetId="48">'300'!$H$199</definedName>
    <definedName name="OSRRefH22_9x_0" localSheetId="49">'300 &amp; 317'!$H$224</definedName>
    <definedName name="OSRRefH22_9x_0" localSheetId="50">'301'!$H$56</definedName>
    <definedName name="OSRRefH22_9x_0" localSheetId="51">'306'!$H$54</definedName>
    <definedName name="OSRRefH22_9x_0" localSheetId="53">'307'!$H$102:$H$105</definedName>
    <definedName name="OSRRefH22_9x_0" localSheetId="55">'308'!$H$99:$H$100</definedName>
    <definedName name="OSRRefH22_9x_0" localSheetId="67">'309'!$H$53:$H$54</definedName>
    <definedName name="OSRRefH22_9x_0" localSheetId="66">'310'!$H$62</definedName>
    <definedName name="OSRRefH22_9x_0" localSheetId="74">'310 &amp; 491'!$H$72</definedName>
    <definedName name="OSRRefH22_9x_0" localSheetId="56">'311'!$H$98:$H$99</definedName>
    <definedName name="OSRRefH22_9x_0" localSheetId="68">'313'!$H$59</definedName>
    <definedName name="OSRRefH22_9x_0" localSheetId="59">'315'!$H$115:$H$119</definedName>
    <definedName name="OSRRefH22_9x_0" localSheetId="62">'316'!$H$65</definedName>
    <definedName name="OSRRefH22_9x_0" localSheetId="65">'317'!$H$89</definedName>
    <definedName name="OSRRefH22_9x_0" localSheetId="69">'321'!$H$57:$H$60</definedName>
    <definedName name="OSRRefH22_9x_0" localSheetId="70">'322'!$H$53:$H$55</definedName>
    <definedName name="OSRRefH22_9x_0" localSheetId="71">'325'!$H$54</definedName>
    <definedName name="OSRRefH22_9x_0" localSheetId="60">'326'!$H$90</definedName>
    <definedName name="OSRRefH22_9x_0" localSheetId="52">'330'!$H$110:$H$111</definedName>
    <definedName name="OSRRefH22_9x_0" localSheetId="58">'331'!$H$121</definedName>
    <definedName name="OSRRefH22_9x_0" localSheetId="61">'332'!$H$71:$H$73</definedName>
    <definedName name="OSRRefH22_9x_0" localSheetId="76">'405'!$H$53</definedName>
    <definedName name="OSRRefH22_9x_0" localSheetId="77">'406'!$H$53:$H$55</definedName>
    <definedName name="OSRRefH22_9x_0" localSheetId="78">'411'!$H$53</definedName>
    <definedName name="OSRRefH22_9x_0" localSheetId="79">'412'!$H$53:$H$54</definedName>
    <definedName name="OSRRefH22_9x_0" localSheetId="80">'413'!$H$56:$H$61</definedName>
    <definedName name="OSRRefH22_9x_0" localSheetId="81">'414'!$H$53:$H$54</definedName>
    <definedName name="OSRRefH22_9x_0" localSheetId="82">'415'!$H$54</definedName>
    <definedName name="OSRRefH22_9x_0" localSheetId="83">'418'!$H$55</definedName>
    <definedName name="OSRRefH22_9x_0" localSheetId="86">'424'!$H$47</definedName>
    <definedName name="OSRRefH22_9x_0" localSheetId="87">'425'!$H$56:$H$58</definedName>
    <definedName name="OSRRefH22_9x_0" localSheetId="91">'433'!$H$56</definedName>
    <definedName name="OSRRefH22_9x_0" localSheetId="93">'444'!$H$56</definedName>
    <definedName name="OSRRefH22_9x_0" localSheetId="94">'450'!$H$56</definedName>
    <definedName name="OSRRefH22_9x_0" localSheetId="75">'491'!$H$65</definedName>
    <definedName name="OSRRefH22_9x_0" localSheetId="89">'492'!$H$59</definedName>
    <definedName name="OSRRefH22_9x_0" localSheetId="96">'501'!$H$52:$H$54</definedName>
    <definedName name="OSRRefH22_9x_0" localSheetId="39">'Div 2'!$H$54:$H$55</definedName>
    <definedName name="OSRRefH22_9x_0" localSheetId="47">'Div 3'!$H$204</definedName>
    <definedName name="OSRRefH22_9x_0" localSheetId="73">'Div 4'!$H$66</definedName>
    <definedName name="OSRRefH22_9x_0" localSheetId="95">'Div 5'!$H$52:$H$54</definedName>
    <definedName name="OSRRefH22_9x_0" localSheetId="64">'Div 6'!$H$89</definedName>
    <definedName name="OSRRefH22_9x_0" localSheetId="2">Summary!$H$237</definedName>
    <definedName name="OSRRefH22x_0" localSheetId="40">'200'!$H$20,'200'!$H$22,'200'!$H$24,'200'!$H$26,'200'!$H$28:$H$29</definedName>
    <definedName name="OSRRefH22x_0" localSheetId="41">'201'!$H$20:$H$27,'201'!$H$29:$H$31,'201'!$H$33,'201'!$H$35,'201'!$H$37,'201'!$H$39,'201'!$H$41,'201'!$H$43,'201'!$H$45,'201'!$H$47:$H$49,'201'!$H$51:$H$53,'201'!$H$55,'201'!$H$57:$H$60,'201'!$H$62,'201'!$H$64,'201'!$H$66</definedName>
    <definedName name="OSRRefH22x_0" localSheetId="42">'202'!$H$20:$H$27,'202'!$H$29:$H$32,'202'!$H$34,'202'!$H$36,'202'!$H$38,'202'!$H$40:$H$41,'202'!$H$43,'202'!$H$45,'202'!$H$47:$H$49,'202'!$H$51,'202'!$H$53,'202'!$H$55:$H$57,'202'!$H$59,'202'!$H$61,'202'!$H$63</definedName>
    <definedName name="OSRRefH22x_0" localSheetId="43">'203'!$H$20:$H$29,'203'!$H$31:$H$35,'203'!$H$37,'203'!$H$39,'203'!$H$41,'203'!$H$43,'203'!$H$45,'203'!$H$47,'203'!$H$49,'203'!$H$51:$H$52,'203'!$H$54:$H$55,'203'!$H$57,'203'!$H$59:$H$62,'203'!$H$64,'203'!$H$66,'203'!$H$68</definedName>
    <definedName name="OSRRefH22x_0" localSheetId="44">'204'!$H$20:$H$29,'204'!$H$31:$H$35,'204'!$H$37,'204'!$H$39,'204'!$H$41,'204'!$H$43,'204'!$H$45:$H$47,'204'!$H$49,'204'!$H$51:$H$52,'204'!$H$54,'204'!$H$56:$H$57</definedName>
    <definedName name="OSRRefH22x_0" localSheetId="45">'205'!$H$20:$H$27,'205'!$H$29,'205'!$H$31,'205'!$H$33,'205'!$H$35:$H$36,'205'!$H$38,'205'!$H$40:$H$42,'205'!$H$44,'205'!$H$46</definedName>
    <definedName name="OSRRefH22x_0" localSheetId="46">'206'!$H$20:$H$27,'206'!$H$29:$H$32,'206'!$H$34,'206'!$H$36,'206'!$H$38,'206'!$H$40:$H$41,'206'!$H$43,'206'!$H$45</definedName>
    <definedName name="OSRRefH22x_0" localSheetId="48">'300'!$H$163:$H$172,'300'!$H$174:$H$180,'300'!$H$182,'300'!$H$184:$H$185,'300'!$H$187,'300'!$H$189:$H$190,'300'!$H$192:$H$193,'300'!$H$195,'300'!$H$197,'300'!$H$199,'300'!$H$201:$H$202,'300'!$H$204,'300'!$H$206,'300'!$H$208,'300'!$H$210,'300'!$H$212,'300'!$H$214:$H$217,'300'!$H$219:$H$221,'300'!$H$223:$H$226,'300'!$H$228:$H$229,'300'!$H$231:$H$237,'300'!$H$239:$H$240,'300'!$H$242,'300'!$H$244:$H$246,'300'!$H$248</definedName>
    <definedName name="OSRRefH22x_0" localSheetId="49">'300 &amp; 317'!$H$188:$H$197,'300 &amp; 317'!$H$199:$H$205,'300 &amp; 317'!$H$207,'300 &amp; 317'!$H$209:$H$210,'300 &amp; 317'!$H$212,'300 &amp; 317'!$H$214:$H$215,'300 &amp; 317'!$H$217:$H$218,'300 &amp; 317'!$H$220,'300 &amp; 317'!$H$222,'300 &amp; 317'!$H$224,'300 &amp; 317'!$H$226:$H$227,'300 &amp; 317'!$H$229,'300 &amp; 317'!$H$231,'300 &amp; 317'!$H$233,'300 &amp; 317'!$H$235,'300 &amp; 317'!$H$237,'300 &amp; 317'!$H$239:$H$242,'300 &amp; 317'!$H$244:$H$246,'300 &amp; 317'!$H$248:$H$251,'300 &amp; 317'!$H$253:$H$254,'300 &amp; 317'!$H$256:$H$262,'300 &amp; 317'!$H$264:$H$265,'300 &amp; 317'!$H$267,'300 &amp; 317'!$H$269:$H$271,'300 &amp; 317'!$H$273</definedName>
    <definedName name="OSRRefH22x_0" localSheetId="50">'301'!$H$20:$H$29,'301'!$H$31:$H$37,'301'!$H$39,'301'!$H$41:$H$42,'301'!$H$44,'301'!$H$46:$H$47,'301'!$H$49:$H$50,'301'!$H$52,'301'!$H$54,'301'!$H$56,'301'!$H$58,'301'!$H$60,'301'!$H$62,'301'!$H$64,'301'!$H$66,'301'!$H$68:$H$71,'301'!$H$73:$H$75,'301'!$H$77,'301'!$H$79:$H$84,'301'!$H$86,'301'!$H$88,'301'!$H$90:$H$92,'301'!$H$94</definedName>
    <definedName name="OSRRefH22x_0" localSheetId="51">'306'!$H$20:$H$28,'306'!$H$30:$H$35,'306'!$H$37,'306'!$H$39,'306'!$H$41,'306'!$H$43,'306'!$H$45:$H$46,'306'!$H$48:$H$50,'306'!$H$52,'306'!$H$54</definedName>
    <definedName name="OSRRefH22x_0" localSheetId="53">'307'!$H$71:$H$78,'307'!$H$80:$H$83,'307'!$H$85,'307'!$H$87,'307'!$H$89:$H$90,'307'!$H$92,'307'!$H$94,'307'!$H$96:$H$97,'307'!$H$99:$H$100,'307'!$H$102:$H$105,'307'!$H$107,'307'!$H$109</definedName>
    <definedName name="OSRRefH22x_0" localSheetId="55">'308'!$H$65:$H$73,'308'!$H$75:$H$81,'308'!$H$83,'308'!$H$85:$H$86,'308'!$H$88,'308'!$H$90,'308'!$H$92:$H$93,'308'!$H$95,'308'!$H$97,'308'!$H$99:$H$100,'308'!$H$102:$H$103,'308'!$H$105:$H$107,'308'!$H$109:$H$110,'308'!$H$112,'308'!$H$114</definedName>
    <definedName name="OSRRefH22x_0" localSheetId="67">'309'!$H$24:$H$31,'309'!$H$33:$H$37,'309'!$H$39,'309'!$H$41,'309'!$H$43,'309'!$H$45,'309'!$H$47,'309'!$H$49,'309'!$H$51,'309'!$H$53:$H$54,'309'!$H$56:$H$58,'309'!$H$60:$H$62,'309'!$H$64</definedName>
    <definedName name="OSRRefH22x_0" localSheetId="66">'310'!$H$31:$H$38,'310'!$H$40:$H$45,'310'!$H$47,'310'!$H$49,'310'!$H$51,'310'!$H$53:$H$54,'310'!$H$56,'310'!$H$58,'310'!$H$60,'310'!$H$62,'310'!$H$64,'310'!$H$66,'310'!$H$68,'310'!$H$70,'310'!$H$72:$H$74,'310'!$H$76,'310'!$H$78:$H$81,'310'!$H$83,'310'!$H$85:$H$92,'310'!$H$94,'310'!$H$96,'310'!$H$98</definedName>
    <definedName name="OSRRefH22x_0" localSheetId="74">'310 &amp; 491'!$H$38:$H$46,'310 &amp; 491'!$H$48:$H$54,'310 &amp; 491'!$H$56,'310 &amp; 491'!$H$58,'310 &amp; 491'!$H$60,'310 &amp; 491'!$H$62:$H$64,'310 &amp; 491'!$H$66,'310 &amp; 491'!$H$68,'310 &amp; 491'!$H$70,'310 &amp; 491'!$H$72,'310 &amp; 491'!$H$74:$H$75,'310 &amp; 491'!$H$77:$H$78,'310 &amp; 491'!$H$80,'310 &amp; 491'!$H$82,'310 &amp; 491'!$H$84,'310 &amp; 491'!$H$86,'310 &amp; 491'!$H$88:$H$91,'310 &amp; 491'!$H$93:$H$94,'310 &amp; 491'!$H$96:$H$100,'310 &amp; 491'!$H$102:$H$103,'310 &amp; 491'!$H$105:$H$113,'310 &amp; 491'!$H$115,'310 &amp; 491'!$H$117,'310 &amp; 491'!$H$119:$H$121,'310 &amp; 491'!$H$123</definedName>
    <definedName name="OSRRefH22x_0" localSheetId="56">'311'!$H$64:$H$72,'311'!$H$74:$H$80,'311'!$H$82,'311'!$H$84:$H$85,'311'!$H$87,'311'!$H$89,'311'!$H$91:$H$92,'311'!$H$94,'311'!$H$96,'311'!$H$98:$H$99,'311'!$H$101:$H$102,'311'!$H$104:$H$106,'311'!$H$108:$H$109,'311'!$H$111,'311'!$H$113</definedName>
    <definedName name="OSRRefH22x_0" localSheetId="68">'313'!$H$28:$H$35,'313'!$H$37:$H$41,'313'!$H$43,'313'!$H$45,'313'!$H$47,'313'!$H$49,'313'!$H$51,'313'!$H$53,'313'!$H$55:$H$57,'313'!$H$59,'313'!$H$61:$H$65,'313'!$H$67,'313'!$H$69</definedName>
    <definedName name="OSRRefH22x_0" localSheetId="54">'314'!$H$55:$H$62,'314'!$H$64:$H$66,'314'!$H$68,'314'!$H$70:$H$71,'314'!$H$73,'314'!$H$75,'314'!$H$77,'314'!$H$79</definedName>
    <definedName name="OSRRefH22x_0" localSheetId="59">'315'!$H$81:$H$88,'315'!$H$90:$H$95,'315'!$H$97,'315'!$H$99:$H$100,'315'!$H$102,'315'!$H$104:$H$105,'315'!$H$107,'315'!$H$109:$H$110,'315'!$H$112:$H$113,'315'!$H$115:$H$119,'315'!$H$121,'315'!$H$123,'315'!$H$125:$H$126</definedName>
    <definedName name="OSRRefH22x_0" localSheetId="62">'316'!$H$34:$H$41,'316'!$H$43:$H$46,'316'!$H$48,'316'!$H$50,'316'!$H$52,'316'!$H$54,'316'!$H$56:$H$57,'316'!$H$59,'316'!$H$61:$H$63,'316'!$H$65,'316'!$H$67:$H$72,'316'!$H$74,'316'!$H$76,'316'!$H$78</definedName>
    <definedName name="OSRRefH22x_0" localSheetId="65">'317'!$H$58:$H$66,'317'!$H$68:$H$72,'317'!$H$74,'317'!$H$76,'317'!$H$78,'317'!$H$80:$H$81,'317'!$H$83,'317'!$H$85,'317'!$H$87,'317'!$H$89,'317'!$H$91:$H$93,'317'!$H$95,'317'!$H$97,'317'!$H$99</definedName>
    <definedName name="OSRRefH22x_0" localSheetId="63">'320'!$H$28:$H$34,'320'!$H$36:$H$38,'320'!$H$40,'320'!$H$42,'320'!$H$44:$H$45,'320'!$H$47,'320'!$H$49,'320'!$H$51:$H$52,'320'!$H$54</definedName>
    <definedName name="OSRRefH22x_0" localSheetId="69">'321'!$H$24:$H$31,'321'!$H$33:$H$37,'321'!$H$39,'321'!$H$41,'321'!$H$43,'321'!$H$45,'321'!$H$47:$H$49,'321'!$H$51,'321'!$H$53:$H$55,'321'!$H$57:$H$60,'321'!$H$62,'321'!$H$64</definedName>
    <definedName name="OSRRefH22x_0" localSheetId="70">'322'!$H$24:$H$31,'322'!$H$33:$H$36,'322'!$H$38,'322'!$H$40,'322'!$H$42,'322'!$H$44,'322'!$H$46,'322'!$H$48,'322'!$H$50:$H$51,'322'!$H$53:$H$55,'322'!$H$57:$H$62,'322'!$H$64,'322'!$H$66</definedName>
    <definedName name="OSRRefH22x_0" localSheetId="71">'325'!$H$24:$H$31,'325'!$H$33:$H$37,'325'!$H$39,'325'!$H$41,'325'!$H$43,'325'!$H$45:$H$46,'325'!$H$48,'325'!$H$50,'325'!$H$52,'325'!$H$54,'325'!$H$56,'325'!$H$58:$H$60,'325'!$H$62:$H$64,'325'!$H$66,'325'!$H$68:$H$72,'325'!$H$74,'325'!$H$76</definedName>
    <definedName name="OSRRefH22x_0" localSheetId="60">'326'!$H$61:$H$68,'326'!$H$70:$H$74,'326'!$H$76,'326'!$H$78,'326'!$H$80,'326'!$H$82,'326'!$H$84,'326'!$H$86,'326'!$H$88,'326'!$H$90,'326'!$H$92,'326'!$H$94,'326'!$H$96:$H$97,'326'!$H$99:$H$101,'326'!$H$103:$H$104,'326'!$H$106:$H$111,'326'!$H$113,'326'!$H$115,'326'!$H$117</definedName>
    <definedName name="OSRRefH22x_0" localSheetId="72">'327'!$H$22,'327'!$H$24,'327'!$H$26</definedName>
    <definedName name="OSRRefH22x_0" localSheetId="52">'330'!$H$79:$H$86,'330'!$H$88:$H$92,'330'!$H$94,'330'!$H$96,'330'!$H$98:$H$99,'330'!$H$101,'330'!$H$103,'330'!$H$105,'330'!$H$107:$H$108,'330'!$H$110:$H$111,'330'!$H$113,'330'!$H$115:$H$118,'330'!$H$120,'330'!$H$122,'330'!$H$124</definedName>
    <definedName name="OSRRefH22x_0" localSheetId="58">'331'!$H$89:$H$96,'331'!$H$98:$H$103,'331'!$H$105,'331'!$H$107,'331'!$H$109,'331'!$H$111:$H$112,'331'!$H$114,'331'!$H$116:$H$117,'331'!$H$119,'331'!$H$121,'331'!$H$123,'331'!$H$125,'331'!$H$127,'331'!$H$129:$H$130,'331'!$H$132:$H$133,'331'!$H$135:$H$137,'331'!$H$139:$H$140,'331'!$H$142:$H$147,'331'!$H$149,'331'!$H$151,'331'!$H$153:$H$154,'331'!$H$156</definedName>
    <definedName name="OSRRefH22x_0" localSheetId="61">'332'!$H$42:$H$49,'332'!$H$51:$H$54,'332'!$H$56,'332'!$H$58,'332'!$H$60,'332'!$H$62,'332'!$H$64:$H$65,'332'!$H$67,'332'!$H$69,'332'!$H$71:$H$73,'332'!$H$75,'332'!$H$77:$H$82,'332'!$H$84,'332'!$H$86,'332'!$H$88</definedName>
    <definedName name="OSRRefH22x_0" localSheetId="76">'405'!$H$24:$H$31,'405'!$H$33:$H$36,'405'!$H$38,'405'!$H$40,'405'!$H$42,'405'!$H$44:$H$45,'405'!$H$47,'405'!$H$49,'405'!$H$51,'405'!$H$53,'405'!$H$55:$H$56,'405'!$H$58,'405'!$H$60:$H$62,'405'!$H$64:$H$65,'405'!$H$67:$H$73,'405'!$H$75,'405'!$H$77,'405'!$H$79</definedName>
    <definedName name="OSRRefH22x_0" localSheetId="77">'406'!$H$24:$H$31,'406'!$H$33:$H$37,'406'!$H$39,'406'!$H$41,'406'!$H$43,'406'!$H$45,'406'!$H$47,'406'!$H$49,'406'!$H$51,'406'!$H$53:$H$55,'406'!$H$57:$H$58,'406'!$H$60:$H$64,'406'!$H$66,'406'!$H$68</definedName>
    <definedName name="OSRRefH22x_0" localSheetId="78">'411'!$H$20:$H$28,'411'!$H$30:$H$35,'411'!$H$37,'411'!$H$39,'411'!$H$41:$H$43,'411'!$H$45,'411'!$H$47,'411'!$H$49,'411'!$H$51,'411'!$H$53,'411'!$H$55,'411'!$H$57,'411'!$H$59:$H$60,'411'!$H$62:$H$66,'411'!$H$68,'411'!$H$70:$H$76,'411'!$H$78,'411'!$H$80,'411'!$H$82:$H$84,'411'!$H$86</definedName>
    <definedName name="OSRRefH22x_0" localSheetId="79">'412'!$H$23:$H$30,'412'!$H$32:$H$37,'412'!$H$39,'412'!$H$41,'412'!$H$43,'412'!$H$45,'412'!$H$47,'412'!$H$49,'412'!$H$51,'412'!$H$53:$H$54,'412'!$H$56:$H$57,'412'!$H$59:$H$64,'412'!$H$66,'412'!$H$68</definedName>
    <definedName name="OSRRefH22x_0" localSheetId="80">'413'!$H$24:$H$31,'413'!$H$33:$H$36,'413'!$H$38,'413'!$H$40,'413'!$H$42,'413'!$H$44,'413'!$H$46,'413'!$H$48:$H$50,'413'!$H$52:$H$54,'413'!$H$56:$H$61,'413'!$H$63</definedName>
    <definedName name="OSRRefH22x_0" localSheetId="81">'414'!$H$24:$H$31,'414'!$H$33:$H$37,'414'!$H$39,'414'!$H$41,'414'!$H$43,'414'!$H$45,'414'!$H$47,'414'!$H$49,'414'!$H$51,'414'!$H$53:$H$54,'414'!$H$56,'414'!$H$58,'414'!$H$60,'414'!$H$62:$H$68,'414'!$H$70,'414'!$H$72</definedName>
    <definedName name="OSRRefH22x_0" localSheetId="82">'415'!$H$24:$H$31,'415'!$H$33:$H$37,'415'!$H$39,'415'!$H$41,'415'!$H$43,'415'!$H$45:$H$46,'415'!$H$48,'415'!$H$50,'415'!$H$52,'415'!$H$54,'415'!$H$56,'415'!$H$58:$H$61,'415'!$H$63:$H$67,'415'!$H$69:$H$70,'415'!$H$72:$H$79,'415'!$H$81,'415'!$H$83,'415'!$H$85</definedName>
    <definedName name="OSRRefH22x_0" localSheetId="83">'418'!$H$24:$H$31,'418'!$H$33:$H$38,'418'!$H$40,'418'!$H$42,'418'!$H$44,'418'!$H$46:$H$47,'418'!$H$49,'418'!$H$51,'418'!$H$53,'418'!$H$55,'418'!$H$57:$H$58,'418'!$H$60:$H$62,'418'!$H$64:$H$66,'418'!$H$68:$H$69,'418'!$H$71:$H$77,'418'!$H$79,'418'!$H$81</definedName>
    <definedName name="OSRRefH22x_0" localSheetId="84">'420'!$H$23:$H$30,'420'!$H$32:$H$35,'420'!$H$37,'420'!$H$39,'420'!$H$41,'420'!$H$43:$H$44,'420'!$H$46</definedName>
    <definedName name="OSRRefH22x_0" localSheetId="85">'423'!$H$21:$H$28,'423'!$H$30,'423'!$H$32,'423'!$H$34,'423'!$H$36,'423'!$H$38</definedName>
    <definedName name="OSRRefH22x_0" localSheetId="86">'424'!$H$23:$H$24,'424'!$H$26:$H$30,'424'!$H$32,'424'!$H$34,'424'!$H$36,'424'!$H$38,'424'!$H$40,'424'!$H$42,'424'!$H$44:$H$45,'424'!$H$47,'424'!$H$49,'424'!$H$51:$H$54,'424'!$H$56</definedName>
    <definedName name="OSRRefH22x_0" localSheetId="87">'425'!$H$25:$H$33,'425'!$H$35:$H$40,'425'!$H$42,'425'!$H$44,'425'!$H$46,'425'!$H$48,'425'!$H$50,'425'!$H$52,'425'!$H$54,'425'!$H$56:$H$58,'425'!$H$60,'425'!$H$62:$H$63,'425'!$H$65:$H$71,'425'!$H$73,'425'!$H$75</definedName>
    <definedName name="OSRRefH22x_0" localSheetId="90">'430'!$H$20:$H$27,'430'!$H$29,'430'!$H$31,'430'!$H$33,'430'!$H$35:$H$36,'430'!$H$38,'430'!$H$40,'430'!$H$42</definedName>
    <definedName name="OSRRefH22x_0" localSheetId="91">'433'!$H$25:$H$33,'433'!$H$35:$H$40,'433'!$H$42,'433'!$H$44,'433'!$H$46,'433'!$H$48,'433'!$H$50,'433'!$H$52,'433'!$H$54,'433'!$H$56,'433'!$H$58,'433'!$H$60:$H$62,'433'!$H$64:$H$66,'433'!$H$68:$H$75,'433'!$H$77,'433'!$H$79,'433'!$H$81</definedName>
    <definedName name="OSRRefH22x_0" localSheetId="92">'435'!$H$25:$H$27,'435'!$H$29:$H$31,'435'!$H$33,'435'!$H$35,'435'!$H$37,'435'!$H$39,'435'!$H$41,'435'!$H$43:$H$45,'435'!$H$47</definedName>
    <definedName name="OSRRefH22x_0" localSheetId="93">'444'!$H$25:$H$33,'444'!$H$35:$H$40,'444'!$H$42,'444'!$H$44,'444'!$H$46,'444'!$H$48,'444'!$H$50,'444'!$H$52,'444'!$H$54,'444'!$H$56,'444'!$H$58,'444'!$H$60:$H$62,'444'!$H$64:$H$67,'444'!$H$69,'444'!$H$71:$H$79,'444'!$H$81,'444'!$H$83,'444'!$H$85</definedName>
    <definedName name="OSRRefH22x_0" localSheetId="94">'450'!$H$25:$H$33,'450'!$H$35:$H$40,'450'!$H$42,'450'!$H$44,'450'!$H$46,'450'!$H$48,'450'!$H$50,'450'!$H$52,'450'!$H$54,'450'!$H$56,'450'!$H$58,'450'!$H$60,'450'!$H$62,'450'!$H$64:$H$66,'450'!$H$68:$H$73,'450'!$H$75,'450'!$H$77,'450'!$H$79</definedName>
    <definedName name="OSRRefH22x_0" localSheetId="88">'455'!$H$20:$H$26,'455'!$H$28:$H$29</definedName>
    <definedName name="OSRRefH22x_0" localSheetId="75">'491'!$H$31:$H$39,'491'!$H$41:$H$47,'491'!$H$49,'491'!$H$51,'491'!$H$53,'491'!$H$55:$H$57,'491'!$H$59,'491'!$H$61,'491'!$H$63,'491'!$H$65,'491'!$H$67,'491'!$H$69:$H$70,'491'!$H$72,'491'!$H$74,'491'!$H$76,'491'!$H$78,'491'!$H$80:$H$83,'491'!$H$85:$H$86,'491'!$H$88:$H$92,'491'!$H$94:$H$95,'491'!$H$97:$H$105,'491'!$H$107,'491'!$H$109,'491'!$H$111:$H$113,'491'!$H$115</definedName>
    <definedName name="OSRRefH22x_0" localSheetId="89">'492'!$H$27:$H$35,'492'!$H$37:$H$43,'492'!$H$45,'492'!$H$47,'492'!$H$49,'492'!$H$51,'492'!$H$53,'492'!$H$55,'492'!$H$57,'492'!$H$59,'492'!$H$61,'492'!$H$63,'492'!$H$65:$H$67,'492'!$H$69:$H$72,'492'!$H$74,'492'!$H$76:$H$84,'492'!$H$86,'492'!$H$88,'492'!$H$90</definedName>
    <definedName name="OSRRefH22x_0" localSheetId="96">'501'!$H$21:$H$29,'501'!$H$31:$H$35,'501'!$H$37,'501'!$H$39,'501'!$H$41,'501'!$H$43:$H$44,'501'!$H$46,'501'!$H$48,'501'!$H$50,'501'!$H$52:$H$54,'501'!$H$56,'501'!$H$58:$H$60,'501'!$H$62</definedName>
    <definedName name="OSRRefH22x_0" localSheetId="39">'Div 2'!$H$20:$H$30,'Div 2'!$H$32:$H$38,'Div 2'!$H$40,'Div 2'!$H$42,'Div 2'!$H$44,'Div 2'!$H$46,'Div 2'!$H$48,'Div 2'!$H$50,'Div 2'!$H$52,'Div 2'!$H$54:$H$55,'Div 2'!$H$57,'Div 2'!$H$59,'Div 2'!$H$61:$H$64,'Div 2'!$H$66:$H$68,'Div 2'!$H$70:$H$71,'Div 2'!$H$73,'Div 2'!$H$75:$H$79,'Div 2'!$H$81:$H$82,'Div 2'!$H$84,'Div 2'!$H$86:$H$87</definedName>
    <definedName name="OSRRefH22x_0" localSheetId="47">'Div 3'!$H$168:$H$177,'Div 3'!$H$179:$H$185,'Div 3'!$H$187,'Div 3'!$H$189:$H$190,'Div 3'!$H$192,'Div 3'!$H$194:$H$195,'Div 3'!$H$197:$H$198,'Div 3'!$H$200,'Div 3'!$H$202,'Div 3'!$H$204,'Div 3'!$H$206:$H$207,'Div 3'!$H$209,'Div 3'!$H$211,'Div 3'!$H$213,'Div 3'!$H$215,'Div 3'!$H$217,'Div 3'!$H$219,'Div 3'!$H$221:$H$224,'Div 3'!$H$226:$H$228,'Div 3'!$H$230:$H$234,'Div 3'!$H$236:$H$237,'Div 3'!$H$239:$H$246,'Div 3'!$H$248:$H$249,'Div 3'!$H$251,'Div 3'!$H$253:$H$255,'Div 3'!$H$257</definedName>
    <definedName name="OSRRefH22x_0" localSheetId="73">'Div 4'!$H$32:$H$40,'Div 4'!$H$42:$H$48,'Div 4'!$H$50,'Div 4'!$H$52,'Div 4'!$H$54,'Div 4'!$H$56:$H$58,'Div 4'!$H$60,'Div 4'!$H$62,'Div 4'!$H$64,'Div 4'!$H$66,'Div 4'!$H$68,'Div 4'!$H$70:$H$71,'Div 4'!$H$73,'Div 4'!$H$75,'Div 4'!$H$77,'Div 4'!$H$79,'Div 4'!$H$81,'Div 4'!$H$83:$H$86,'Div 4'!$H$88:$H$89,'Div 4'!$H$91:$H$95,'Div 4'!$H$97:$H$98,'Div 4'!$H$100:$H$108,'Div 4'!$H$110,'Div 4'!$H$112,'Div 4'!$H$114:$H$116,'Div 4'!$H$118</definedName>
    <definedName name="OSRRefH22x_0" localSheetId="95">'Div 5'!$H$21:$H$29,'Div 5'!$H$31:$H$35,'Div 5'!$H$37,'Div 5'!$H$39,'Div 5'!$H$41,'Div 5'!$H$43:$H$44,'Div 5'!$H$46,'Div 5'!$H$48,'Div 5'!$H$50,'Div 5'!$H$52:$H$54,'Div 5'!$H$56,'Div 5'!$H$58:$H$60,'Div 5'!$H$62</definedName>
    <definedName name="OSRRefH22x_0" localSheetId="64">'Div 6'!$H$58:$H$66,'Div 6'!$H$68:$H$72,'Div 6'!$H$74,'Div 6'!$H$76,'Div 6'!$H$78,'Div 6'!$H$80:$H$81,'Div 6'!$H$83,'Div 6'!$H$85,'Div 6'!$H$87,'Div 6'!$H$89,'Div 6'!$H$91:$H$93,'Div 6'!$H$95,'Div 6'!$H$97,'Div 6'!$H$99</definedName>
    <definedName name="OSRRefH22x_0" localSheetId="2">Summary!$H$200:$H$209,Summary!$H$211:$H$217,Summary!$H$219,Summary!$H$221:$H$222,Summary!$H$224,Summary!$H$226:$H$228,Summary!$H$230:$H$231,Summary!$H$233,Summary!$H$235,Summary!$H$237,Summary!$H$239:$H$240,Summary!$H$242:$H$243,Summary!$H$245,Summary!$H$247,Summary!$H$249,Summary!$H$251,Summary!$H$253,Summary!$H$255,Summary!$H$257:$H$260,Summary!$H$262:$H$264,Summary!$H$266:$H$270,Summary!$H$272:$H$273,Summary!$H$275:$H$283,Summary!$H$285:$H$286,Summary!$H$288,Summary!$H$290:$H$292,Summary!$H$294</definedName>
    <definedName name="OSRRefH25x_0" localSheetId="48">'300'!$H$251:$H$259</definedName>
    <definedName name="OSRRefH25x_0" localSheetId="49">'300 &amp; 317'!$H$276:$H$287</definedName>
    <definedName name="OSRRefH25x_0" localSheetId="50">'301'!$H$97:$H$99</definedName>
    <definedName name="OSRRefH25x_0" localSheetId="53">'307'!$H$112</definedName>
    <definedName name="OSRRefH25x_0" localSheetId="55">'308'!$H$117:$H$119</definedName>
    <definedName name="OSRRefH25x_0" localSheetId="74">'310 &amp; 491'!$H$126:$H$128</definedName>
    <definedName name="OSRRefH25x_0" localSheetId="56">'311'!$H$116:$H$118</definedName>
    <definedName name="OSRRefH25x_0" localSheetId="59">'315'!$H$129:$H$130</definedName>
    <definedName name="OSRRefH25x_0" localSheetId="62">'316'!$H$81</definedName>
    <definedName name="OSRRefH25x_0" localSheetId="65">'317'!$H$102:$H$105</definedName>
    <definedName name="OSRRefH25x_0" localSheetId="63">'320'!$H$57:$H$61</definedName>
    <definedName name="OSRRefH25x_0" localSheetId="52">'330'!$H$127</definedName>
    <definedName name="OSRRefH25x_0" localSheetId="58">'331'!$H$159:$H$160</definedName>
    <definedName name="OSRRefH25x_0" localSheetId="61">'332'!$H$91:$H$96</definedName>
    <definedName name="OSRRefH25x_0" localSheetId="78">'411'!$H$89:$H$90</definedName>
    <definedName name="OSRRefH25x_0" localSheetId="80">'413'!$H$66</definedName>
    <definedName name="OSRRefH25x_0" localSheetId="82">'415'!$H$88</definedName>
    <definedName name="OSRRefH25x_0" localSheetId="83">'418'!$H$84</definedName>
    <definedName name="OSRRefH25x_0" localSheetId="85">'423'!$H$41</definedName>
    <definedName name="OSRRefH25x_0" localSheetId="86">'424'!$H$59</definedName>
    <definedName name="OSRRefH25x_0" localSheetId="87">'425'!$H$78</definedName>
    <definedName name="OSRRefH25x_0" localSheetId="88">'455'!$H$32:$H$33</definedName>
    <definedName name="OSRRefH25x_0" localSheetId="75">'491'!$H$118:$H$120</definedName>
    <definedName name="OSRRefH25x_0" localSheetId="96">'501'!$H$65</definedName>
    <definedName name="OSRRefH25x_0" localSheetId="47">'Div 3'!$H$260:$H$268</definedName>
    <definedName name="OSRRefH25x_0" localSheetId="73">'Div 4'!$H$121:$H$123</definedName>
    <definedName name="OSRRefH25x_0" localSheetId="95">'Div 5'!$H$65</definedName>
    <definedName name="OSRRefH25x_0" localSheetId="64">'Div 6'!$H$102:$H$105</definedName>
    <definedName name="OSRRefH25x_0" localSheetId="2">Summary!$H$297:$H$309</definedName>
    <definedName name="OSRRefP13x_0" localSheetId="48">'300'!$P$13:$P$105</definedName>
    <definedName name="OSRRefP13x_0" localSheetId="49">'300 &amp; 317'!$P$13:$P$123</definedName>
    <definedName name="OSRRefP13x_0" localSheetId="53">'307'!$P$13:$P$43</definedName>
    <definedName name="OSRRefP13x_0" localSheetId="55">'308'!$P$13:$P$41</definedName>
    <definedName name="OSRRefP13x_0" localSheetId="67">'309'!$P$13:$P$14</definedName>
    <definedName name="OSRRefP13x_0" localSheetId="66">'310'!$P$13:$P$21</definedName>
    <definedName name="OSRRefP13x_0" localSheetId="74">'310 &amp; 491'!$P$13:$P$28</definedName>
    <definedName name="OSRRefP13x_0" localSheetId="56">'311'!$P$13:$P$40</definedName>
    <definedName name="OSRRefP13x_0" localSheetId="68">'313'!$P$13:$P$18</definedName>
    <definedName name="OSRRefP13x_0" localSheetId="54">'314'!$P$13:$P$32</definedName>
    <definedName name="OSRRefP13x_0" localSheetId="59">'315'!$P$13:$P$50</definedName>
    <definedName name="OSRRefP13x_0" localSheetId="62">'316'!$P$13:$P$26</definedName>
    <definedName name="OSRRefP13x_0" localSheetId="65">'317'!$P$13:$P$37</definedName>
    <definedName name="OSRRefP13x_0" localSheetId="63">'320'!$P$13:$P$15</definedName>
    <definedName name="OSRRefP13x_0" localSheetId="69">'321'!$P$13:$P$14</definedName>
    <definedName name="OSRRefP13x_0" localSheetId="70">'322'!$P$13:$P$14</definedName>
    <definedName name="OSRRefP13x_0" localSheetId="57">'324'!$P$13:$P$15</definedName>
    <definedName name="OSRRefP13x_0" localSheetId="71">'325'!$P$13:$P$14</definedName>
    <definedName name="OSRRefP13x_0" localSheetId="60">'326'!$P$13:$P$38</definedName>
    <definedName name="OSRRefP13x_0" localSheetId="72">'327'!$P$13</definedName>
    <definedName name="OSRRefP13x_0" localSheetId="52">'330'!$P$13:$P$48</definedName>
    <definedName name="OSRRefP13x_0" localSheetId="58">'331'!$P$13:$P$54</definedName>
    <definedName name="OSRRefP13x_0" localSheetId="61">'332'!$P$13:$P$29</definedName>
    <definedName name="OSRRefP13x_0" localSheetId="76">'405'!$P$13:$P$14</definedName>
    <definedName name="OSRRefP13x_0" localSheetId="77">'406'!$P$13:$P$14</definedName>
    <definedName name="OSRRefP13x_0" localSheetId="79">'412'!$P$13:$P$14</definedName>
    <definedName name="OSRRefP13x_0" localSheetId="80">'413'!$P$13:$P$14</definedName>
    <definedName name="OSRRefP13x_0" localSheetId="81">'414'!$P$13:$P$14</definedName>
    <definedName name="OSRRefP13x_0" localSheetId="82">'415'!$P$13:$P$14</definedName>
    <definedName name="OSRRefP13x_0" localSheetId="83">'418'!$P$13:$P$14</definedName>
    <definedName name="OSRRefP13x_0" localSheetId="84">'420'!$P$13:$P$14</definedName>
    <definedName name="OSRRefP13x_0" localSheetId="86">'424'!$P$13</definedName>
    <definedName name="OSRRefP13x_0" localSheetId="87">'425'!$P$13:$P$15</definedName>
    <definedName name="OSRRefP13x_0" localSheetId="91">'433'!$P$13:$P$15</definedName>
    <definedName name="OSRRefP13x_0" localSheetId="92">'435'!$P$13:$P$15</definedName>
    <definedName name="OSRRefP13x_0" localSheetId="93">'444'!$P$13:$P$15</definedName>
    <definedName name="OSRRefP13x_0" localSheetId="94">'450'!$P$13:$P$15</definedName>
    <definedName name="OSRRefP13x_0" localSheetId="75">'491'!$P$13:$P$21</definedName>
    <definedName name="OSRRefP13x_0" localSheetId="89">'492'!$P$13:$P$17</definedName>
    <definedName name="OSRRefP13x_0" localSheetId="96">'501'!$P$13</definedName>
    <definedName name="OSRRefP13x_0" localSheetId="47">'Div 3'!$P$13:$P$108</definedName>
    <definedName name="OSRRefP13x_0" localSheetId="73">'Div 4'!$P$13:$P$22</definedName>
    <definedName name="OSRRefP13x_0" localSheetId="95">'Div 5'!$P$13</definedName>
    <definedName name="OSRRefP13x_0" localSheetId="64">'Div 6'!$P$13:$P$37</definedName>
    <definedName name="OSRRefP13x_0" localSheetId="2">Summary!$P$13:$P$133</definedName>
    <definedName name="OSRRefP16x_0" localSheetId="48">'300'!$P$108:$P$157</definedName>
    <definedName name="OSRRefP16x_0" localSheetId="49">'300 &amp; 317'!$P$126:$P$182</definedName>
    <definedName name="OSRRefP16x_0" localSheetId="53">'307'!$P$46:$P$65</definedName>
    <definedName name="OSRRefP16x_0" localSheetId="55">'308'!$P$44:$P$59</definedName>
    <definedName name="OSRRefP16x_0" localSheetId="67">'309'!$P$17:$P$18</definedName>
    <definedName name="OSRRefP16x_0" localSheetId="66">'310'!$P$24:$P$25</definedName>
    <definedName name="OSRRefP16x_0" localSheetId="74">'310 &amp; 491'!$P$31:$P$32</definedName>
    <definedName name="OSRRefP16x_0" localSheetId="56">'311'!$P$43:$P$58</definedName>
    <definedName name="OSRRefP16x_0" localSheetId="68">'313'!$P$21:$P$22</definedName>
    <definedName name="OSRRefP16x_0" localSheetId="54">'314'!$P$35:$P$49</definedName>
    <definedName name="OSRRefP16x_0" localSheetId="59">'315'!$P$53:$P$75</definedName>
    <definedName name="OSRRefP16x_0" localSheetId="65">'317'!$P$40:$P$52</definedName>
    <definedName name="OSRRefP16x_0" localSheetId="63">'320'!$P$18:$P$22</definedName>
    <definedName name="OSRRefP16x_0" localSheetId="69">'321'!$P$17:$P$18</definedName>
    <definedName name="OSRRefP16x_0" localSheetId="70">'322'!$P$17:$P$18</definedName>
    <definedName name="OSRRefP16x_0" localSheetId="57">'324'!$P$18:$P$19</definedName>
    <definedName name="OSRRefP16x_0" localSheetId="71">'325'!$P$17:$P$18</definedName>
    <definedName name="OSRRefP16x_0" localSheetId="60">'326'!$P$41:$P$55</definedName>
    <definedName name="OSRRefP16x_0" localSheetId="72">'327'!$P$16</definedName>
    <definedName name="OSRRefP16x_0" localSheetId="52">'330'!$P$51:$P$73</definedName>
    <definedName name="OSRRefP16x_0" localSheetId="58">'331'!$P$57:$P$83</definedName>
    <definedName name="OSRRefP16x_0" localSheetId="61">'332'!$P$32:$P$36</definedName>
    <definedName name="OSRRefP16x_0" localSheetId="76">'405'!$P$17:$P$18</definedName>
    <definedName name="OSRRefP16x_0" localSheetId="77">'406'!$P$17:$P$18</definedName>
    <definedName name="OSRRefP16x_0" localSheetId="79">'412'!$P$17</definedName>
    <definedName name="OSRRefP16x_0" localSheetId="80">'413'!$P$17:$P$18</definedName>
    <definedName name="OSRRefP16x_0" localSheetId="81">'414'!$P$17:$P$18</definedName>
    <definedName name="OSRRefP16x_0" localSheetId="82">'415'!$P$17:$P$18</definedName>
    <definedName name="OSRRefP16x_0" localSheetId="83">'418'!$P$17:$P$18</definedName>
    <definedName name="OSRRefP16x_0" localSheetId="84">'420'!$P$17</definedName>
    <definedName name="OSRRefP16x_0" localSheetId="85">'423'!$P$15</definedName>
    <definedName name="OSRRefP16x_0" localSheetId="86">'424'!$P$16:$P$17</definedName>
    <definedName name="OSRRefP16x_0" localSheetId="87">'425'!$P$18:$P$19</definedName>
    <definedName name="OSRRefP16x_0" localSheetId="91">'433'!$P$18:$P$19</definedName>
    <definedName name="OSRRefP16x_0" localSheetId="92">'435'!$P$18:$P$19</definedName>
    <definedName name="OSRRefP16x_0" localSheetId="93">'444'!$P$18:$P$19</definedName>
    <definedName name="OSRRefP16x_0" localSheetId="94">'450'!$P$18:$P$19</definedName>
    <definedName name="OSRRefP16x_0" localSheetId="75">'491'!$P$24:$P$25</definedName>
    <definedName name="OSRRefP16x_0" localSheetId="89">'492'!$P$20:$P$21</definedName>
    <definedName name="OSRRefP16x_0" localSheetId="47">'Div 3'!$P$111:$P$162</definedName>
    <definedName name="OSRRefP16x_0" localSheetId="73">'Div 4'!$P$25:$P$26</definedName>
    <definedName name="OSRRefP16x_0" localSheetId="64">'Div 6'!$P$40:$P$52</definedName>
    <definedName name="OSRRefP16x_0" localSheetId="2">Summary!$P$136:$P$194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'203'!$P$20:$P$29</definedName>
    <definedName name="OSRRefP22_0x_0" localSheetId="44">'204'!$P$20:$P$29</definedName>
    <definedName name="OSRRefP22_0x_0" localSheetId="45">'205'!$P$20:$P$27</definedName>
    <definedName name="OSRRefP22_0x_0" localSheetId="46">'206'!$P$20:$P$27</definedName>
    <definedName name="OSRRefP22_0x_0" localSheetId="48">'300'!$P$163:$P$172</definedName>
    <definedName name="OSRRefP22_0x_0" localSheetId="49">'300 &amp; 317'!$P$188:$P$197</definedName>
    <definedName name="OSRRefP22_0x_0" localSheetId="50">'301'!$P$20:$P$29</definedName>
    <definedName name="OSRRefP22_0x_0" localSheetId="51">'306'!$P$20:$P$28</definedName>
    <definedName name="OSRRefP22_0x_0" localSheetId="53">'307'!$P$71:$P$78</definedName>
    <definedName name="OSRRefP22_0x_0" localSheetId="55">'308'!$P$65:$P$73</definedName>
    <definedName name="OSRRefP22_0x_0" localSheetId="67">'309'!$P$24:$P$31</definedName>
    <definedName name="OSRRefP22_0x_0" localSheetId="66">'310'!$P$31:$P$38</definedName>
    <definedName name="OSRRefP22_0x_0" localSheetId="74">'310 &amp; 491'!$P$38:$P$46</definedName>
    <definedName name="OSRRefP22_0x_0" localSheetId="56">'311'!$P$64:$P$72</definedName>
    <definedName name="OSRRefP22_0x_0" localSheetId="68">'313'!$P$28:$P$35</definedName>
    <definedName name="OSRRefP22_0x_0" localSheetId="54">'314'!$P$55:$P$62</definedName>
    <definedName name="OSRRefP22_0x_0" localSheetId="59">'315'!$P$81:$P$88</definedName>
    <definedName name="OSRRefP22_0x_0" localSheetId="62">'316'!$P$34:$P$41</definedName>
    <definedName name="OSRRefP22_0x_0" localSheetId="65">'317'!$P$58:$P$66</definedName>
    <definedName name="OSRRefP22_0x_0" localSheetId="63">'320'!$P$28:$P$34</definedName>
    <definedName name="OSRRefP22_0x_0" localSheetId="69">'321'!$P$24:$P$31</definedName>
    <definedName name="OSRRefP22_0x_0" localSheetId="70">'322'!$P$24:$P$31</definedName>
    <definedName name="OSRRefP22_0x_0" localSheetId="71">'325'!$P$24:$P$31</definedName>
    <definedName name="OSRRefP22_0x_0" localSheetId="60">'326'!$P$61:$P$68</definedName>
    <definedName name="OSRRefP22_0x_0" localSheetId="72">'327'!$P$22</definedName>
    <definedName name="OSRRefP22_0x_0" localSheetId="52">'330'!$P$79:$P$86</definedName>
    <definedName name="OSRRefP22_0x_0" localSheetId="58">'331'!$P$89:$P$96</definedName>
    <definedName name="OSRRefP22_0x_0" localSheetId="61">'332'!$P$42:$P$49</definedName>
    <definedName name="OSRRefP22_0x_0" localSheetId="76">'405'!$P$24:$P$31</definedName>
    <definedName name="OSRRefP22_0x_0" localSheetId="77">'406'!$P$24:$P$31</definedName>
    <definedName name="OSRRefP22_0x_0" localSheetId="78">'411'!$P$20:$P$28</definedName>
    <definedName name="OSRRefP22_0x_0" localSheetId="79">'412'!$P$23:$P$30</definedName>
    <definedName name="OSRRefP22_0x_0" localSheetId="80">'413'!$P$24:$P$31</definedName>
    <definedName name="OSRRefP22_0x_0" localSheetId="81">'414'!$P$24:$P$31</definedName>
    <definedName name="OSRRefP22_0x_0" localSheetId="82">'415'!$P$24:$P$31</definedName>
    <definedName name="OSRRefP22_0x_0" localSheetId="83">'418'!$P$24:$P$31</definedName>
    <definedName name="OSRRefP22_0x_0" localSheetId="84">'420'!$P$23:$P$30</definedName>
    <definedName name="OSRRefP22_0x_0" localSheetId="85">'423'!$P$21:$P$28</definedName>
    <definedName name="OSRRefP22_0x_0" localSheetId="86">'424'!$P$23:$P$24</definedName>
    <definedName name="OSRRefP22_0x_0" localSheetId="87">'425'!$P$25:$P$33</definedName>
    <definedName name="OSRRefP22_0x_0" localSheetId="90">'430'!$P$20:$P$27</definedName>
    <definedName name="OSRRefP22_0x_0" localSheetId="91">'433'!$P$25:$P$33</definedName>
    <definedName name="OSRRefP22_0x_0" localSheetId="92">'435'!$P$25:$P$27</definedName>
    <definedName name="OSRRefP22_0x_0" localSheetId="93">'444'!$P$25:$P$33</definedName>
    <definedName name="OSRRefP22_0x_0" localSheetId="94">'450'!$P$25:$P$33</definedName>
    <definedName name="OSRRefP22_0x_0" localSheetId="88">'455'!$P$20:$P$26</definedName>
    <definedName name="OSRRefP22_0x_0" localSheetId="75">'491'!$P$31:$P$39</definedName>
    <definedName name="OSRRefP22_0x_0" localSheetId="89">'492'!$P$27:$P$35</definedName>
    <definedName name="OSRRefP22_0x_0" localSheetId="96">'501'!$P$21:$P$29</definedName>
    <definedName name="OSRRefP22_0x_0" localSheetId="39">'Div 2'!$P$20:$P$30</definedName>
    <definedName name="OSRRefP22_0x_0" localSheetId="47">'Div 3'!$P$168:$P$177</definedName>
    <definedName name="OSRRefP22_0x_0" localSheetId="73">'Div 4'!$P$32:$P$40</definedName>
    <definedName name="OSRRefP22_0x_0" localSheetId="95">'Div 5'!$P$21:$P$29</definedName>
    <definedName name="OSRRefP22_0x_0" localSheetId="64">'Div 6'!$P$58:$P$66</definedName>
    <definedName name="OSRRefP22_0x_0" localSheetId="2">Summary!$P$200:$P$209</definedName>
    <definedName name="OSRRefP22_10x_0" localSheetId="41">'201'!$P$51:$P$53</definedName>
    <definedName name="OSRRefP22_10x_0" localSheetId="42">'202'!$P$53</definedName>
    <definedName name="OSRRefP22_10x_0" localSheetId="43">'203'!$P$54:$P$55</definedName>
    <definedName name="OSRRefP22_10x_0" localSheetId="44">'204'!$P$56:$P$57</definedName>
    <definedName name="OSRRefP22_10x_0" localSheetId="48">'300'!$P$201:$P$202</definedName>
    <definedName name="OSRRefP22_10x_0" localSheetId="49">'300 &amp; 317'!$P$226:$P$227</definedName>
    <definedName name="OSRRefP22_10x_0" localSheetId="50">'301'!$P$58</definedName>
    <definedName name="OSRRefP22_10x_0" localSheetId="53">'307'!$P$107</definedName>
    <definedName name="OSRRefP22_10x_0" localSheetId="55">'308'!$P$102:$P$103</definedName>
    <definedName name="OSRRefP22_10x_0" localSheetId="67">'309'!$P$56:$P$58</definedName>
    <definedName name="OSRRefP22_10x_0" localSheetId="66">'310'!$P$64</definedName>
    <definedName name="OSRRefP22_10x_0" localSheetId="74">'310 &amp; 491'!$P$74:$P$75</definedName>
    <definedName name="OSRRefP22_10x_0" localSheetId="56">'311'!$P$101:$P$102</definedName>
    <definedName name="OSRRefP22_10x_0" localSheetId="68">'313'!$P$61:$P$65</definedName>
    <definedName name="OSRRefP22_10x_0" localSheetId="59">'315'!$P$121</definedName>
    <definedName name="OSRRefP22_10x_0" localSheetId="62">'316'!$P$67:$P$72</definedName>
    <definedName name="OSRRefP22_10x_0" localSheetId="65">'317'!$P$91:$P$93</definedName>
    <definedName name="OSRRefP22_10x_0" localSheetId="69">'321'!$P$62</definedName>
    <definedName name="OSRRefP22_10x_0" localSheetId="70">'322'!$P$57:$P$62</definedName>
    <definedName name="OSRRefP22_10x_0" localSheetId="71">'325'!$P$56</definedName>
    <definedName name="OSRRefP22_10x_0" localSheetId="60">'326'!$P$92</definedName>
    <definedName name="OSRRefP22_10x_0" localSheetId="52">'330'!$P$113</definedName>
    <definedName name="OSRRefP22_10x_0" localSheetId="58">'331'!$P$123</definedName>
    <definedName name="OSRRefP22_10x_0" localSheetId="61">'332'!$P$75</definedName>
    <definedName name="OSRRefP22_10x_0" localSheetId="76">'405'!$P$55:$P$56</definedName>
    <definedName name="OSRRefP22_10x_0" localSheetId="77">'406'!$P$57:$P$58</definedName>
    <definedName name="OSRRefP22_10x_0" localSheetId="78">'411'!$P$55</definedName>
    <definedName name="OSRRefP22_10x_0" localSheetId="79">'412'!$P$56:$P$57</definedName>
    <definedName name="OSRRefP22_10x_0" localSheetId="80">'413'!$P$63</definedName>
    <definedName name="OSRRefP22_10x_0" localSheetId="81">'414'!$P$56</definedName>
    <definedName name="OSRRefP22_10x_0" localSheetId="82">'415'!$P$56</definedName>
    <definedName name="OSRRefP22_10x_0" localSheetId="83">'418'!$P$57:$P$58</definedName>
    <definedName name="OSRRefP22_10x_0" localSheetId="86">'424'!$P$49</definedName>
    <definedName name="OSRRefP22_10x_0" localSheetId="87">'425'!$P$60</definedName>
    <definedName name="OSRRefP22_10x_0" localSheetId="91">'433'!$P$58</definedName>
    <definedName name="OSRRefP22_10x_0" localSheetId="93">'444'!$P$58</definedName>
    <definedName name="OSRRefP22_10x_0" localSheetId="94">'450'!$P$58</definedName>
    <definedName name="OSRRefP22_10x_0" localSheetId="75">'491'!$P$67</definedName>
    <definedName name="OSRRefP22_10x_0" localSheetId="89">'492'!$P$61</definedName>
    <definedName name="OSRRefP22_10x_0" localSheetId="96">'501'!$P$56</definedName>
    <definedName name="OSRRefP22_10x_0" localSheetId="39">'Div 2'!$P$57</definedName>
    <definedName name="OSRRefP22_10x_0" localSheetId="47">'Div 3'!$P$206:$P$207</definedName>
    <definedName name="OSRRefP22_10x_0" localSheetId="73">'Div 4'!$P$68</definedName>
    <definedName name="OSRRefP22_10x_0" localSheetId="95">'Div 5'!$P$56</definedName>
    <definedName name="OSRRefP22_10x_0" localSheetId="64">'Div 6'!$P$91:$P$93</definedName>
    <definedName name="OSRRefP22_10x_0" localSheetId="2">Summary!$P$239:$P$240</definedName>
    <definedName name="OSRRefP22_11x_0" localSheetId="41">'201'!$P$55</definedName>
    <definedName name="OSRRefP22_11x_0" localSheetId="42">'202'!$P$55:$P$57</definedName>
    <definedName name="OSRRefP22_11x_0" localSheetId="43">'203'!$P$57</definedName>
    <definedName name="OSRRefP22_11x_0" localSheetId="48">'300'!$P$204</definedName>
    <definedName name="OSRRefP22_11x_0" localSheetId="49">'300 &amp; 317'!$P$229</definedName>
    <definedName name="OSRRefP22_11x_0" localSheetId="50">'301'!$P$60</definedName>
    <definedName name="OSRRefP22_11x_0" localSheetId="53">'307'!$P$109</definedName>
    <definedName name="OSRRefP22_11x_0" localSheetId="55">'308'!$P$105:$P$107</definedName>
    <definedName name="OSRRefP22_11x_0" localSheetId="67">'309'!$P$60:$P$62</definedName>
    <definedName name="OSRRefP22_11x_0" localSheetId="66">'310'!$P$66</definedName>
    <definedName name="OSRRefP22_11x_0" localSheetId="74">'310 &amp; 491'!$P$77:$P$78</definedName>
    <definedName name="OSRRefP22_11x_0" localSheetId="56">'311'!$P$104:$P$106</definedName>
    <definedName name="OSRRefP22_11x_0" localSheetId="68">'313'!$P$67</definedName>
    <definedName name="OSRRefP22_11x_0" localSheetId="59">'315'!$P$123</definedName>
    <definedName name="OSRRefP22_11x_0" localSheetId="62">'316'!$P$74</definedName>
    <definedName name="OSRRefP22_11x_0" localSheetId="65">'317'!$P$95</definedName>
    <definedName name="OSRRefP22_11x_0" localSheetId="69">'321'!$P$64</definedName>
    <definedName name="OSRRefP22_11x_0" localSheetId="70">'322'!$P$64</definedName>
    <definedName name="OSRRefP22_11x_0" localSheetId="71">'325'!$P$58:$P$60</definedName>
    <definedName name="OSRRefP22_11x_0" localSheetId="60">'326'!$P$94</definedName>
    <definedName name="OSRRefP22_11x_0" localSheetId="52">'330'!$P$115:$P$118</definedName>
    <definedName name="OSRRefP22_11x_0" localSheetId="58">'331'!$P$125</definedName>
    <definedName name="OSRRefP22_11x_0" localSheetId="61">'332'!$P$77:$P$82</definedName>
    <definedName name="OSRRefP22_11x_0" localSheetId="76">'405'!$P$58</definedName>
    <definedName name="OSRRefP22_11x_0" localSheetId="77">'406'!$P$60:$P$64</definedName>
    <definedName name="OSRRefP22_11x_0" localSheetId="78">'411'!$P$57</definedName>
    <definedName name="OSRRefP22_11x_0" localSheetId="79">'412'!$P$59:$P$64</definedName>
    <definedName name="OSRRefP22_11x_0" localSheetId="81">'414'!$P$58</definedName>
    <definedName name="OSRRefP22_11x_0" localSheetId="82">'415'!$P$58:$P$61</definedName>
    <definedName name="OSRRefP22_11x_0" localSheetId="83">'418'!$P$60:$P$62</definedName>
    <definedName name="OSRRefP22_11x_0" localSheetId="86">'424'!$P$51:$P$54</definedName>
    <definedName name="OSRRefP22_11x_0" localSheetId="87">'425'!$P$62:$P$63</definedName>
    <definedName name="OSRRefP22_11x_0" localSheetId="91">'433'!$P$60:$P$62</definedName>
    <definedName name="OSRRefP22_11x_0" localSheetId="93">'444'!$P$60:$P$62</definedName>
    <definedName name="OSRRefP22_11x_0" localSheetId="94">'450'!$P$60</definedName>
    <definedName name="OSRRefP22_11x_0" localSheetId="75">'491'!$P$69:$P$70</definedName>
    <definedName name="OSRRefP22_11x_0" localSheetId="89">'492'!$P$63</definedName>
    <definedName name="OSRRefP22_11x_0" localSheetId="96">'501'!$P$58:$P$60</definedName>
    <definedName name="OSRRefP22_11x_0" localSheetId="39">'Div 2'!$P$59</definedName>
    <definedName name="OSRRefP22_11x_0" localSheetId="47">'Div 3'!$P$209</definedName>
    <definedName name="OSRRefP22_11x_0" localSheetId="73">'Div 4'!$P$70:$P$71</definedName>
    <definedName name="OSRRefP22_11x_0" localSheetId="95">'Div 5'!$P$58:$P$60</definedName>
    <definedName name="OSRRefP22_11x_0" localSheetId="64">'Div 6'!$P$95</definedName>
    <definedName name="OSRRefP22_11x_0" localSheetId="2">Summary!$P$242:$P$243</definedName>
    <definedName name="OSRRefP22_12x_0" localSheetId="41">'201'!$P$57:$P$60</definedName>
    <definedName name="OSRRefP22_12x_0" localSheetId="42">'202'!$P$59</definedName>
    <definedName name="OSRRefP22_12x_0" localSheetId="43">'203'!$P$59:$P$62</definedName>
    <definedName name="OSRRefP22_12x_0" localSheetId="48">'300'!$P$206</definedName>
    <definedName name="OSRRefP22_12x_0" localSheetId="49">'300 &amp; 317'!$P$231</definedName>
    <definedName name="OSRRefP22_12x_0" localSheetId="50">'301'!$P$62</definedName>
    <definedName name="OSRRefP22_12x_0" localSheetId="55">'308'!$P$109:$P$110</definedName>
    <definedName name="OSRRefP22_12x_0" localSheetId="67">'309'!$P$64</definedName>
    <definedName name="OSRRefP22_12x_0" localSheetId="66">'310'!$P$68</definedName>
    <definedName name="OSRRefP22_12x_0" localSheetId="74">'310 &amp; 491'!$P$80</definedName>
    <definedName name="OSRRefP22_12x_0" localSheetId="56">'311'!$P$108:$P$109</definedName>
    <definedName name="OSRRefP22_12x_0" localSheetId="68">'313'!$P$69</definedName>
    <definedName name="OSRRefP22_12x_0" localSheetId="59">'315'!$P$125:$P$126</definedName>
    <definedName name="OSRRefP22_12x_0" localSheetId="62">'316'!$P$76</definedName>
    <definedName name="OSRRefP22_12x_0" localSheetId="65">'317'!$P$97</definedName>
    <definedName name="OSRRefP22_12x_0" localSheetId="70">'322'!$P$66</definedName>
    <definedName name="OSRRefP22_12x_0" localSheetId="71">'325'!$P$62:$P$64</definedName>
    <definedName name="OSRRefP22_12x_0" localSheetId="60">'326'!$P$96:$P$97</definedName>
    <definedName name="OSRRefP22_12x_0" localSheetId="52">'330'!$P$120</definedName>
    <definedName name="OSRRefP22_12x_0" localSheetId="58">'331'!$P$127</definedName>
    <definedName name="OSRRefP22_12x_0" localSheetId="61">'332'!$P$84</definedName>
    <definedName name="OSRRefP22_12x_0" localSheetId="76">'405'!$P$60:$P$62</definedName>
    <definedName name="OSRRefP22_12x_0" localSheetId="77">'406'!$P$66</definedName>
    <definedName name="OSRRefP22_12x_0" localSheetId="78">'411'!$P$59:$P$60</definedName>
    <definedName name="OSRRefP22_12x_0" localSheetId="79">'412'!$P$66</definedName>
    <definedName name="OSRRefP22_12x_0" localSheetId="81">'414'!$P$60</definedName>
    <definedName name="OSRRefP22_12x_0" localSheetId="82">'415'!$P$63:$P$67</definedName>
    <definedName name="OSRRefP22_12x_0" localSheetId="83">'418'!$P$64:$P$66</definedName>
    <definedName name="OSRRefP22_12x_0" localSheetId="86">'424'!$P$56</definedName>
    <definedName name="OSRRefP22_12x_0" localSheetId="87">'425'!$P$65:$P$71</definedName>
    <definedName name="OSRRefP22_12x_0" localSheetId="91">'433'!$P$64:$P$66</definedName>
    <definedName name="OSRRefP22_12x_0" localSheetId="93">'444'!$P$64:$P$67</definedName>
    <definedName name="OSRRefP22_12x_0" localSheetId="94">'450'!$P$62</definedName>
    <definedName name="OSRRefP22_12x_0" localSheetId="75">'491'!$P$72</definedName>
    <definedName name="OSRRefP22_12x_0" localSheetId="89">'492'!$P$65:$P$67</definedName>
    <definedName name="OSRRefP22_12x_0" localSheetId="96">'501'!$P$62</definedName>
    <definedName name="OSRRefP22_12x_0" localSheetId="39">'Div 2'!$P$61:$P$64</definedName>
    <definedName name="OSRRefP22_12x_0" localSheetId="47">'Div 3'!$P$211</definedName>
    <definedName name="OSRRefP22_12x_0" localSheetId="73">'Div 4'!$P$73</definedName>
    <definedName name="OSRRefP22_12x_0" localSheetId="95">'Div 5'!$P$62</definedName>
    <definedName name="OSRRefP22_12x_0" localSheetId="64">'Div 6'!$P$97</definedName>
    <definedName name="OSRRefP22_12x_0" localSheetId="2">Summary!$P$245</definedName>
    <definedName name="OSRRefP22_13x_0" localSheetId="41">'201'!$P$62</definedName>
    <definedName name="OSRRefP22_13x_0" localSheetId="42">'202'!$P$61</definedName>
    <definedName name="OSRRefP22_13x_0" localSheetId="43">'203'!$P$64</definedName>
    <definedName name="OSRRefP22_13x_0" localSheetId="48">'300'!$P$208</definedName>
    <definedName name="OSRRefP22_13x_0" localSheetId="49">'300 &amp; 317'!$P$233</definedName>
    <definedName name="OSRRefP22_13x_0" localSheetId="50">'301'!$P$64</definedName>
    <definedName name="OSRRefP22_13x_0" localSheetId="55">'308'!$P$112</definedName>
    <definedName name="OSRRefP22_13x_0" localSheetId="66">'310'!$P$70</definedName>
    <definedName name="OSRRefP22_13x_0" localSheetId="74">'310 &amp; 491'!$P$82</definedName>
    <definedName name="OSRRefP22_13x_0" localSheetId="56">'311'!$P$111</definedName>
    <definedName name="OSRRefP22_13x_0" localSheetId="62">'316'!$P$78</definedName>
    <definedName name="OSRRefP22_13x_0" localSheetId="65">'317'!$P$99</definedName>
    <definedName name="OSRRefP22_13x_0" localSheetId="71">'325'!$P$66</definedName>
    <definedName name="OSRRefP22_13x_0" localSheetId="60">'326'!$P$99:$P$101</definedName>
    <definedName name="OSRRefP22_13x_0" localSheetId="52">'330'!$P$122</definedName>
    <definedName name="OSRRefP22_13x_0" localSheetId="58">'331'!$P$129:$P$130</definedName>
    <definedName name="OSRRefP22_13x_0" localSheetId="61">'332'!$P$86</definedName>
    <definedName name="OSRRefP22_13x_0" localSheetId="76">'405'!$P$64:$P$65</definedName>
    <definedName name="OSRRefP22_13x_0" localSheetId="77">'406'!$P$68</definedName>
    <definedName name="OSRRefP22_13x_0" localSheetId="78">'411'!$P$62:$P$66</definedName>
    <definedName name="OSRRefP22_13x_0" localSheetId="79">'412'!$P$68</definedName>
    <definedName name="OSRRefP22_13x_0" localSheetId="81">'414'!$P$62:$P$68</definedName>
    <definedName name="OSRRefP22_13x_0" localSheetId="82">'415'!$P$69:$P$70</definedName>
    <definedName name="OSRRefP22_13x_0" localSheetId="83">'418'!$P$68:$P$69</definedName>
    <definedName name="OSRRefP22_13x_0" localSheetId="87">'425'!$P$73</definedName>
    <definedName name="OSRRefP22_13x_0" localSheetId="91">'433'!$P$68:$P$75</definedName>
    <definedName name="OSRRefP22_13x_0" localSheetId="93">'444'!$P$69</definedName>
    <definedName name="OSRRefP22_13x_0" localSheetId="94">'450'!$P$64:$P$66</definedName>
    <definedName name="OSRRefP22_13x_0" localSheetId="75">'491'!$P$74</definedName>
    <definedName name="OSRRefP22_13x_0" localSheetId="89">'492'!$P$69:$P$72</definedName>
    <definedName name="OSRRefP22_13x_0" localSheetId="39">'Div 2'!$P$66:$P$68</definedName>
    <definedName name="OSRRefP22_13x_0" localSheetId="47">'Div 3'!$P$213</definedName>
    <definedName name="OSRRefP22_13x_0" localSheetId="73">'Div 4'!$P$75</definedName>
    <definedName name="OSRRefP22_13x_0" localSheetId="64">'Div 6'!$P$99</definedName>
    <definedName name="OSRRefP22_13x_0" localSheetId="2">Summary!$P$247</definedName>
    <definedName name="OSRRefP22_14x_0" localSheetId="41">'201'!$P$64</definedName>
    <definedName name="OSRRefP22_14x_0" localSheetId="42">'202'!$P$63</definedName>
    <definedName name="OSRRefP22_14x_0" localSheetId="43">'203'!$P$66</definedName>
    <definedName name="OSRRefP22_14x_0" localSheetId="48">'300'!$P$210</definedName>
    <definedName name="OSRRefP22_14x_0" localSheetId="49">'300 &amp; 317'!$P$235</definedName>
    <definedName name="OSRRefP22_14x_0" localSheetId="50">'301'!$P$66</definedName>
    <definedName name="OSRRefP22_14x_0" localSheetId="55">'308'!$P$114</definedName>
    <definedName name="OSRRefP22_14x_0" localSheetId="66">'310'!$P$72:$P$74</definedName>
    <definedName name="OSRRefP22_14x_0" localSheetId="74">'310 &amp; 491'!$P$84</definedName>
    <definedName name="OSRRefP22_14x_0" localSheetId="56">'311'!$P$113</definedName>
    <definedName name="OSRRefP22_14x_0" localSheetId="71">'325'!$P$68:$P$72</definedName>
    <definedName name="OSRRefP22_14x_0" localSheetId="60">'326'!$P$103:$P$104</definedName>
    <definedName name="OSRRefP22_14x_0" localSheetId="52">'330'!$P$124</definedName>
    <definedName name="OSRRefP22_14x_0" localSheetId="58">'331'!$P$132:$P$133</definedName>
    <definedName name="OSRRefP22_14x_0" localSheetId="61">'332'!$P$88</definedName>
    <definedName name="OSRRefP22_14x_0" localSheetId="76">'405'!$P$67:$P$73</definedName>
    <definedName name="OSRRefP22_14x_0" localSheetId="78">'411'!$P$68</definedName>
    <definedName name="OSRRefP22_14x_0" localSheetId="81">'414'!$P$70</definedName>
    <definedName name="OSRRefP22_14x_0" localSheetId="82">'415'!$P$72:$P$79</definedName>
    <definedName name="OSRRefP22_14x_0" localSheetId="83">'418'!$P$71:$P$77</definedName>
    <definedName name="OSRRefP22_14x_0" localSheetId="87">'425'!$P$75</definedName>
    <definedName name="OSRRefP22_14x_0" localSheetId="91">'433'!$P$77</definedName>
    <definedName name="OSRRefP22_14x_0" localSheetId="93">'444'!$P$71:$P$79</definedName>
    <definedName name="OSRRefP22_14x_0" localSheetId="94">'450'!$P$68:$P$73</definedName>
    <definedName name="OSRRefP22_14x_0" localSheetId="75">'491'!$P$76</definedName>
    <definedName name="OSRRefP22_14x_0" localSheetId="89">'492'!$P$74</definedName>
    <definedName name="OSRRefP22_14x_0" localSheetId="39">'Div 2'!$P$70:$P$71</definedName>
    <definedName name="OSRRefP22_14x_0" localSheetId="47">'Div 3'!$P$215</definedName>
    <definedName name="OSRRefP22_14x_0" localSheetId="73">'Div 4'!$P$77</definedName>
    <definedName name="OSRRefP22_14x_0" localSheetId="2">Summary!$P$249</definedName>
    <definedName name="OSRRefP22_15x_0" localSheetId="41">'201'!$P$66</definedName>
    <definedName name="OSRRefP22_15x_0" localSheetId="43">'203'!$P$68</definedName>
    <definedName name="OSRRefP22_15x_0" localSheetId="48">'300'!$P$212</definedName>
    <definedName name="OSRRefP22_15x_0" localSheetId="49">'300 &amp; 317'!$P$237</definedName>
    <definedName name="OSRRefP22_15x_0" localSheetId="50">'301'!$P$68:$P$71</definedName>
    <definedName name="OSRRefP22_15x_0" localSheetId="66">'310'!$P$76</definedName>
    <definedName name="OSRRefP22_15x_0" localSheetId="74">'310 &amp; 491'!$P$86</definedName>
    <definedName name="OSRRefP22_15x_0" localSheetId="71">'325'!$P$74</definedName>
    <definedName name="OSRRefP22_15x_0" localSheetId="60">'326'!$P$106:$P$111</definedName>
    <definedName name="OSRRefP22_15x_0" localSheetId="58">'331'!$P$135:$P$137</definedName>
    <definedName name="OSRRefP22_15x_0" localSheetId="76">'405'!$P$75</definedName>
    <definedName name="OSRRefP22_15x_0" localSheetId="78">'411'!$P$70:$P$76</definedName>
    <definedName name="OSRRefP22_15x_0" localSheetId="81">'414'!$P$72</definedName>
    <definedName name="OSRRefP22_15x_0" localSheetId="82">'415'!$P$81</definedName>
    <definedName name="OSRRefP22_15x_0" localSheetId="83">'418'!$P$79</definedName>
    <definedName name="OSRRefP22_15x_0" localSheetId="91">'433'!$P$79</definedName>
    <definedName name="OSRRefP22_15x_0" localSheetId="93">'444'!$P$81</definedName>
    <definedName name="OSRRefP22_15x_0" localSheetId="94">'450'!$P$75</definedName>
    <definedName name="OSRRefP22_15x_0" localSheetId="75">'491'!$P$78</definedName>
    <definedName name="OSRRefP22_15x_0" localSheetId="89">'492'!$P$76:$P$84</definedName>
    <definedName name="OSRRefP22_15x_0" localSheetId="39">'Div 2'!$P$73</definedName>
    <definedName name="OSRRefP22_15x_0" localSheetId="47">'Div 3'!$P$217</definedName>
    <definedName name="OSRRefP22_15x_0" localSheetId="73">'Div 4'!$P$79</definedName>
    <definedName name="OSRRefP22_15x_0" localSheetId="2">Summary!$P$251</definedName>
    <definedName name="OSRRefP22_16x_0" localSheetId="48">'300'!$P$214:$P$217</definedName>
    <definedName name="OSRRefP22_16x_0" localSheetId="49">'300 &amp; 317'!$P$239:$P$242</definedName>
    <definedName name="OSRRefP22_16x_0" localSheetId="50">'301'!$P$73:$P$75</definedName>
    <definedName name="OSRRefP22_16x_0" localSheetId="66">'310'!$P$78:$P$81</definedName>
    <definedName name="OSRRefP22_16x_0" localSheetId="74">'310 &amp; 491'!$P$88:$P$91</definedName>
    <definedName name="OSRRefP22_16x_0" localSheetId="71">'325'!$P$76</definedName>
    <definedName name="OSRRefP22_16x_0" localSheetId="60">'326'!$P$113</definedName>
    <definedName name="OSRRefP22_16x_0" localSheetId="58">'331'!$P$139:$P$140</definedName>
    <definedName name="OSRRefP22_16x_0" localSheetId="76">'405'!$P$77</definedName>
    <definedName name="OSRRefP22_16x_0" localSheetId="78">'411'!$P$78</definedName>
    <definedName name="OSRRefP22_16x_0" localSheetId="82">'415'!$P$83</definedName>
    <definedName name="OSRRefP22_16x_0" localSheetId="83">'418'!$P$81</definedName>
    <definedName name="OSRRefP22_16x_0" localSheetId="91">'433'!$P$81</definedName>
    <definedName name="OSRRefP22_16x_0" localSheetId="93">'444'!$P$83</definedName>
    <definedName name="OSRRefP22_16x_0" localSheetId="94">'450'!$P$77</definedName>
    <definedName name="OSRRefP22_16x_0" localSheetId="75">'491'!$P$80:$P$83</definedName>
    <definedName name="OSRRefP22_16x_0" localSheetId="89">'492'!$P$86</definedName>
    <definedName name="OSRRefP22_16x_0" localSheetId="39">'Div 2'!$P$75:$P$79</definedName>
    <definedName name="OSRRefP22_16x_0" localSheetId="47">'Div 3'!$P$219</definedName>
    <definedName name="OSRRefP22_16x_0" localSheetId="73">'Div 4'!$P$81</definedName>
    <definedName name="OSRRefP22_16x_0" localSheetId="2">Summary!$P$253</definedName>
    <definedName name="OSRRefP22_17x_0" localSheetId="48">'300'!$P$219:$P$221</definedName>
    <definedName name="OSRRefP22_17x_0" localSheetId="49">'300 &amp; 317'!$P$244:$P$246</definedName>
    <definedName name="OSRRefP22_17x_0" localSheetId="50">'301'!$P$77</definedName>
    <definedName name="OSRRefP22_17x_0" localSheetId="66">'310'!$P$83</definedName>
    <definedName name="OSRRefP22_17x_0" localSheetId="74">'310 &amp; 491'!$P$93:$P$94</definedName>
    <definedName name="OSRRefP22_17x_0" localSheetId="60">'326'!$P$115</definedName>
    <definedName name="OSRRefP22_17x_0" localSheetId="58">'331'!$P$142:$P$147</definedName>
    <definedName name="OSRRefP22_17x_0" localSheetId="76">'405'!$P$79</definedName>
    <definedName name="OSRRefP22_17x_0" localSheetId="78">'411'!$P$80</definedName>
    <definedName name="OSRRefP22_17x_0" localSheetId="82">'415'!$P$85</definedName>
    <definedName name="OSRRefP22_17x_0" localSheetId="93">'444'!$P$85</definedName>
    <definedName name="OSRRefP22_17x_0" localSheetId="94">'450'!$P$79</definedName>
    <definedName name="OSRRefP22_17x_0" localSheetId="75">'491'!$P$85:$P$86</definedName>
    <definedName name="OSRRefP22_17x_0" localSheetId="89">'492'!$P$88</definedName>
    <definedName name="OSRRefP22_17x_0" localSheetId="39">'Div 2'!$P$81:$P$82</definedName>
    <definedName name="OSRRefP22_17x_0" localSheetId="47">'Div 3'!$P$221:$P$224</definedName>
    <definedName name="OSRRefP22_17x_0" localSheetId="73">'Div 4'!$P$83:$P$86</definedName>
    <definedName name="OSRRefP22_17x_0" localSheetId="2">Summary!$P$255</definedName>
    <definedName name="OSRRefP22_18x_0" localSheetId="48">'300'!$P$223:$P$226</definedName>
    <definedName name="OSRRefP22_18x_0" localSheetId="49">'300 &amp; 317'!$P$248:$P$251</definedName>
    <definedName name="OSRRefP22_18x_0" localSheetId="50">'301'!$P$79:$P$84</definedName>
    <definedName name="OSRRefP22_18x_0" localSheetId="66">'310'!$P$85:$P$92</definedName>
    <definedName name="OSRRefP22_18x_0" localSheetId="74">'310 &amp; 491'!$P$96:$P$100</definedName>
    <definedName name="OSRRefP22_18x_0" localSheetId="60">'326'!$P$117</definedName>
    <definedName name="OSRRefP22_18x_0" localSheetId="58">'331'!$P$149</definedName>
    <definedName name="OSRRefP22_18x_0" localSheetId="78">'411'!$P$82:$P$84</definedName>
    <definedName name="OSRRefP22_18x_0" localSheetId="75">'491'!$P$88:$P$92</definedName>
    <definedName name="OSRRefP22_18x_0" localSheetId="89">'492'!$P$90</definedName>
    <definedName name="OSRRefP22_18x_0" localSheetId="39">'Div 2'!$P$84</definedName>
    <definedName name="OSRRefP22_18x_0" localSheetId="47">'Div 3'!$P$226:$P$228</definedName>
    <definedName name="OSRRefP22_18x_0" localSheetId="73">'Div 4'!$P$88:$P$89</definedName>
    <definedName name="OSRRefP22_18x_0" localSheetId="2">Summary!$P$257:$P$260</definedName>
    <definedName name="OSRRefP22_19x_0" localSheetId="48">'300'!$P$228:$P$229</definedName>
    <definedName name="OSRRefP22_19x_0" localSheetId="49">'300 &amp; 317'!$P$253:$P$254</definedName>
    <definedName name="OSRRefP22_19x_0" localSheetId="50">'301'!$P$86</definedName>
    <definedName name="OSRRefP22_19x_0" localSheetId="66">'310'!$P$94</definedName>
    <definedName name="OSRRefP22_19x_0" localSheetId="74">'310 &amp; 491'!$P$102:$P$103</definedName>
    <definedName name="OSRRefP22_19x_0" localSheetId="58">'331'!$P$151</definedName>
    <definedName name="OSRRefP22_19x_0" localSheetId="78">'411'!$P$86</definedName>
    <definedName name="OSRRefP22_19x_0" localSheetId="75">'491'!$P$94:$P$95</definedName>
    <definedName name="OSRRefP22_19x_0" localSheetId="39">'Div 2'!$P$86:$P$87</definedName>
    <definedName name="OSRRefP22_19x_0" localSheetId="47">'Div 3'!$P$230:$P$234</definedName>
    <definedName name="OSRRefP22_19x_0" localSheetId="73">'Div 4'!$P$91:$P$95</definedName>
    <definedName name="OSRRefP22_19x_0" localSheetId="2">Summary!$P$262:$P$264</definedName>
    <definedName name="OSRRefP22_1x_0" localSheetId="40">'200'!$P$22</definedName>
    <definedName name="OSRRefP22_1x_0" localSheetId="41">'201'!$P$29:$P$31</definedName>
    <definedName name="OSRRefP22_1x_0" localSheetId="42">'202'!$P$29:$P$32</definedName>
    <definedName name="OSRRefP22_1x_0" localSheetId="43">'203'!$P$31:$P$35</definedName>
    <definedName name="OSRRefP22_1x_0" localSheetId="44">'204'!$P$31:$P$35</definedName>
    <definedName name="OSRRefP22_1x_0" localSheetId="45">'205'!$P$29</definedName>
    <definedName name="OSRRefP22_1x_0" localSheetId="46">'206'!$P$29:$P$32</definedName>
    <definedName name="OSRRefP22_1x_0" localSheetId="48">'300'!$P$174:$P$180</definedName>
    <definedName name="OSRRefP22_1x_0" localSheetId="49">'300 &amp; 317'!$P$199:$P$205</definedName>
    <definedName name="OSRRefP22_1x_0" localSheetId="50">'301'!$P$31:$P$37</definedName>
    <definedName name="OSRRefP22_1x_0" localSheetId="51">'306'!$P$30:$P$35</definedName>
    <definedName name="OSRRefP22_1x_0" localSheetId="53">'307'!$P$80:$P$83</definedName>
    <definedName name="OSRRefP22_1x_0" localSheetId="55">'308'!$P$75:$P$81</definedName>
    <definedName name="OSRRefP22_1x_0" localSheetId="67">'309'!$P$33:$P$37</definedName>
    <definedName name="OSRRefP22_1x_0" localSheetId="66">'310'!$P$40:$P$45</definedName>
    <definedName name="OSRRefP22_1x_0" localSheetId="74">'310 &amp; 491'!$P$48:$P$54</definedName>
    <definedName name="OSRRefP22_1x_0" localSheetId="56">'311'!$P$74:$P$80</definedName>
    <definedName name="OSRRefP22_1x_0" localSheetId="68">'313'!$P$37:$P$41</definedName>
    <definedName name="OSRRefP22_1x_0" localSheetId="54">'314'!$P$64:$P$66</definedName>
    <definedName name="OSRRefP22_1x_0" localSheetId="59">'315'!$P$90:$P$95</definedName>
    <definedName name="OSRRefP22_1x_0" localSheetId="62">'316'!$P$43:$P$46</definedName>
    <definedName name="OSRRefP22_1x_0" localSheetId="65">'317'!$P$68:$P$72</definedName>
    <definedName name="OSRRefP22_1x_0" localSheetId="63">'320'!$P$36:$P$38</definedName>
    <definedName name="OSRRefP22_1x_0" localSheetId="69">'321'!$P$33:$P$37</definedName>
    <definedName name="OSRRefP22_1x_0" localSheetId="70">'322'!$P$33:$P$36</definedName>
    <definedName name="OSRRefP22_1x_0" localSheetId="71">'325'!$P$33:$P$37</definedName>
    <definedName name="OSRRefP22_1x_0" localSheetId="60">'326'!$P$70:$P$74</definedName>
    <definedName name="OSRRefP22_1x_0" localSheetId="72">'327'!$P$24</definedName>
    <definedName name="OSRRefP22_1x_0" localSheetId="52">'330'!$P$88:$P$92</definedName>
    <definedName name="OSRRefP22_1x_0" localSheetId="58">'331'!$P$98:$P$103</definedName>
    <definedName name="OSRRefP22_1x_0" localSheetId="61">'332'!$P$51:$P$54</definedName>
    <definedName name="OSRRefP22_1x_0" localSheetId="76">'405'!$P$33:$P$36</definedName>
    <definedName name="OSRRefP22_1x_0" localSheetId="77">'406'!$P$33:$P$37</definedName>
    <definedName name="OSRRefP22_1x_0" localSheetId="78">'411'!$P$30:$P$35</definedName>
    <definedName name="OSRRefP22_1x_0" localSheetId="79">'412'!$P$32:$P$37</definedName>
    <definedName name="OSRRefP22_1x_0" localSheetId="80">'413'!$P$33:$P$36</definedName>
    <definedName name="OSRRefP22_1x_0" localSheetId="81">'414'!$P$33:$P$37</definedName>
    <definedName name="OSRRefP22_1x_0" localSheetId="82">'415'!$P$33:$P$37</definedName>
    <definedName name="OSRRefP22_1x_0" localSheetId="83">'418'!$P$33:$P$38</definedName>
    <definedName name="OSRRefP22_1x_0" localSheetId="84">'420'!$P$32:$P$35</definedName>
    <definedName name="OSRRefP22_1x_0" localSheetId="85">'423'!$P$30</definedName>
    <definedName name="OSRRefP22_1x_0" localSheetId="86">'424'!$P$26:$P$30</definedName>
    <definedName name="OSRRefP22_1x_0" localSheetId="87">'425'!$P$35:$P$40</definedName>
    <definedName name="OSRRefP22_1x_0" localSheetId="90">'430'!$P$29</definedName>
    <definedName name="OSRRefP22_1x_0" localSheetId="91">'433'!$P$35:$P$40</definedName>
    <definedName name="OSRRefP22_1x_0" localSheetId="92">'435'!$P$29:$P$31</definedName>
    <definedName name="OSRRefP22_1x_0" localSheetId="93">'444'!$P$35:$P$40</definedName>
    <definedName name="OSRRefP22_1x_0" localSheetId="94">'450'!$P$35:$P$40</definedName>
    <definedName name="OSRRefP22_1x_0" localSheetId="88">'455'!$P$28:$P$29</definedName>
    <definedName name="OSRRefP22_1x_0" localSheetId="75">'491'!$P$41:$P$47</definedName>
    <definedName name="OSRRefP22_1x_0" localSheetId="89">'492'!$P$37:$P$43</definedName>
    <definedName name="OSRRefP22_1x_0" localSheetId="96">'501'!$P$31:$P$35</definedName>
    <definedName name="OSRRefP22_1x_0" localSheetId="39">'Div 2'!$P$32:$P$38</definedName>
    <definedName name="OSRRefP22_1x_0" localSheetId="47">'Div 3'!$P$179:$P$185</definedName>
    <definedName name="OSRRefP22_1x_0" localSheetId="73">'Div 4'!$P$42:$P$48</definedName>
    <definedName name="OSRRefP22_1x_0" localSheetId="95">'Div 5'!$P$31:$P$35</definedName>
    <definedName name="OSRRefP22_1x_0" localSheetId="64">'Div 6'!$P$68:$P$72</definedName>
    <definedName name="OSRRefP22_1x_0" localSheetId="2">Summary!$P$211:$P$217</definedName>
    <definedName name="OSRRefP22_20x_0" localSheetId="48">'300'!$P$231:$P$237</definedName>
    <definedName name="OSRRefP22_20x_0" localSheetId="49">'300 &amp; 317'!$P$256:$P$262</definedName>
    <definedName name="OSRRefP22_20x_0" localSheetId="50">'301'!$P$88</definedName>
    <definedName name="OSRRefP22_20x_0" localSheetId="66">'310'!$P$96</definedName>
    <definedName name="OSRRefP22_20x_0" localSheetId="74">'310 &amp; 491'!$P$105:$P$113</definedName>
    <definedName name="OSRRefP22_20x_0" localSheetId="58">'331'!$P$153:$P$154</definedName>
    <definedName name="OSRRefP22_20x_0" localSheetId="75">'491'!$P$97:$P$105</definedName>
    <definedName name="OSRRefP22_20x_0" localSheetId="47">'Div 3'!$P$236:$P$237</definedName>
    <definedName name="OSRRefP22_20x_0" localSheetId="73">'Div 4'!$P$97:$P$98</definedName>
    <definedName name="OSRRefP22_20x_0" localSheetId="2">Summary!$P$266:$P$270</definedName>
    <definedName name="OSRRefP22_21x_0" localSheetId="48">'300'!$P$239:$P$240</definedName>
    <definedName name="OSRRefP22_21x_0" localSheetId="49">'300 &amp; 317'!$P$264:$P$265</definedName>
    <definedName name="OSRRefP22_21x_0" localSheetId="50">'301'!$P$90:$P$92</definedName>
    <definedName name="OSRRefP22_21x_0" localSheetId="66">'310'!$P$98</definedName>
    <definedName name="OSRRefP22_21x_0" localSheetId="74">'310 &amp; 491'!$P$115</definedName>
    <definedName name="OSRRefP22_21x_0" localSheetId="58">'331'!$P$156</definedName>
    <definedName name="OSRRefP22_21x_0" localSheetId="75">'491'!$P$107</definedName>
    <definedName name="OSRRefP22_21x_0" localSheetId="47">'Div 3'!$P$239:$P$246</definedName>
    <definedName name="OSRRefP22_21x_0" localSheetId="73">'Div 4'!$P$100:$P$108</definedName>
    <definedName name="OSRRefP22_21x_0" localSheetId="2">Summary!$P$272:$P$273</definedName>
    <definedName name="OSRRefP22_22x_0" localSheetId="48">'300'!$P$242</definedName>
    <definedName name="OSRRefP22_22x_0" localSheetId="49">'300 &amp; 317'!$P$267</definedName>
    <definedName name="OSRRefP22_22x_0" localSheetId="50">'301'!$P$94</definedName>
    <definedName name="OSRRefP22_22x_0" localSheetId="74">'310 &amp; 491'!$P$117</definedName>
    <definedName name="OSRRefP22_22x_0" localSheetId="75">'491'!$P$109</definedName>
    <definedName name="OSRRefP22_22x_0" localSheetId="47">'Div 3'!$P$248:$P$249</definedName>
    <definedName name="OSRRefP22_22x_0" localSheetId="73">'Div 4'!$P$110</definedName>
    <definedName name="OSRRefP22_22x_0" localSheetId="2">Summary!$P$275:$P$283</definedName>
    <definedName name="OSRRefP22_23x_0" localSheetId="48">'300'!$P$244:$P$246</definedName>
    <definedName name="OSRRefP22_23x_0" localSheetId="49">'300 &amp; 317'!$P$269:$P$271</definedName>
    <definedName name="OSRRefP22_23x_0" localSheetId="74">'310 &amp; 491'!$P$119:$P$121</definedName>
    <definedName name="OSRRefP22_23x_0" localSheetId="75">'491'!$P$111:$P$113</definedName>
    <definedName name="OSRRefP22_23x_0" localSheetId="47">'Div 3'!$P$251</definedName>
    <definedName name="OSRRefP22_23x_0" localSheetId="73">'Div 4'!$P$112</definedName>
    <definedName name="OSRRefP22_23x_0" localSheetId="2">Summary!$P$285:$P$286</definedName>
    <definedName name="OSRRefP22_24x_0" localSheetId="48">'300'!$P$248</definedName>
    <definedName name="OSRRefP22_24x_0" localSheetId="49">'300 &amp; 317'!$P$273</definedName>
    <definedName name="OSRRefP22_24x_0" localSheetId="74">'310 &amp; 491'!$P$123</definedName>
    <definedName name="OSRRefP22_24x_0" localSheetId="75">'491'!$P$115</definedName>
    <definedName name="OSRRefP22_24x_0" localSheetId="47">'Div 3'!$P$253:$P$255</definedName>
    <definedName name="OSRRefP22_24x_0" localSheetId="73">'Div 4'!$P$114:$P$116</definedName>
    <definedName name="OSRRefP22_24x_0" localSheetId="2">Summary!$P$288</definedName>
    <definedName name="OSRRefP22_25x_0" localSheetId="47">'Div 3'!$P$257</definedName>
    <definedName name="OSRRefP22_25x_0" localSheetId="73">'Div 4'!$P$118</definedName>
    <definedName name="OSRRefP22_25x_0" localSheetId="2">Summary!$P$290:$P$292</definedName>
    <definedName name="OSRRefP22_26x_0" localSheetId="2">Summary!$P$294</definedName>
    <definedName name="OSRRefP22_2x_0" localSheetId="40">'200'!$P$24</definedName>
    <definedName name="OSRRefP22_2x_0" localSheetId="41">'201'!$P$33</definedName>
    <definedName name="OSRRefP22_2x_0" localSheetId="42">'202'!$P$34</definedName>
    <definedName name="OSRRefP22_2x_0" localSheetId="43">'203'!$P$37</definedName>
    <definedName name="OSRRefP22_2x_0" localSheetId="44">'204'!$P$37</definedName>
    <definedName name="OSRRefP22_2x_0" localSheetId="45">'205'!$P$31</definedName>
    <definedName name="OSRRefP22_2x_0" localSheetId="46">'206'!$P$34</definedName>
    <definedName name="OSRRefP22_2x_0" localSheetId="48">'300'!$P$182</definedName>
    <definedName name="OSRRefP22_2x_0" localSheetId="49">'300 &amp; 317'!$P$207</definedName>
    <definedName name="OSRRefP22_2x_0" localSheetId="50">'301'!$P$39</definedName>
    <definedName name="OSRRefP22_2x_0" localSheetId="51">'306'!$P$37</definedName>
    <definedName name="OSRRefP22_2x_0" localSheetId="53">'307'!$P$85</definedName>
    <definedName name="OSRRefP22_2x_0" localSheetId="55">'308'!$P$83</definedName>
    <definedName name="OSRRefP22_2x_0" localSheetId="67">'309'!$P$39</definedName>
    <definedName name="OSRRefP22_2x_0" localSheetId="66">'310'!$P$47</definedName>
    <definedName name="OSRRefP22_2x_0" localSheetId="74">'310 &amp; 491'!$P$56</definedName>
    <definedName name="OSRRefP22_2x_0" localSheetId="56">'311'!$P$82</definedName>
    <definedName name="OSRRefP22_2x_0" localSheetId="68">'313'!$P$43</definedName>
    <definedName name="OSRRefP22_2x_0" localSheetId="54">'314'!$P$68</definedName>
    <definedName name="OSRRefP22_2x_0" localSheetId="59">'315'!$P$97</definedName>
    <definedName name="OSRRefP22_2x_0" localSheetId="62">'316'!$P$48</definedName>
    <definedName name="OSRRefP22_2x_0" localSheetId="65">'317'!$P$74</definedName>
    <definedName name="OSRRefP22_2x_0" localSheetId="63">'320'!$P$40</definedName>
    <definedName name="OSRRefP22_2x_0" localSheetId="69">'321'!$P$39</definedName>
    <definedName name="OSRRefP22_2x_0" localSheetId="70">'322'!$P$38</definedName>
    <definedName name="OSRRefP22_2x_0" localSheetId="71">'325'!$P$39</definedName>
    <definedName name="OSRRefP22_2x_0" localSheetId="60">'326'!$P$76</definedName>
    <definedName name="OSRRefP22_2x_0" localSheetId="72">'327'!$P$26</definedName>
    <definedName name="OSRRefP22_2x_0" localSheetId="52">'330'!$P$94</definedName>
    <definedName name="OSRRefP22_2x_0" localSheetId="58">'331'!$P$105</definedName>
    <definedName name="OSRRefP22_2x_0" localSheetId="61">'332'!$P$56</definedName>
    <definedName name="OSRRefP22_2x_0" localSheetId="76">'405'!$P$38</definedName>
    <definedName name="OSRRefP22_2x_0" localSheetId="77">'406'!$P$39</definedName>
    <definedName name="OSRRefP22_2x_0" localSheetId="78">'411'!$P$37</definedName>
    <definedName name="OSRRefP22_2x_0" localSheetId="79">'412'!$P$39</definedName>
    <definedName name="OSRRefP22_2x_0" localSheetId="80">'413'!$P$38</definedName>
    <definedName name="OSRRefP22_2x_0" localSheetId="81">'414'!$P$39</definedName>
    <definedName name="OSRRefP22_2x_0" localSheetId="82">'415'!$P$39</definedName>
    <definedName name="OSRRefP22_2x_0" localSheetId="83">'418'!$P$40</definedName>
    <definedName name="OSRRefP22_2x_0" localSheetId="84">'420'!$P$37</definedName>
    <definedName name="OSRRefP22_2x_0" localSheetId="85">'423'!$P$32</definedName>
    <definedName name="OSRRefP22_2x_0" localSheetId="86">'424'!$P$32</definedName>
    <definedName name="OSRRefP22_2x_0" localSheetId="87">'425'!$P$42</definedName>
    <definedName name="OSRRefP22_2x_0" localSheetId="90">'430'!$P$31</definedName>
    <definedName name="OSRRefP22_2x_0" localSheetId="91">'433'!$P$42</definedName>
    <definedName name="OSRRefP22_2x_0" localSheetId="92">'435'!$P$33</definedName>
    <definedName name="OSRRefP22_2x_0" localSheetId="93">'444'!$P$42</definedName>
    <definedName name="OSRRefP22_2x_0" localSheetId="94">'450'!$P$42</definedName>
    <definedName name="OSRRefP22_2x_0" localSheetId="75">'491'!$P$49</definedName>
    <definedName name="OSRRefP22_2x_0" localSheetId="89">'492'!$P$45</definedName>
    <definedName name="OSRRefP22_2x_0" localSheetId="96">'501'!$P$37</definedName>
    <definedName name="OSRRefP22_2x_0" localSheetId="39">'Div 2'!$P$40</definedName>
    <definedName name="OSRRefP22_2x_0" localSheetId="47">'Div 3'!$P$187</definedName>
    <definedName name="OSRRefP22_2x_0" localSheetId="73">'Div 4'!$P$50</definedName>
    <definedName name="OSRRefP22_2x_0" localSheetId="95">'Div 5'!$P$37</definedName>
    <definedName name="OSRRefP22_2x_0" localSheetId="64">'Div 6'!$P$74</definedName>
    <definedName name="OSRRefP22_2x_0" localSheetId="2">Summary!$P$219</definedName>
    <definedName name="OSRRefP22_3x_0" localSheetId="40">'200'!$P$26</definedName>
    <definedName name="OSRRefP22_3x_0" localSheetId="41">'201'!$P$35</definedName>
    <definedName name="OSRRefP22_3x_0" localSheetId="42">'202'!$P$36</definedName>
    <definedName name="OSRRefP22_3x_0" localSheetId="43">'203'!$P$39</definedName>
    <definedName name="OSRRefP22_3x_0" localSheetId="44">'204'!$P$39</definedName>
    <definedName name="OSRRefP22_3x_0" localSheetId="45">'205'!$P$33</definedName>
    <definedName name="OSRRefP22_3x_0" localSheetId="46">'206'!$P$36</definedName>
    <definedName name="OSRRefP22_3x_0" localSheetId="48">'300'!$P$184:$P$185</definedName>
    <definedName name="OSRRefP22_3x_0" localSheetId="49">'300 &amp; 317'!$P$209:$P$210</definedName>
    <definedName name="OSRRefP22_3x_0" localSheetId="50">'301'!$P$41:$P$42</definedName>
    <definedName name="OSRRefP22_3x_0" localSheetId="51">'306'!$P$39</definedName>
    <definedName name="OSRRefP22_3x_0" localSheetId="53">'307'!$P$87</definedName>
    <definedName name="OSRRefP22_3x_0" localSheetId="55">'308'!$P$85:$P$86</definedName>
    <definedName name="OSRRefP22_3x_0" localSheetId="67">'309'!$P$41</definedName>
    <definedName name="OSRRefP22_3x_0" localSheetId="66">'310'!$P$49</definedName>
    <definedName name="OSRRefP22_3x_0" localSheetId="74">'310 &amp; 491'!$P$58</definedName>
    <definedName name="OSRRefP22_3x_0" localSheetId="56">'311'!$P$84:$P$85</definedName>
    <definedName name="OSRRefP22_3x_0" localSheetId="68">'313'!$P$45</definedName>
    <definedName name="OSRRefP22_3x_0" localSheetId="54">'314'!$P$70:$P$71</definedName>
    <definedName name="OSRRefP22_3x_0" localSheetId="59">'315'!$P$99:$P$100</definedName>
    <definedName name="OSRRefP22_3x_0" localSheetId="62">'316'!$P$50</definedName>
    <definedName name="OSRRefP22_3x_0" localSheetId="65">'317'!$P$76</definedName>
    <definedName name="OSRRefP22_3x_0" localSheetId="63">'320'!$P$42</definedName>
    <definedName name="OSRRefP22_3x_0" localSheetId="69">'321'!$P$41</definedName>
    <definedName name="OSRRefP22_3x_0" localSheetId="70">'322'!$P$40</definedName>
    <definedName name="OSRRefP22_3x_0" localSheetId="71">'325'!$P$41</definedName>
    <definedName name="OSRRefP22_3x_0" localSheetId="60">'326'!$P$78</definedName>
    <definedName name="OSRRefP22_3x_0" localSheetId="52">'330'!$P$96</definedName>
    <definedName name="OSRRefP22_3x_0" localSheetId="58">'331'!$P$107</definedName>
    <definedName name="OSRRefP22_3x_0" localSheetId="61">'332'!$P$58</definedName>
    <definedName name="OSRRefP22_3x_0" localSheetId="76">'405'!$P$40</definedName>
    <definedName name="OSRRefP22_3x_0" localSheetId="77">'406'!$P$41</definedName>
    <definedName name="OSRRefP22_3x_0" localSheetId="78">'411'!$P$39</definedName>
    <definedName name="OSRRefP22_3x_0" localSheetId="79">'412'!$P$41</definedName>
    <definedName name="OSRRefP22_3x_0" localSheetId="80">'413'!$P$40</definedName>
    <definedName name="OSRRefP22_3x_0" localSheetId="81">'414'!$P$41</definedName>
    <definedName name="OSRRefP22_3x_0" localSheetId="82">'415'!$P$41</definedName>
    <definedName name="OSRRefP22_3x_0" localSheetId="83">'418'!$P$42</definedName>
    <definedName name="OSRRefP22_3x_0" localSheetId="84">'420'!$P$39</definedName>
    <definedName name="OSRRefP22_3x_0" localSheetId="85">'423'!$P$34</definedName>
    <definedName name="OSRRefP22_3x_0" localSheetId="86">'424'!$P$34</definedName>
    <definedName name="OSRRefP22_3x_0" localSheetId="87">'425'!$P$44</definedName>
    <definedName name="OSRRefP22_3x_0" localSheetId="90">'430'!$P$33</definedName>
    <definedName name="OSRRefP22_3x_0" localSheetId="91">'433'!$P$44</definedName>
    <definedName name="OSRRefP22_3x_0" localSheetId="92">'435'!$P$35</definedName>
    <definedName name="OSRRefP22_3x_0" localSheetId="93">'444'!$P$44</definedName>
    <definedName name="OSRRefP22_3x_0" localSheetId="94">'450'!$P$44</definedName>
    <definedName name="OSRRefP22_3x_0" localSheetId="75">'491'!$P$51</definedName>
    <definedName name="OSRRefP22_3x_0" localSheetId="89">'492'!$P$47</definedName>
    <definedName name="OSRRefP22_3x_0" localSheetId="96">'501'!$P$39</definedName>
    <definedName name="OSRRefP22_3x_0" localSheetId="39">'Div 2'!$P$42</definedName>
    <definedName name="OSRRefP22_3x_0" localSheetId="47">'Div 3'!$P$189:$P$190</definedName>
    <definedName name="OSRRefP22_3x_0" localSheetId="73">'Div 4'!$P$52</definedName>
    <definedName name="OSRRefP22_3x_0" localSheetId="95">'Div 5'!$P$39</definedName>
    <definedName name="OSRRefP22_3x_0" localSheetId="64">'Div 6'!$P$76</definedName>
    <definedName name="OSRRefP22_3x_0" localSheetId="2">Summary!$P$221:$P$222</definedName>
    <definedName name="OSRRefP22_4x_0" localSheetId="40">'200'!$P$28:$P$29</definedName>
    <definedName name="OSRRefP22_4x_0" localSheetId="41">'201'!$P$37</definedName>
    <definedName name="OSRRefP22_4x_0" localSheetId="42">'202'!$P$38</definedName>
    <definedName name="OSRRefP22_4x_0" localSheetId="43">'203'!$P$41</definedName>
    <definedName name="OSRRefP22_4x_0" localSheetId="44">'204'!$P$41</definedName>
    <definedName name="OSRRefP22_4x_0" localSheetId="45">'205'!$P$35:$P$36</definedName>
    <definedName name="OSRRefP22_4x_0" localSheetId="46">'206'!$P$38</definedName>
    <definedName name="OSRRefP22_4x_0" localSheetId="48">'300'!$P$187</definedName>
    <definedName name="OSRRefP22_4x_0" localSheetId="49">'300 &amp; 317'!$P$212</definedName>
    <definedName name="OSRRefP22_4x_0" localSheetId="50">'301'!$P$44</definedName>
    <definedName name="OSRRefP22_4x_0" localSheetId="51">'306'!$P$41</definedName>
    <definedName name="OSRRefP22_4x_0" localSheetId="53">'307'!$P$89:$P$90</definedName>
    <definedName name="OSRRefP22_4x_0" localSheetId="55">'308'!$P$88</definedName>
    <definedName name="OSRRefP22_4x_0" localSheetId="67">'309'!$P$43</definedName>
    <definedName name="OSRRefP22_4x_0" localSheetId="66">'310'!$P$51</definedName>
    <definedName name="OSRRefP22_4x_0" localSheetId="74">'310 &amp; 491'!$P$60</definedName>
    <definedName name="OSRRefP22_4x_0" localSheetId="56">'311'!$P$87</definedName>
    <definedName name="OSRRefP22_4x_0" localSheetId="68">'313'!$P$47</definedName>
    <definedName name="OSRRefP22_4x_0" localSheetId="54">'314'!$P$73</definedName>
    <definedName name="OSRRefP22_4x_0" localSheetId="59">'315'!$P$102</definedName>
    <definedName name="OSRRefP22_4x_0" localSheetId="62">'316'!$P$52</definedName>
    <definedName name="OSRRefP22_4x_0" localSheetId="65">'317'!$P$78</definedName>
    <definedName name="OSRRefP22_4x_0" localSheetId="63">'320'!$P$44:$P$45</definedName>
    <definedName name="OSRRefP22_4x_0" localSheetId="69">'321'!$P$43</definedName>
    <definedName name="OSRRefP22_4x_0" localSheetId="70">'322'!$P$42</definedName>
    <definedName name="OSRRefP22_4x_0" localSheetId="71">'325'!$P$43</definedName>
    <definedName name="OSRRefP22_4x_0" localSheetId="60">'326'!$P$80</definedName>
    <definedName name="OSRRefP22_4x_0" localSheetId="52">'330'!$P$98:$P$99</definedName>
    <definedName name="OSRRefP22_4x_0" localSheetId="58">'331'!$P$109</definedName>
    <definedName name="OSRRefP22_4x_0" localSheetId="61">'332'!$P$60</definedName>
    <definedName name="OSRRefP22_4x_0" localSheetId="76">'405'!$P$42</definedName>
    <definedName name="OSRRefP22_4x_0" localSheetId="77">'406'!$P$43</definedName>
    <definedName name="OSRRefP22_4x_0" localSheetId="78">'411'!$P$41:$P$43</definedName>
    <definedName name="OSRRefP22_4x_0" localSheetId="79">'412'!$P$43</definedName>
    <definedName name="OSRRefP22_4x_0" localSheetId="80">'413'!$P$42</definedName>
    <definedName name="OSRRefP22_4x_0" localSheetId="81">'414'!$P$43</definedName>
    <definedName name="OSRRefP22_4x_0" localSheetId="82">'415'!$P$43</definedName>
    <definedName name="OSRRefP22_4x_0" localSheetId="83">'418'!$P$44</definedName>
    <definedName name="OSRRefP22_4x_0" localSheetId="84">'420'!$P$41</definedName>
    <definedName name="OSRRefP22_4x_0" localSheetId="85">'423'!$P$36</definedName>
    <definedName name="OSRRefP22_4x_0" localSheetId="86">'424'!$P$36</definedName>
    <definedName name="OSRRefP22_4x_0" localSheetId="87">'425'!$P$46</definedName>
    <definedName name="OSRRefP22_4x_0" localSheetId="90">'430'!$P$35:$P$36</definedName>
    <definedName name="OSRRefP22_4x_0" localSheetId="91">'433'!$P$46</definedName>
    <definedName name="OSRRefP22_4x_0" localSheetId="92">'435'!$P$37</definedName>
    <definedName name="OSRRefP22_4x_0" localSheetId="93">'444'!$P$46</definedName>
    <definedName name="OSRRefP22_4x_0" localSheetId="94">'450'!$P$46</definedName>
    <definedName name="OSRRefP22_4x_0" localSheetId="75">'491'!$P$53</definedName>
    <definedName name="OSRRefP22_4x_0" localSheetId="89">'492'!$P$49</definedName>
    <definedName name="OSRRefP22_4x_0" localSheetId="96">'501'!$P$41</definedName>
    <definedName name="OSRRefP22_4x_0" localSheetId="39">'Div 2'!$P$44</definedName>
    <definedName name="OSRRefP22_4x_0" localSheetId="47">'Div 3'!$P$192</definedName>
    <definedName name="OSRRefP22_4x_0" localSheetId="73">'Div 4'!$P$54</definedName>
    <definedName name="OSRRefP22_4x_0" localSheetId="95">'Div 5'!$P$41</definedName>
    <definedName name="OSRRefP22_4x_0" localSheetId="64">'Div 6'!$P$78</definedName>
    <definedName name="OSRRefP22_4x_0" localSheetId="2">Summary!$P$224</definedName>
    <definedName name="OSRRefP22_5x_0" localSheetId="41">'201'!$P$39</definedName>
    <definedName name="OSRRefP22_5x_0" localSheetId="42">'202'!$P$40:$P$41</definedName>
    <definedName name="OSRRefP22_5x_0" localSheetId="43">'203'!$P$43</definedName>
    <definedName name="OSRRefP22_5x_0" localSheetId="44">'204'!$P$43</definedName>
    <definedName name="OSRRefP22_5x_0" localSheetId="45">'205'!$P$38</definedName>
    <definedName name="OSRRefP22_5x_0" localSheetId="46">'206'!$P$40:$P$41</definedName>
    <definedName name="OSRRefP22_5x_0" localSheetId="48">'300'!$P$189:$P$190</definedName>
    <definedName name="OSRRefP22_5x_0" localSheetId="49">'300 &amp; 317'!$P$214:$P$215</definedName>
    <definedName name="OSRRefP22_5x_0" localSheetId="50">'301'!$P$46:$P$47</definedName>
    <definedName name="OSRRefP22_5x_0" localSheetId="51">'306'!$P$43</definedName>
    <definedName name="OSRRefP22_5x_0" localSheetId="53">'307'!$P$92</definedName>
    <definedName name="OSRRefP22_5x_0" localSheetId="55">'308'!$P$90</definedName>
    <definedName name="OSRRefP22_5x_0" localSheetId="67">'309'!$P$45</definedName>
    <definedName name="OSRRefP22_5x_0" localSheetId="66">'310'!$P$53:$P$54</definedName>
    <definedName name="OSRRefP22_5x_0" localSheetId="74">'310 &amp; 491'!$P$62:$P$64</definedName>
    <definedName name="OSRRefP22_5x_0" localSheetId="56">'311'!$P$89</definedName>
    <definedName name="OSRRefP22_5x_0" localSheetId="68">'313'!$P$49</definedName>
    <definedName name="OSRRefP22_5x_0" localSheetId="54">'314'!$P$75</definedName>
    <definedName name="OSRRefP22_5x_0" localSheetId="59">'315'!$P$104:$P$105</definedName>
    <definedName name="OSRRefP22_5x_0" localSheetId="62">'316'!$P$54</definedName>
    <definedName name="OSRRefP22_5x_0" localSheetId="65">'317'!$P$80:$P$81</definedName>
    <definedName name="OSRRefP22_5x_0" localSheetId="63">'320'!$P$47</definedName>
    <definedName name="OSRRefP22_5x_0" localSheetId="69">'321'!$P$45</definedName>
    <definedName name="OSRRefP22_5x_0" localSheetId="70">'322'!$P$44</definedName>
    <definedName name="OSRRefP22_5x_0" localSheetId="71">'325'!$P$45:$P$46</definedName>
    <definedName name="OSRRefP22_5x_0" localSheetId="60">'326'!$P$82</definedName>
    <definedName name="OSRRefP22_5x_0" localSheetId="52">'330'!$P$101</definedName>
    <definedName name="OSRRefP22_5x_0" localSheetId="58">'331'!$P$111:$P$112</definedName>
    <definedName name="OSRRefP22_5x_0" localSheetId="61">'332'!$P$62</definedName>
    <definedName name="OSRRefP22_5x_0" localSheetId="76">'405'!$P$44:$P$45</definedName>
    <definedName name="OSRRefP22_5x_0" localSheetId="77">'406'!$P$45</definedName>
    <definedName name="OSRRefP22_5x_0" localSheetId="78">'411'!$P$45</definedName>
    <definedName name="OSRRefP22_5x_0" localSheetId="79">'412'!$P$45</definedName>
    <definedName name="OSRRefP22_5x_0" localSheetId="80">'413'!$P$44</definedName>
    <definedName name="OSRRefP22_5x_0" localSheetId="81">'414'!$P$45</definedName>
    <definedName name="OSRRefP22_5x_0" localSheetId="82">'415'!$P$45:$P$46</definedName>
    <definedName name="OSRRefP22_5x_0" localSheetId="83">'418'!$P$46:$P$47</definedName>
    <definedName name="OSRRefP22_5x_0" localSheetId="84">'420'!$P$43:$P$44</definedName>
    <definedName name="OSRRefP22_5x_0" localSheetId="85">'423'!$P$38</definedName>
    <definedName name="OSRRefP22_5x_0" localSheetId="86">'424'!$P$38</definedName>
    <definedName name="OSRRefP22_5x_0" localSheetId="87">'425'!$P$48</definedName>
    <definedName name="OSRRefP22_5x_0" localSheetId="90">'430'!$P$38</definedName>
    <definedName name="OSRRefP22_5x_0" localSheetId="91">'433'!$P$48</definedName>
    <definedName name="OSRRefP22_5x_0" localSheetId="92">'435'!$P$39</definedName>
    <definedName name="OSRRefP22_5x_0" localSheetId="93">'444'!$P$48</definedName>
    <definedName name="OSRRefP22_5x_0" localSheetId="94">'450'!$P$48</definedName>
    <definedName name="OSRRefP22_5x_0" localSheetId="75">'491'!$P$55:$P$57</definedName>
    <definedName name="OSRRefP22_5x_0" localSheetId="89">'492'!$P$51</definedName>
    <definedName name="OSRRefP22_5x_0" localSheetId="96">'501'!$P$43:$P$44</definedName>
    <definedName name="OSRRefP22_5x_0" localSheetId="39">'Div 2'!$P$46</definedName>
    <definedName name="OSRRefP22_5x_0" localSheetId="47">'Div 3'!$P$194:$P$195</definedName>
    <definedName name="OSRRefP22_5x_0" localSheetId="73">'Div 4'!$P$56:$P$58</definedName>
    <definedName name="OSRRefP22_5x_0" localSheetId="95">'Div 5'!$P$43:$P$44</definedName>
    <definedName name="OSRRefP22_5x_0" localSheetId="64">'Div 6'!$P$80:$P$81</definedName>
    <definedName name="OSRRefP22_5x_0" localSheetId="2">Summary!$P$226:$P$228</definedName>
    <definedName name="OSRRefP22_6x_0" localSheetId="41">'201'!$P$41</definedName>
    <definedName name="OSRRefP22_6x_0" localSheetId="42">'202'!$P$43</definedName>
    <definedName name="OSRRefP22_6x_0" localSheetId="43">'203'!$P$45</definedName>
    <definedName name="OSRRefP22_6x_0" localSheetId="44">'204'!$P$45:$P$47</definedName>
    <definedName name="OSRRefP22_6x_0" localSheetId="45">'205'!$P$40:$P$42</definedName>
    <definedName name="OSRRefP22_6x_0" localSheetId="46">'206'!$P$43</definedName>
    <definedName name="OSRRefP22_6x_0" localSheetId="48">'300'!$P$192:$P$193</definedName>
    <definedName name="OSRRefP22_6x_0" localSheetId="49">'300 &amp; 317'!$P$217:$P$218</definedName>
    <definedName name="OSRRefP22_6x_0" localSheetId="50">'301'!$P$49:$P$50</definedName>
    <definedName name="OSRRefP22_6x_0" localSheetId="51">'306'!$P$45:$P$46</definedName>
    <definedName name="OSRRefP22_6x_0" localSheetId="53">'307'!$P$94</definedName>
    <definedName name="OSRRefP22_6x_0" localSheetId="55">'308'!$P$92:$P$93</definedName>
    <definedName name="OSRRefP22_6x_0" localSheetId="67">'309'!$P$47</definedName>
    <definedName name="OSRRefP22_6x_0" localSheetId="66">'310'!$P$56</definedName>
    <definedName name="OSRRefP22_6x_0" localSheetId="74">'310 &amp; 491'!$P$66</definedName>
    <definedName name="OSRRefP22_6x_0" localSheetId="56">'311'!$P$91:$P$92</definedName>
    <definedName name="OSRRefP22_6x_0" localSheetId="68">'313'!$P$51</definedName>
    <definedName name="OSRRefP22_6x_0" localSheetId="54">'314'!$P$77</definedName>
    <definedName name="OSRRefP22_6x_0" localSheetId="59">'315'!$P$107</definedName>
    <definedName name="OSRRefP22_6x_0" localSheetId="62">'316'!$P$56:$P$57</definedName>
    <definedName name="OSRRefP22_6x_0" localSheetId="65">'317'!$P$83</definedName>
    <definedName name="OSRRefP22_6x_0" localSheetId="63">'320'!$P$49</definedName>
    <definedName name="OSRRefP22_6x_0" localSheetId="69">'321'!$P$47:$P$49</definedName>
    <definedName name="OSRRefP22_6x_0" localSheetId="70">'322'!$P$46</definedName>
    <definedName name="OSRRefP22_6x_0" localSheetId="71">'325'!$P$48</definedName>
    <definedName name="OSRRefP22_6x_0" localSheetId="60">'326'!$P$84</definedName>
    <definedName name="OSRRefP22_6x_0" localSheetId="52">'330'!$P$103</definedName>
    <definedName name="OSRRefP22_6x_0" localSheetId="58">'331'!$P$114</definedName>
    <definedName name="OSRRefP22_6x_0" localSheetId="61">'332'!$P$64:$P$65</definedName>
    <definedName name="OSRRefP22_6x_0" localSheetId="76">'405'!$P$47</definedName>
    <definedName name="OSRRefP22_6x_0" localSheetId="77">'406'!$P$47</definedName>
    <definedName name="OSRRefP22_6x_0" localSheetId="78">'411'!$P$47</definedName>
    <definedName name="OSRRefP22_6x_0" localSheetId="79">'412'!$P$47</definedName>
    <definedName name="OSRRefP22_6x_0" localSheetId="80">'413'!$P$46</definedName>
    <definedName name="OSRRefP22_6x_0" localSheetId="81">'414'!$P$47</definedName>
    <definedName name="OSRRefP22_6x_0" localSheetId="82">'415'!$P$48</definedName>
    <definedName name="OSRRefP22_6x_0" localSheetId="83">'418'!$P$49</definedName>
    <definedName name="OSRRefP22_6x_0" localSheetId="84">'420'!$P$46</definedName>
    <definedName name="OSRRefP22_6x_0" localSheetId="86">'424'!$P$40</definedName>
    <definedName name="OSRRefP22_6x_0" localSheetId="87">'425'!$P$50</definedName>
    <definedName name="OSRRefP22_6x_0" localSheetId="90">'430'!$P$40</definedName>
    <definedName name="OSRRefP22_6x_0" localSheetId="91">'433'!$P$50</definedName>
    <definedName name="OSRRefP22_6x_0" localSheetId="92">'435'!$P$41</definedName>
    <definedName name="OSRRefP22_6x_0" localSheetId="93">'444'!$P$50</definedName>
    <definedName name="OSRRefP22_6x_0" localSheetId="94">'450'!$P$50</definedName>
    <definedName name="OSRRefP22_6x_0" localSheetId="75">'491'!$P$59</definedName>
    <definedName name="OSRRefP22_6x_0" localSheetId="89">'492'!$P$53</definedName>
    <definedName name="OSRRefP22_6x_0" localSheetId="96">'501'!$P$46</definedName>
    <definedName name="OSRRefP22_6x_0" localSheetId="39">'Div 2'!$P$48</definedName>
    <definedName name="OSRRefP22_6x_0" localSheetId="47">'Div 3'!$P$197:$P$198</definedName>
    <definedName name="OSRRefP22_6x_0" localSheetId="73">'Div 4'!$P$60</definedName>
    <definedName name="OSRRefP22_6x_0" localSheetId="95">'Div 5'!$P$46</definedName>
    <definedName name="OSRRefP22_6x_0" localSheetId="64">'Div 6'!$P$83</definedName>
    <definedName name="OSRRefP22_6x_0" localSheetId="2">Summary!$P$230:$P$231</definedName>
    <definedName name="OSRRefP22_7x_0" localSheetId="41">'201'!$P$43</definedName>
    <definedName name="OSRRefP22_7x_0" localSheetId="42">'202'!$P$45</definedName>
    <definedName name="OSRRefP22_7x_0" localSheetId="43">'203'!$P$47</definedName>
    <definedName name="OSRRefP22_7x_0" localSheetId="44">'204'!$P$49</definedName>
    <definedName name="OSRRefP22_7x_0" localSheetId="45">'205'!$P$44</definedName>
    <definedName name="OSRRefP22_7x_0" localSheetId="46">'206'!$P$45</definedName>
    <definedName name="OSRRefP22_7x_0" localSheetId="48">'300'!$P$195</definedName>
    <definedName name="OSRRefP22_7x_0" localSheetId="49">'300 &amp; 317'!$P$220</definedName>
    <definedName name="OSRRefP22_7x_0" localSheetId="50">'301'!$P$52</definedName>
    <definedName name="OSRRefP22_7x_0" localSheetId="51">'306'!$P$48:$P$50</definedName>
    <definedName name="OSRRefP22_7x_0" localSheetId="53">'307'!$P$96:$P$97</definedName>
    <definedName name="OSRRefP22_7x_0" localSheetId="55">'308'!$P$95</definedName>
    <definedName name="OSRRefP22_7x_0" localSheetId="67">'309'!$P$49</definedName>
    <definedName name="OSRRefP22_7x_0" localSheetId="66">'310'!$P$58</definedName>
    <definedName name="OSRRefP22_7x_0" localSheetId="74">'310 &amp; 491'!$P$68</definedName>
    <definedName name="OSRRefP22_7x_0" localSheetId="56">'311'!$P$94</definedName>
    <definedName name="OSRRefP22_7x_0" localSheetId="68">'313'!$P$53</definedName>
    <definedName name="OSRRefP22_7x_0" localSheetId="54">'314'!$P$79</definedName>
    <definedName name="OSRRefP22_7x_0" localSheetId="59">'315'!$P$109:$P$110</definedName>
    <definedName name="OSRRefP22_7x_0" localSheetId="62">'316'!$P$59</definedName>
    <definedName name="OSRRefP22_7x_0" localSheetId="65">'317'!$P$85</definedName>
    <definedName name="OSRRefP22_7x_0" localSheetId="63">'320'!$P$51:$P$52</definedName>
    <definedName name="OSRRefP22_7x_0" localSheetId="69">'321'!$P$51</definedName>
    <definedName name="OSRRefP22_7x_0" localSheetId="70">'322'!$P$48</definedName>
    <definedName name="OSRRefP22_7x_0" localSheetId="71">'325'!$P$50</definedName>
    <definedName name="OSRRefP22_7x_0" localSheetId="60">'326'!$P$86</definedName>
    <definedName name="OSRRefP22_7x_0" localSheetId="52">'330'!$P$105</definedName>
    <definedName name="OSRRefP22_7x_0" localSheetId="58">'331'!$P$116:$P$117</definedName>
    <definedName name="OSRRefP22_7x_0" localSheetId="61">'332'!$P$67</definedName>
    <definedName name="OSRRefP22_7x_0" localSheetId="76">'405'!$P$49</definedName>
    <definedName name="OSRRefP22_7x_0" localSheetId="77">'406'!$P$49</definedName>
    <definedName name="OSRRefP22_7x_0" localSheetId="78">'411'!$P$49</definedName>
    <definedName name="OSRRefP22_7x_0" localSheetId="79">'412'!$P$49</definedName>
    <definedName name="OSRRefP22_7x_0" localSheetId="80">'413'!$P$48:$P$50</definedName>
    <definedName name="OSRRefP22_7x_0" localSheetId="81">'414'!$P$49</definedName>
    <definedName name="OSRRefP22_7x_0" localSheetId="82">'415'!$P$50</definedName>
    <definedName name="OSRRefP22_7x_0" localSheetId="83">'418'!$P$51</definedName>
    <definedName name="OSRRefP22_7x_0" localSheetId="86">'424'!$P$42</definedName>
    <definedName name="OSRRefP22_7x_0" localSheetId="87">'425'!$P$52</definedName>
    <definedName name="OSRRefP22_7x_0" localSheetId="90">'430'!$P$42</definedName>
    <definedName name="OSRRefP22_7x_0" localSheetId="91">'433'!$P$52</definedName>
    <definedName name="OSRRefP22_7x_0" localSheetId="92">'435'!$P$43:$P$45</definedName>
    <definedName name="OSRRefP22_7x_0" localSheetId="93">'444'!$P$52</definedName>
    <definedName name="OSRRefP22_7x_0" localSheetId="94">'450'!$P$52</definedName>
    <definedName name="OSRRefP22_7x_0" localSheetId="75">'491'!$P$61</definedName>
    <definedName name="OSRRefP22_7x_0" localSheetId="89">'492'!$P$55</definedName>
    <definedName name="OSRRefP22_7x_0" localSheetId="96">'501'!$P$48</definedName>
    <definedName name="OSRRefP22_7x_0" localSheetId="39">'Div 2'!$P$50</definedName>
    <definedName name="OSRRefP22_7x_0" localSheetId="47">'Div 3'!$P$200</definedName>
    <definedName name="OSRRefP22_7x_0" localSheetId="73">'Div 4'!$P$62</definedName>
    <definedName name="OSRRefP22_7x_0" localSheetId="95">'Div 5'!$P$48</definedName>
    <definedName name="OSRRefP22_7x_0" localSheetId="64">'Div 6'!$P$85</definedName>
    <definedName name="OSRRefP22_7x_0" localSheetId="2">Summary!$P$233</definedName>
    <definedName name="OSRRefP22_8x_0" localSheetId="41">'201'!$P$45</definedName>
    <definedName name="OSRRefP22_8x_0" localSheetId="42">'202'!$P$47:$P$49</definedName>
    <definedName name="OSRRefP22_8x_0" localSheetId="43">'203'!$P$49</definedName>
    <definedName name="OSRRefP22_8x_0" localSheetId="44">'204'!$P$51:$P$52</definedName>
    <definedName name="OSRRefP22_8x_0" localSheetId="45">'205'!$P$46</definedName>
    <definedName name="OSRRefP22_8x_0" localSheetId="48">'300'!$P$197</definedName>
    <definedName name="OSRRefP22_8x_0" localSheetId="49">'300 &amp; 317'!$P$222</definedName>
    <definedName name="OSRRefP22_8x_0" localSheetId="50">'301'!$P$54</definedName>
    <definedName name="OSRRefP22_8x_0" localSheetId="51">'306'!$P$52</definedName>
    <definedName name="OSRRefP22_8x_0" localSheetId="53">'307'!$P$99:$P$100</definedName>
    <definedName name="OSRRefP22_8x_0" localSheetId="55">'308'!$P$97</definedName>
    <definedName name="OSRRefP22_8x_0" localSheetId="67">'309'!$P$51</definedName>
    <definedName name="OSRRefP22_8x_0" localSheetId="66">'310'!$P$60</definedName>
    <definedName name="OSRRefP22_8x_0" localSheetId="74">'310 &amp; 491'!$P$70</definedName>
    <definedName name="OSRRefP22_8x_0" localSheetId="56">'311'!$P$96</definedName>
    <definedName name="OSRRefP22_8x_0" localSheetId="68">'313'!$P$55:$P$57</definedName>
    <definedName name="OSRRefP22_8x_0" localSheetId="59">'315'!$P$112:$P$113</definedName>
    <definedName name="OSRRefP22_8x_0" localSheetId="62">'316'!$P$61:$P$63</definedName>
    <definedName name="OSRRefP22_8x_0" localSheetId="65">'317'!$P$87</definedName>
    <definedName name="OSRRefP22_8x_0" localSheetId="63">'320'!$P$54</definedName>
    <definedName name="OSRRefP22_8x_0" localSheetId="69">'321'!$P$53:$P$55</definedName>
    <definedName name="OSRRefP22_8x_0" localSheetId="70">'322'!$P$50:$P$51</definedName>
    <definedName name="OSRRefP22_8x_0" localSheetId="71">'325'!$P$52</definedName>
    <definedName name="OSRRefP22_8x_0" localSheetId="60">'326'!$P$88</definedName>
    <definedName name="OSRRefP22_8x_0" localSheetId="52">'330'!$P$107:$P$108</definedName>
    <definedName name="OSRRefP22_8x_0" localSheetId="58">'331'!$P$119</definedName>
    <definedName name="OSRRefP22_8x_0" localSheetId="61">'332'!$P$69</definedName>
    <definedName name="OSRRefP22_8x_0" localSheetId="76">'405'!$P$51</definedName>
    <definedName name="OSRRefP22_8x_0" localSheetId="77">'406'!$P$51</definedName>
    <definedName name="OSRRefP22_8x_0" localSheetId="78">'411'!$P$51</definedName>
    <definedName name="OSRRefP22_8x_0" localSheetId="79">'412'!$P$51</definedName>
    <definedName name="OSRRefP22_8x_0" localSheetId="80">'413'!$P$52:$P$54</definedName>
    <definedName name="OSRRefP22_8x_0" localSheetId="81">'414'!$P$51</definedName>
    <definedName name="OSRRefP22_8x_0" localSheetId="82">'415'!$P$52</definedName>
    <definedName name="OSRRefP22_8x_0" localSheetId="83">'418'!$P$53</definedName>
    <definedName name="OSRRefP22_8x_0" localSheetId="86">'424'!$P$44:$P$45</definedName>
    <definedName name="OSRRefP22_8x_0" localSheetId="87">'425'!$P$54</definedName>
    <definedName name="OSRRefP22_8x_0" localSheetId="91">'433'!$P$54</definedName>
    <definedName name="OSRRefP22_8x_0" localSheetId="92">'435'!$P$47</definedName>
    <definedName name="OSRRefP22_8x_0" localSheetId="93">'444'!$P$54</definedName>
    <definedName name="OSRRefP22_8x_0" localSheetId="94">'450'!$P$54</definedName>
    <definedName name="OSRRefP22_8x_0" localSheetId="75">'491'!$P$63</definedName>
    <definedName name="OSRRefP22_8x_0" localSheetId="89">'492'!$P$57</definedName>
    <definedName name="OSRRefP22_8x_0" localSheetId="96">'501'!$P$50</definedName>
    <definedName name="OSRRefP22_8x_0" localSheetId="39">'Div 2'!$P$52</definedName>
    <definedName name="OSRRefP22_8x_0" localSheetId="47">'Div 3'!$P$202</definedName>
    <definedName name="OSRRefP22_8x_0" localSheetId="73">'Div 4'!$P$64</definedName>
    <definedName name="OSRRefP22_8x_0" localSheetId="95">'Div 5'!$P$50</definedName>
    <definedName name="OSRRefP22_8x_0" localSheetId="64">'Div 6'!$P$87</definedName>
    <definedName name="OSRRefP22_8x_0" localSheetId="2">Summary!$P$235</definedName>
    <definedName name="OSRRefP22_9x_0" localSheetId="41">'201'!$P$47:$P$49</definedName>
    <definedName name="OSRRefP22_9x_0" localSheetId="42">'202'!$P$51</definedName>
    <definedName name="OSRRefP22_9x_0" localSheetId="43">'203'!$P$51:$P$52</definedName>
    <definedName name="OSRRefP22_9x_0" localSheetId="44">'204'!$P$54</definedName>
    <definedName name="OSRRefP22_9x_0" localSheetId="48">'300'!$P$199</definedName>
    <definedName name="OSRRefP22_9x_0" localSheetId="49">'300 &amp; 317'!$P$224</definedName>
    <definedName name="OSRRefP22_9x_0" localSheetId="50">'301'!$P$56</definedName>
    <definedName name="OSRRefP22_9x_0" localSheetId="51">'306'!$P$54</definedName>
    <definedName name="OSRRefP22_9x_0" localSheetId="53">'307'!$P$102:$P$105</definedName>
    <definedName name="OSRRefP22_9x_0" localSheetId="55">'308'!$P$99:$P$100</definedName>
    <definedName name="OSRRefP22_9x_0" localSheetId="67">'309'!$P$53:$P$54</definedName>
    <definedName name="OSRRefP22_9x_0" localSheetId="66">'310'!$P$62</definedName>
    <definedName name="OSRRefP22_9x_0" localSheetId="74">'310 &amp; 491'!$P$72</definedName>
    <definedName name="OSRRefP22_9x_0" localSheetId="56">'311'!$P$98:$P$99</definedName>
    <definedName name="OSRRefP22_9x_0" localSheetId="68">'313'!$P$59</definedName>
    <definedName name="OSRRefP22_9x_0" localSheetId="59">'315'!$P$115:$P$119</definedName>
    <definedName name="OSRRefP22_9x_0" localSheetId="62">'316'!$P$65</definedName>
    <definedName name="OSRRefP22_9x_0" localSheetId="65">'317'!$P$89</definedName>
    <definedName name="OSRRefP22_9x_0" localSheetId="69">'321'!$P$57:$P$60</definedName>
    <definedName name="OSRRefP22_9x_0" localSheetId="70">'322'!$P$53:$P$55</definedName>
    <definedName name="OSRRefP22_9x_0" localSheetId="71">'325'!$P$54</definedName>
    <definedName name="OSRRefP22_9x_0" localSheetId="60">'326'!$P$90</definedName>
    <definedName name="OSRRefP22_9x_0" localSheetId="52">'330'!$P$110:$P$111</definedName>
    <definedName name="OSRRefP22_9x_0" localSheetId="58">'331'!$P$121</definedName>
    <definedName name="OSRRefP22_9x_0" localSheetId="61">'332'!$P$71:$P$73</definedName>
    <definedName name="OSRRefP22_9x_0" localSheetId="76">'405'!$P$53</definedName>
    <definedName name="OSRRefP22_9x_0" localSheetId="77">'406'!$P$53:$P$55</definedName>
    <definedName name="OSRRefP22_9x_0" localSheetId="78">'411'!$P$53</definedName>
    <definedName name="OSRRefP22_9x_0" localSheetId="79">'412'!$P$53:$P$54</definedName>
    <definedName name="OSRRefP22_9x_0" localSheetId="80">'413'!$P$56:$P$61</definedName>
    <definedName name="OSRRefP22_9x_0" localSheetId="81">'414'!$P$53:$P$54</definedName>
    <definedName name="OSRRefP22_9x_0" localSheetId="82">'415'!$P$54</definedName>
    <definedName name="OSRRefP22_9x_0" localSheetId="83">'418'!$P$55</definedName>
    <definedName name="OSRRefP22_9x_0" localSheetId="86">'424'!$P$47</definedName>
    <definedName name="OSRRefP22_9x_0" localSheetId="87">'425'!$P$56:$P$58</definedName>
    <definedName name="OSRRefP22_9x_0" localSheetId="91">'433'!$P$56</definedName>
    <definedName name="OSRRefP22_9x_0" localSheetId="93">'444'!$P$56</definedName>
    <definedName name="OSRRefP22_9x_0" localSheetId="94">'450'!$P$56</definedName>
    <definedName name="OSRRefP22_9x_0" localSheetId="75">'491'!$P$65</definedName>
    <definedName name="OSRRefP22_9x_0" localSheetId="89">'492'!$P$59</definedName>
    <definedName name="OSRRefP22_9x_0" localSheetId="96">'501'!$P$52:$P$54</definedName>
    <definedName name="OSRRefP22_9x_0" localSheetId="39">'Div 2'!$P$54:$P$55</definedName>
    <definedName name="OSRRefP22_9x_0" localSheetId="47">'Div 3'!$P$204</definedName>
    <definedName name="OSRRefP22_9x_0" localSheetId="73">'Div 4'!$P$66</definedName>
    <definedName name="OSRRefP22_9x_0" localSheetId="95">'Div 5'!$P$52:$P$54</definedName>
    <definedName name="OSRRefP22_9x_0" localSheetId="64">'Div 6'!$P$89</definedName>
    <definedName name="OSRRefP22_9x_0" localSheetId="2">Summary!$P$237</definedName>
    <definedName name="OSRRefP22x_0" localSheetId="40">'200'!$P$20,'200'!$P$22,'200'!$P$24,'200'!$P$26,'200'!$P$28:$P$29</definedName>
    <definedName name="OSRRefP22x_0" localSheetId="41">'201'!$P$20:$P$27,'201'!$P$29:$P$31,'201'!$P$33,'201'!$P$35,'201'!$P$37,'201'!$P$39,'201'!$P$41,'201'!$P$43,'201'!$P$45,'201'!$P$47:$P$49,'201'!$P$51:$P$53,'201'!$P$55,'201'!$P$57:$P$60,'201'!$P$62,'201'!$P$64,'201'!$P$66</definedName>
    <definedName name="OSRRefP22x_0" localSheetId="42">'202'!$P$20:$P$27,'202'!$P$29:$P$32,'202'!$P$34,'202'!$P$36,'202'!$P$38,'202'!$P$40:$P$41,'202'!$P$43,'202'!$P$45,'202'!$P$47:$P$49,'202'!$P$51,'202'!$P$53,'202'!$P$55:$P$57,'202'!$P$59,'202'!$P$61,'202'!$P$63</definedName>
    <definedName name="OSRRefP22x_0" localSheetId="43">'203'!$P$20:$P$29,'203'!$P$31:$P$35,'203'!$P$37,'203'!$P$39,'203'!$P$41,'203'!$P$43,'203'!$P$45,'203'!$P$47,'203'!$P$49,'203'!$P$51:$P$52,'203'!$P$54:$P$55,'203'!$P$57,'203'!$P$59:$P$62,'203'!$P$64,'203'!$P$66,'203'!$P$68</definedName>
    <definedName name="OSRRefP22x_0" localSheetId="44">'204'!$P$20:$P$29,'204'!$P$31:$P$35,'204'!$P$37,'204'!$P$39,'204'!$P$41,'204'!$P$43,'204'!$P$45:$P$47,'204'!$P$49,'204'!$P$51:$P$52,'204'!$P$54,'204'!$P$56:$P$57</definedName>
    <definedName name="OSRRefP22x_0" localSheetId="45">'205'!$P$20:$P$27,'205'!$P$29,'205'!$P$31,'205'!$P$33,'205'!$P$35:$P$36,'205'!$P$38,'205'!$P$40:$P$42,'205'!$P$44,'205'!$P$46</definedName>
    <definedName name="OSRRefP22x_0" localSheetId="46">'206'!$P$20:$P$27,'206'!$P$29:$P$32,'206'!$P$34,'206'!$P$36,'206'!$P$38,'206'!$P$40:$P$41,'206'!$P$43,'206'!$P$45</definedName>
    <definedName name="OSRRefP22x_0" localSheetId="48">'300'!$P$163:$P$172,'300'!$P$174:$P$180,'300'!$P$182,'300'!$P$184:$P$185,'300'!$P$187,'300'!$P$189:$P$190,'300'!$P$192:$P$193,'300'!$P$195,'300'!$P$197,'300'!$P$199,'300'!$P$201:$P$202,'300'!$P$204,'300'!$P$206,'300'!$P$208,'300'!$P$210,'300'!$P$212,'300'!$P$214:$P$217,'300'!$P$219:$P$221,'300'!$P$223:$P$226,'300'!$P$228:$P$229,'300'!$P$231:$P$237,'300'!$P$239:$P$240,'300'!$P$242,'300'!$P$244:$P$246,'300'!$P$248</definedName>
    <definedName name="OSRRefP22x_0" localSheetId="49">'300 &amp; 317'!$P$188:$P$197,'300 &amp; 317'!$P$199:$P$205,'300 &amp; 317'!$P$207,'300 &amp; 317'!$P$209:$P$210,'300 &amp; 317'!$P$212,'300 &amp; 317'!$P$214:$P$215,'300 &amp; 317'!$P$217:$P$218,'300 &amp; 317'!$P$220,'300 &amp; 317'!$P$222,'300 &amp; 317'!$P$224,'300 &amp; 317'!$P$226:$P$227,'300 &amp; 317'!$P$229,'300 &amp; 317'!$P$231,'300 &amp; 317'!$P$233,'300 &amp; 317'!$P$235,'300 &amp; 317'!$P$237,'300 &amp; 317'!$P$239:$P$242,'300 &amp; 317'!$P$244:$P$246,'300 &amp; 317'!$P$248:$P$251,'300 &amp; 317'!$P$253:$P$254,'300 &amp; 317'!$P$256:$P$262,'300 &amp; 317'!$P$264:$P$265,'300 &amp; 317'!$P$267,'300 &amp; 317'!$P$269:$P$271,'300 &amp; 317'!$P$273</definedName>
    <definedName name="OSRRefP22x_0" localSheetId="50">'301'!$P$20:$P$29,'301'!$P$31:$P$37,'301'!$P$39,'301'!$P$41:$P$42,'301'!$P$44,'301'!$P$46:$P$47,'301'!$P$49:$P$50,'301'!$P$52,'301'!$P$54,'301'!$P$56,'301'!$P$58,'301'!$P$60,'301'!$P$62,'301'!$P$64,'301'!$P$66,'301'!$P$68:$P$71,'301'!$P$73:$P$75,'301'!$P$77,'301'!$P$79:$P$84,'301'!$P$86,'301'!$P$88,'301'!$P$90:$P$92,'301'!$P$94</definedName>
    <definedName name="OSRRefP22x_0" localSheetId="51">'306'!$P$20:$P$28,'306'!$P$30:$P$35,'306'!$P$37,'306'!$P$39,'306'!$P$41,'306'!$P$43,'306'!$P$45:$P$46,'306'!$P$48:$P$50,'306'!$P$52,'306'!$P$54</definedName>
    <definedName name="OSRRefP22x_0" localSheetId="53">'307'!$P$71:$P$78,'307'!$P$80:$P$83,'307'!$P$85,'307'!$P$87,'307'!$P$89:$P$90,'307'!$P$92,'307'!$P$94,'307'!$P$96:$P$97,'307'!$P$99:$P$100,'307'!$P$102:$P$105,'307'!$P$107,'307'!$P$109</definedName>
    <definedName name="OSRRefP22x_0" localSheetId="55">'308'!$P$65:$P$73,'308'!$P$75:$P$81,'308'!$P$83,'308'!$P$85:$P$86,'308'!$P$88,'308'!$P$90,'308'!$P$92:$P$93,'308'!$P$95,'308'!$P$97,'308'!$P$99:$P$100,'308'!$P$102:$P$103,'308'!$P$105:$P$107,'308'!$P$109:$P$110,'308'!$P$112,'308'!$P$114</definedName>
    <definedName name="OSRRefP22x_0" localSheetId="67">'309'!$P$24:$P$31,'309'!$P$33:$P$37,'309'!$P$39,'309'!$P$41,'309'!$P$43,'309'!$P$45,'309'!$P$47,'309'!$P$49,'309'!$P$51,'309'!$P$53:$P$54,'309'!$P$56:$P$58,'309'!$P$60:$P$62,'309'!$P$64</definedName>
    <definedName name="OSRRefP22x_0" localSheetId="66">'310'!$P$31:$P$38,'310'!$P$40:$P$45,'310'!$P$47,'310'!$P$49,'310'!$P$51,'310'!$P$53:$P$54,'310'!$P$56,'310'!$P$58,'310'!$P$60,'310'!$P$62,'310'!$P$64,'310'!$P$66,'310'!$P$68,'310'!$P$70,'310'!$P$72:$P$74,'310'!$P$76,'310'!$P$78:$P$81,'310'!$P$83,'310'!$P$85:$P$92,'310'!$P$94,'310'!$P$96,'310'!$P$98</definedName>
    <definedName name="OSRRefP22x_0" localSheetId="74">'310 &amp; 491'!$P$38:$P$46,'310 &amp; 491'!$P$48:$P$54,'310 &amp; 491'!$P$56,'310 &amp; 491'!$P$58,'310 &amp; 491'!$P$60,'310 &amp; 491'!$P$62:$P$64,'310 &amp; 491'!$P$66,'310 &amp; 491'!$P$68,'310 &amp; 491'!$P$70,'310 &amp; 491'!$P$72,'310 &amp; 491'!$P$74:$P$75,'310 &amp; 491'!$P$77:$P$78,'310 &amp; 491'!$P$80,'310 &amp; 491'!$P$82,'310 &amp; 491'!$P$84,'310 &amp; 491'!$P$86,'310 &amp; 491'!$P$88:$P$91,'310 &amp; 491'!$P$93:$P$94,'310 &amp; 491'!$P$96:$P$100,'310 &amp; 491'!$P$102:$P$103,'310 &amp; 491'!$P$105:$P$113,'310 &amp; 491'!$P$115,'310 &amp; 491'!$P$117,'310 &amp; 491'!$P$119:$P$121,'310 &amp; 491'!$P$123</definedName>
    <definedName name="OSRRefP22x_0" localSheetId="56">'311'!$P$64:$P$72,'311'!$P$74:$P$80,'311'!$P$82,'311'!$P$84:$P$85,'311'!$P$87,'311'!$P$89,'311'!$P$91:$P$92,'311'!$P$94,'311'!$P$96,'311'!$P$98:$P$99,'311'!$P$101:$P$102,'311'!$P$104:$P$106,'311'!$P$108:$P$109,'311'!$P$111,'311'!$P$113</definedName>
    <definedName name="OSRRefP22x_0" localSheetId="68">'313'!$P$28:$P$35,'313'!$P$37:$P$41,'313'!$P$43,'313'!$P$45,'313'!$P$47,'313'!$P$49,'313'!$P$51,'313'!$P$53,'313'!$P$55:$P$57,'313'!$P$59,'313'!$P$61:$P$65,'313'!$P$67,'313'!$P$69</definedName>
    <definedName name="OSRRefP22x_0" localSheetId="54">'314'!$P$55:$P$62,'314'!$P$64:$P$66,'314'!$P$68,'314'!$P$70:$P$71,'314'!$P$73,'314'!$P$75,'314'!$P$77,'314'!$P$79</definedName>
    <definedName name="OSRRefP22x_0" localSheetId="59">'315'!$P$81:$P$88,'315'!$P$90:$P$95,'315'!$P$97,'315'!$P$99:$P$100,'315'!$P$102,'315'!$P$104:$P$105,'315'!$P$107,'315'!$P$109:$P$110,'315'!$P$112:$P$113,'315'!$P$115:$P$119,'315'!$P$121,'315'!$P$123,'315'!$P$125:$P$126</definedName>
    <definedName name="OSRRefP22x_0" localSheetId="62">'316'!$P$34:$P$41,'316'!$P$43:$P$46,'316'!$P$48,'316'!$P$50,'316'!$P$52,'316'!$P$54,'316'!$P$56:$P$57,'316'!$P$59,'316'!$P$61:$P$63,'316'!$P$65,'316'!$P$67:$P$72,'316'!$P$74,'316'!$P$76,'316'!$P$78</definedName>
    <definedName name="OSRRefP22x_0" localSheetId="65">'317'!$P$58:$P$66,'317'!$P$68:$P$72,'317'!$P$74,'317'!$P$76,'317'!$P$78,'317'!$P$80:$P$81,'317'!$P$83,'317'!$P$85,'317'!$P$87,'317'!$P$89,'317'!$P$91:$P$93,'317'!$P$95,'317'!$P$97,'317'!$P$99</definedName>
    <definedName name="OSRRefP22x_0" localSheetId="63">'320'!$P$28:$P$34,'320'!$P$36:$P$38,'320'!$P$40,'320'!$P$42,'320'!$P$44:$P$45,'320'!$P$47,'320'!$P$49,'320'!$P$51:$P$52,'320'!$P$54</definedName>
    <definedName name="OSRRefP22x_0" localSheetId="69">'321'!$P$24:$P$31,'321'!$P$33:$P$37,'321'!$P$39,'321'!$P$41,'321'!$P$43,'321'!$P$45,'321'!$P$47:$P$49,'321'!$P$51,'321'!$P$53:$P$55,'321'!$P$57:$P$60,'321'!$P$62,'321'!$P$64</definedName>
    <definedName name="OSRRefP22x_0" localSheetId="70">'322'!$P$24:$P$31,'322'!$P$33:$P$36,'322'!$P$38,'322'!$P$40,'322'!$P$42,'322'!$P$44,'322'!$P$46,'322'!$P$48,'322'!$P$50:$P$51,'322'!$P$53:$P$55,'322'!$P$57:$P$62,'322'!$P$64,'322'!$P$66</definedName>
    <definedName name="OSRRefP22x_0" localSheetId="71">'325'!$P$24:$P$31,'325'!$P$33:$P$37,'325'!$P$39,'325'!$P$41,'325'!$P$43,'325'!$P$45:$P$46,'325'!$P$48,'325'!$P$50,'325'!$P$52,'325'!$P$54,'325'!$P$56,'325'!$P$58:$P$60,'325'!$P$62:$P$64,'325'!$P$66,'325'!$P$68:$P$72,'325'!$P$74,'325'!$P$76</definedName>
    <definedName name="OSRRefP22x_0" localSheetId="60">'326'!$P$61:$P$68,'326'!$P$70:$P$74,'326'!$P$76,'326'!$P$78,'326'!$P$80,'326'!$P$82,'326'!$P$84,'326'!$P$86,'326'!$P$88,'326'!$P$90,'326'!$P$92,'326'!$P$94,'326'!$P$96:$P$97,'326'!$P$99:$P$101,'326'!$P$103:$P$104,'326'!$P$106:$P$111,'326'!$P$113,'326'!$P$115,'326'!$P$117</definedName>
    <definedName name="OSRRefP22x_0" localSheetId="72">'327'!$P$22,'327'!$P$24,'327'!$P$26</definedName>
    <definedName name="OSRRefP22x_0" localSheetId="52">'330'!$P$79:$P$86,'330'!$P$88:$P$92,'330'!$P$94,'330'!$P$96,'330'!$P$98:$P$99,'330'!$P$101,'330'!$P$103,'330'!$P$105,'330'!$P$107:$P$108,'330'!$P$110:$P$111,'330'!$P$113,'330'!$P$115:$P$118,'330'!$P$120,'330'!$P$122,'330'!$P$124</definedName>
    <definedName name="OSRRefP22x_0" localSheetId="58">'331'!$P$89:$P$96,'331'!$P$98:$P$103,'331'!$P$105,'331'!$P$107,'331'!$P$109,'331'!$P$111:$P$112,'331'!$P$114,'331'!$P$116:$P$117,'331'!$P$119,'331'!$P$121,'331'!$P$123,'331'!$P$125,'331'!$P$127,'331'!$P$129:$P$130,'331'!$P$132:$P$133,'331'!$P$135:$P$137,'331'!$P$139:$P$140,'331'!$P$142:$P$147,'331'!$P$149,'331'!$P$151,'331'!$P$153:$P$154,'331'!$P$156</definedName>
    <definedName name="OSRRefP22x_0" localSheetId="61">'332'!$P$42:$P$49,'332'!$P$51:$P$54,'332'!$P$56,'332'!$P$58,'332'!$P$60,'332'!$P$62,'332'!$P$64:$P$65,'332'!$P$67,'332'!$P$69,'332'!$P$71:$P$73,'332'!$P$75,'332'!$P$77:$P$82,'332'!$P$84,'332'!$P$86,'332'!$P$88</definedName>
    <definedName name="OSRRefP22x_0" localSheetId="76">'405'!$P$24:$P$31,'405'!$P$33:$P$36,'405'!$P$38,'405'!$P$40,'405'!$P$42,'405'!$P$44:$P$45,'405'!$P$47,'405'!$P$49,'405'!$P$51,'405'!$P$53,'405'!$P$55:$P$56,'405'!$P$58,'405'!$P$60:$P$62,'405'!$P$64:$P$65,'405'!$P$67:$P$73,'405'!$P$75,'405'!$P$77,'405'!$P$79</definedName>
    <definedName name="OSRRefP22x_0" localSheetId="77">'406'!$P$24:$P$31,'406'!$P$33:$P$37,'406'!$P$39,'406'!$P$41,'406'!$P$43,'406'!$P$45,'406'!$P$47,'406'!$P$49,'406'!$P$51,'406'!$P$53:$P$55,'406'!$P$57:$P$58,'406'!$P$60:$P$64,'406'!$P$66,'406'!$P$68</definedName>
    <definedName name="OSRRefP22x_0" localSheetId="78">'411'!$P$20:$P$28,'411'!$P$30:$P$35,'411'!$P$37,'411'!$P$39,'411'!$P$41:$P$43,'411'!$P$45,'411'!$P$47,'411'!$P$49,'411'!$P$51,'411'!$P$53,'411'!$P$55,'411'!$P$57,'411'!$P$59:$P$60,'411'!$P$62:$P$66,'411'!$P$68,'411'!$P$70:$P$76,'411'!$P$78,'411'!$P$80,'411'!$P$82:$P$84,'411'!$P$86</definedName>
    <definedName name="OSRRefP22x_0" localSheetId="79">'412'!$P$23:$P$30,'412'!$P$32:$P$37,'412'!$P$39,'412'!$P$41,'412'!$P$43,'412'!$P$45,'412'!$P$47,'412'!$P$49,'412'!$P$51,'412'!$P$53:$P$54,'412'!$P$56:$P$57,'412'!$P$59:$P$64,'412'!$P$66,'412'!$P$68</definedName>
    <definedName name="OSRRefP22x_0" localSheetId="80">'413'!$P$24:$P$31,'413'!$P$33:$P$36,'413'!$P$38,'413'!$P$40,'413'!$P$42,'413'!$P$44,'413'!$P$46,'413'!$P$48:$P$50,'413'!$P$52:$P$54,'413'!$P$56:$P$61,'413'!$P$63</definedName>
    <definedName name="OSRRefP22x_0" localSheetId="81">'414'!$P$24:$P$31,'414'!$P$33:$P$37,'414'!$P$39,'414'!$P$41,'414'!$P$43,'414'!$P$45,'414'!$P$47,'414'!$P$49,'414'!$P$51,'414'!$P$53:$P$54,'414'!$P$56,'414'!$P$58,'414'!$P$60,'414'!$P$62:$P$68,'414'!$P$70,'414'!$P$72</definedName>
    <definedName name="OSRRefP22x_0" localSheetId="82">'415'!$P$24:$P$31,'415'!$P$33:$P$37,'415'!$P$39,'415'!$P$41,'415'!$P$43,'415'!$P$45:$P$46,'415'!$P$48,'415'!$P$50,'415'!$P$52,'415'!$P$54,'415'!$P$56,'415'!$P$58:$P$61,'415'!$P$63:$P$67,'415'!$P$69:$P$70,'415'!$P$72:$P$79,'415'!$P$81,'415'!$P$83,'415'!$P$85</definedName>
    <definedName name="OSRRefP22x_0" localSheetId="83">'418'!$P$24:$P$31,'418'!$P$33:$P$38,'418'!$P$40,'418'!$P$42,'418'!$P$44,'418'!$P$46:$P$47,'418'!$P$49,'418'!$P$51,'418'!$P$53,'418'!$P$55,'418'!$P$57:$P$58,'418'!$P$60:$P$62,'418'!$P$64:$P$66,'418'!$P$68:$P$69,'418'!$P$71:$P$77,'418'!$P$79,'418'!$P$81</definedName>
    <definedName name="OSRRefP22x_0" localSheetId="84">'420'!$P$23:$P$30,'420'!$P$32:$P$35,'420'!$P$37,'420'!$P$39,'420'!$P$41,'420'!$P$43:$P$44,'420'!$P$46</definedName>
    <definedName name="OSRRefP22x_0" localSheetId="85">'423'!$P$21:$P$28,'423'!$P$30,'423'!$P$32,'423'!$P$34,'423'!$P$36,'423'!$P$38</definedName>
    <definedName name="OSRRefP22x_0" localSheetId="86">'424'!$P$23:$P$24,'424'!$P$26:$P$30,'424'!$P$32,'424'!$P$34,'424'!$P$36,'424'!$P$38,'424'!$P$40,'424'!$P$42,'424'!$P$44:$P$45,'424'!$P$47,'424'!$P$49,'424'!$P$51:$P$54,'424'!$P$56</definedName>
    <definedName name="OSRRefP22x_0" localSheetId="87">'425'!$P$25:$P$33,'425'!$P$35:$P$40,'425'!$P$42,'425'!$P$44,'425'!$P$46,'425'!$P$48,'425'!$P$50,'425'!$P$52,'425'!$P$54,'425'!$P$56:$P$58,'425'!$P$60,'425'!$P$62:$P$63,'425'!$P$65:$P$71,'425'!$P$73,'425'!$P$75</definedName>
    <definedName name="OSRRefP22x_0" localSheetId="90">'430'!$P$20:$P$27,'430'!$P$29,'430'!$P$31,'430'!$P$33,'430'!$P$35:$P$36,'430'!$P$38,'430'!$P$40,'430'!$P$42</definedName>
    <definedName name="OSRRefP22x_0" localSheetId="91">'433'!$P$25:$P$33,'433'!$P$35:$P$40,'433'!$P$42,'433'!$P$44,'433'!$P$46,'433'!$P$48,'433'!$P$50,'433'!$P$52,'433'!$P$54,'433'!$P$56,'433'!$P$58,'433'!$P$60:$P$62,'433'!$P$64:$P$66,'433'!$P$68:$P$75,'433'!$P$77,'433'!$P$79,'433'!$P$81</definedName>
    <definedName name="OSRRefP22x_0" localSheetId="92">'435'!$P$25:$P$27,'435'!$P$29:$P$31,'435'!$P$33,'435'!$P$35,'435'!$P$37,'435'!$P$39,'435'!$P$41,'435'!$P$43:$P$45,'435'!$P$47</definedName>
    <definedName name="OSRRefP22x_0" localSheetId="93">'444'!$P$25:$P$33,'444'!$P$35:$P$40,'444'!$P$42,'444'!$P$44,'444'!$P$46,'444'!$P$48,'444'!$P$50,'444'!$P$52,'444'!$P$54,'444'!$P$56,'444'!$P$58,'444'!$P$60:$P$62,'444'!$P$64:$P$67,'444'!$P$69,'444'!$P$71:$P$79,'444'!$P$81,'444'!$P$83,'444'!$P$85</definedName>
    <definedName name="OSRRefP22x_0" localSheetId="94">'450'!$P$25:$P$33,'450'!$P$35:$P$40,'450'!$P$42,'450'!$P$44,'450'!$P$46,'450'!$P$48,'450'!$P$50,'450'!$P$52,'450'!$P$54,'450'!$P$56,'450'!$P$58,'450'!$P$60,'450'!$P$62,'450'!$P$64:$P$66,'450'!$P$68:$P$73,'450'!$P$75,'450'!$P$77,'450'!$P$79</definedName>
    <definedName name="OSRRefP22x_0" localSheetId="88">'455'!$P$20:$P$26,'455'!$P$28:$P$29</definedName>
    <definedName name="OSRRefP22x_0" localSheetId="75">'491'!$P$31:$P$39,'491'!$P$41:$P$47,'491'!$P$49,'491'!$P$51,'491'!$P$53,'491'!$P$55:$P$57,'491'!$P$59,'491'!$P$61,'491'!$P$63,'491'!$P$65,'491'!$P$67,'491'!$P$69:$P$70,'491'!$P$72,'491'!$P$74,'491'!$P$76,'491'!$P$78,'491'!$P$80:$P$83,'491'!$P$85:$P$86,'491'!$P$88:$P$92,'491'!$P$94:$P$95,'491'!$P$97:$P$105,'491'!$P$107,'491'!$P$109,'491'!$P$111:$P$113,'491'!$P$115</definedName>
    <definedName name="OSRRefP22x_0" localSheetId="89">'492'!$P$27:$P$35,'492'!$P$37:$P$43,'492'!$P$45,'492'!$P$47,'492'!$P$49,'492'!$P$51,'492'!$P$53,'492'!$P$55,'492'!$P$57,'492'!$P$59,'492'!$P$61,'492'!$P$63,'492'!$P$65:$P$67,'492'!$P$69:$P$72,'492'!$P$74,'492'!$P$76:$P$84,'492'!$P$86,'492'!$P$88,'492'!$P$90</definedName>
    <definedName name="OSRRefP22x_0" localSheetId="96">'501'!$P$21:$P$29,'501'!$P$31:$P$35,'501'!$P$37,'501'!$P$39,'501'!$P$41,'501'!$P$43:$P$44,'501'!$P$46,'501'!$P$48,'501'!$P$50,'501'!$P$52:$P$54,'501'!$P$56,'501'!$P$58:$P$60,'501'!$P$62</definedName>
    <definedName name="OSRRefP22x_0" localSheetId="39">'Div 2'!$P$20:$P$30,'Div 2'!$P$32:$P$38,'Div 2'!$P$40,'Div 2'!$P$42,'Div 2'!$P$44,'Div 2'!$P$46,'Div 2'!$P$48,'Div 2'!$P$50,'Div 2'!$P$52,'Div 2'!$P$54:$P$55,'Div 2'!$P$57,'Div 2'!$P$59,'Div 2'!$P$61:$P$64,'Div 2'!$P$66:$P$68,'Div 2'!$P$70:$P$71,'Div 2'!$P$73,'Div 2'!$P$75:$P$79,'Div 2'!$P$81:$P$82,'Div 2'!$P$84,'Div 2'!$P$86:$P$87</definedName>
    <definedName name="OSRRefP22x_0" localSheetId="47">'Div 3'!$P$168:$P$177,'Div 3'!$P$179:$P$185,'Div 3'!$P$187,'Div 3'!$P$189:$P$190,'Div 3'!$P$192,'Div 3'!$P$194:$P$195,'Div 3'!$P$197:$P$198,'Div 3'!$P$200,'Div 3'!$P$202,'Div 3'!$P$204,'Div 3'!$P$206:$P$207,'Div 3'!$P$209,'Div 3'!$P$211,'Div 3'!$P$213,'Div 3'!$P$215,'Div 3'!$P$217,'Div 3'!$P$219,'Div 3'!$P$221:$P$224,'Div 3'!$P$226:$P$228,'Div 3'!$P$230:$P$234,'Div 3'!$P$236:$P$237,'Div 3'!$P$239:$P$246,'Div 3'!$P$248:$P$249,'Div 3'!$P$251,'Div 3'!$P$253:$P$255,'Div 3'!$P$257</definedName>
    <definedName name="OSRRefP22x_0" localSheetId="73">'Div 4'!$P$32:$P$40,'Div 4'!$P$42:$P$48,'Div 4'!$P$50,'Div 4'!$P$52,'Div 4'!$P$54,'Div 4'!$P$56:$P$58,'Div 4'!$P$60,'Div 4'!$P$62,'Div 4'!$P$64,'Div 4'!$P$66,'Div 4'!$P$68,'Div 4'!$P$70:$P$71,'Div 4'!$P$73,'Div 4'!$P$75,'Div 4'!$P$77,'Div 4'!$P$79,'Div 4'!$P$81,'Div 4'!$P$83:$P$86,'Div 4'!$P$88:$P$89,'Div 4'!$P$91:$P$95,'Div 4'!$P$97:$P$98,'Div 4'!$P$100:$P$108,'Div 4'!$P$110,'Div 4'!$P$112,'Div 4'!$P$114:$P$116,'Div 4'!$P$118</definedName>
    <definedName name="OSRRefP22x_0" localSheetId="95">'Div 5'!$P$21:$P$29,'Div 5'!$P$31:$P$35,'Div 5'!$P$37,'Div 5'!$P$39,'Div 5'!$P$41,'Div 5'!$P$43:$P$44,'Div 5'!$P$46,'Div 5'!$P$48,'Div 5'!$P$50,'Div 5'!$P$52:$P$54,'Div 5'!$P$56,'Div 5'!$P$58:$P$60,'Div 5'!$P$62</definedName>
    <definedName name="OSRRefP22x_0" localSheetId="64">'Div 6'!$P$58:$P$66,'Div 6'!$P$68:$P$72,'Div 6'!$P$74,'Div 6'!$P$76,'Div 6'!$P$78,'Div 6'!$P$80:$P$81,'Div 6'!$P$83,'Div 6'!$P$85,'Div 6'!$P$87,'Div 6'!$P$89,'Div 6'!$P$91:$P$93,'Div 6'!$P$95,'Div 6'!$P$97,'Div 6'!$P$99</definedName>
    <definedName name="OSRRefP22x_0" localSheetId="2">Summary!$P$200:$P$209,Summary!$P$211:$P$217,Summary!$P$219,Summary!$P$221:$P$222,Summary!$P$224,Summary!$P$226:$P$228,Summary!$P$230:$P$231,Summary!$P$233,Summary!$P$235,Summary!$P$237,Summary!$P$239:$P$240,Summary!$P$242:$P$243,Summary!$P$245,Summary!$P$247,Summary!$P$249,Summary!$P$251,Summary!$P$253,Summary!$P$255,Summary!$P$257:$P$260,Summary!$P$262:$P$264,Summary!$P$266:$P$270,Summary!$P$272:$P$273,Summary!$P$275:$P$283,Summary!$P$285:$P$286,Summary!$P$288,Summary!$P$290:$P$292,Summary!$P$294</definedName>
    <definedName name="OSRRefP25x_0" localSheetId="48">'300'!$P$251:$P$259</definedName>
    <definedName name="OSRRefP25x_0" localSheetId="49">'300 &amp; 317'!$P$276:$P$287</definedName>
    <definedName name="OSRRefP25x_0" localSheetId="50">'301'!$P$97:$P$99</definedName>
    <definedName name="OSRRefP25x_0" localSheetId="53">'307'!$P$112</definedName>
    <definedName name="OSRRefP25x_0" localSheetId="55">'308'!$P$117:$P$119</definedName>
    <definedName name="OSRRefP25x_0" localSheetId="74">'310 &amp; 491'!$P$126:$P$128</definedName>
    <definedName name="OSRRefP25x_0" localSheetId="56">'311'!$P$116:$P$118</definedName>
    <definedName name="OSRRefP25x_0" localSheetId="59">'315'!$P$129:$P$130</definedName>
    <definedName name="OSRRefP25x_0" localSheetId="62">'316'!$P$81</definedName>
    <definedName name="OSRRefP25x_0" localSheetId="65">'317'!$P$102:$P$105</definedName>
    <definedName name="OSRRefP25x_0" localSheetId="63">'320'!$P$57:$P$61</definedName>
    <definedName name="OSRRefP25x_0" localSheetId="52">'330'!$P$127</definedName>
    <definedName name="OSRRefP25x_0" localSheetId="58">'331'!$P$159:$P$160</definedName>
    <definedName name="OSRRefP25x_0" localSheetId="61">'332'!$P$91:$P$96</definedName>
    <definedName name="OSRRefP25x_0" localSheetId="78">'411'!$P$89:$P$90</definedName>
    <definedName name="OSRRefP25x_0" localSheetId="80">'413'!$P$66</definedName>
    <definedName name="OSRRefP25x_0" localSheetId="82">'415'!$P$88</definedName>
    <definedName name="OSRRefP25x_0" localSheetId="83">'418'!$P$84</definedName>
    <definedName name="OSRRefP25x_0" localSheetId="85">'423'!$P$41</definedName>
    <definedName name="OSRRefP25x_0" localSheetId="86">'424'!$P$59</definedName>
    <definedName name="OSRRefP25x_0" localSheetId="87">'425'!$P$78</definedName>
    <definedName name="OSRRefP25x_0" localSheetId="88">'455'!$P$32:$P$33</definedName>
    <definedName name="OSRRefP25x_0" localSheetId="75">'491'!$P$118:$P$120</definedName>
    <definedName name="OSRRefP25x_0" localSheetId="96">'501'!$P$65</definedName>
    <definedName name="OSRRefP25x_0" localSheetId="47">'Div 3'!$P$260:$P$268</definedName>
    <definedName name="OSRRefP25x_0" localSheetId="73">'Div 4'!$P$121:$P$123</definedName>
    <definedName name="OSRRefP25x_0" localSheetId="95">'Div 5'!$P$65</definedName>
    <definedName name="OSRRefP25x_0" localSheetId="64">'Div 6'!$P$102:$P$105</definedName>
    <definedName name="OSRRefP25x_0" localSheetId="2">Summary!$P$297:$P$309</definedName>
    <definedName name="OSRRefT13x_0" localSheetId="48">'300'!$T$13:$T$105</definedName>
    <definedName name="OSRRefT13x_0" localSheetId="49">'300 &amp; 317'!$T$13:$T$123</definedName>
    <definedName name="OSRRefT13x_0" localSheetId="53">'307'!$T$13:$T$43</definedName>
    <definedName name="OSRRefT13x_0" localSheetId="55">'308'!$T$13:$T$41</definedName>
    <definedName name="OSRRefT13x_0" localSheetId="67">'309'!$T$13:$T$14</definedName>
    <definedName name="OSRRefT13x_0" localSheetId="66">'310'!$T$13:$T$21</definedName>
    <definedName name="OSRRefT13x_0" localSheetId="74">'310 &amp; 491'!$T$13:$T$28</definedName>
    <definedName name="OSRRefT13x_0" localSheetId="56">'311'!$T$13:$T$40</definedName>
    <definedName name="OSRRefT13x_0" localSheetId="68">'313'!$T$13:$T$18</definedName>
    <definedName name="OSRRefT13x_0" localSheetId="54">'314'!$T$13:$T$32</definedName>
    <definedName name="OSRRefT13x_0" localSheetId="59">'315'!$T$13:$T$50</definedName>
    <definedName name="OSRRefT13x_0" localSheetId="62">'316'!$T$13:$T$26</definedName>
    <definedName name="OSRRefT13x_0" localSheetId="65">'317'!$T$13:$T$37</definedName>
    <definedName name="OSRRefT13x_0" localSheetId="63">'320'!$T$13:$T$15</definedName>
    <definedName name="OSRRefT13x_0" localSheetId="69">'321'!$T$13:$T$14</definedName>
    <definedName name="OSRRefT13x_0" localSheetId="70">'322'!$T$13:$T$14</definedName>
    <definedName name="OSRRefT13x_0" localSheetId="57">'324'!$T$13:$T$15</definedName>
    <definedName name="OSRRefT13x_0" localSheetId="71">'325'!$T$13:$T$14</definedName>
    <definedName name="OSRRefT13x_0" localSheetId="60">'326'!$T$13:$T$38</definedName>
    <definedName name="OSRRefT13x_0" localSheetId="72">'327'!$T$13</definedName>
    <definedName name="OSRRefT13x_0" localSheetId="52">'330'!$T$13:$T$48</definedName>
    <definedName name="OSRRefT13x_0" localSheetId="58">'331'!$T$13:$T$54</definedName>
    <definedName name="OSRRefT13x_0" localSheetId="61">'332'!$T$13:$T$29</definedName>
    <definedName name="OSRRefT13x_0" localSheetId="76">'405'!$T$13:$T$14</definedName>
    <definedName name="OSRRefT13x_0" localSheetId="77">'406'!$T$13:$T$14</definedName>
    <definedName name="OSRRefT13x_0" localSheetId="79">'412'!$T$13:$T$14</definedName>
    <definedName name="OSRRefT13x_0" localSheetId="80">'413'!$T$13:$T$14</definedName>
    <definedName name="OSRRefT13x_0" localSheetId="81">'414'!$T$13:$T$14</definedName>
    <definedName name="OSRRefT13x_0" localSheetId="82">'415'!$T$13:$T$14</definedName>
    <definedName name="OSRRefT13x_0" localSheetId="83">'418'!$T$13:$T$14</definedName>
    <definedName name="OSRRefT13x_0" localSheetId="84">'420'!$T$13:$T$14</definedName>
    <definedName name="OSRRefT13x_0" localSheetId="86">'424'!$T$13</definedName>
    <definedName name="OSRRefT13x_0" localSheetId="87">'425'!$T$13:$T$15</definedName>
    <definedName name="OSRRefT13x_0" localSheetId="91">'433'!$T$13:$T$15</definedName>
    <definedName name="OSRRefT13x_0" localSheetId="92">'435'!$T$13:$T$15</definedName>
    <definedName name="OSRRefT13x_0" localSheetId="93">'444'!$T$13:$T$15</definedName>
    <definedName name="OSRRefT13x_0" localSheetId="94">'450'!$T$13:$T$15</definedName>
    <definedName name="OSRRefT13x_0" localSheetId="75">'491'!$T$13:$T$21</definedName>
    <definedName name="OSRRefT13x_0" localSheetId="89">'492'!$T$13:$T$17</definedName>
    <definedName name="OSRRefT13x_0" localSheetId="96">'501'!$T$13</definedName>
    <definedName name="OSRRefT13x_0" localSheetId="47">'Div 3'!$T$13:$T$108</definedName>
    <definedName name="OSRRefT13x_0" localSheetId="73">'Div 4'!$T$13:$T$22</definedName>
    <definedName name="OSRRefT13x_0" localSheetId="95">'Div 5'!$T$13</definedName>
    <definedName name="OSRRefT13x_0" localSheetId="64">'Div 6'!$T$13:$T$37</definedName>
    <definedName name="OSRRefT13x_0" localSheetId="2">Summary!$T$13:$T$133</definedName>
    <definedName name="OSRRefT16x_0" localSheetId="48">'300'!$T$108:$T$157</definedName>
    <definedName name="OSRRefT16x_0" localSheetId="49">'300 &amp; 317'!$T$126:$T$182</definedName>
    <definedName name="OSRRefT16x_0" localSheetId="53">'307'!$T$46:$T$65</definedName>
    <definedName name="OSRRefT16x_0" localSheetId="55">'308'!$T$44:$T$59</definedName>
    <definedName name="OSRRefT16x_0" localSheetId="67">'309'!$T$17:$T$18</definedName>
    <definedName name="OSRRefT16x_0" localSheetId="66">'310'!$T$24:$T$25</definedName>
    <definedName name="OSRRefT16x_0" localSheetId="74">'310 &amp; 491'!$T$31:$T$32</definedName>
    <definedName name="OSRRefT16x_0" localSheetId="56">'311'!$T$43:$T$58</definedName>
    <definedName name="OSRRefT16x_0" localSheetId="68">'313'!$T$21:$T$22</definedName>
    <definedName name="OSRRefT16x_0" localSheetId="54">'314'!$T$35:$T$49</definedName>
    <definedName name="OSRRefT16x_0" localSheetId="59">'315'!$T$53:$T$75</definedName>
    <definedName name="OSRRefT16x_0" localSheetId="65">'317'!$T$40:$T$52</definedName>
    <definedName name="OSRRefT16x_0" localSheetId="63">'320'!$T$18:$T$22</definedName>
    <definedName name="OSRRefT16x_0" localSheetId="69">'321'!$T$17:$T$18</definedName>
    <definedName name="OSRRefT16x_0" localSheetId="70">'322'!$T$17:$T$18</definedName>
    <definedName name="OSRRefT16x_0" localSheetId="57">'324'!$T$18:$T$19</definedName>
    <definedName name="OSRRefT16x_0" localSheetId="71">'325'!$T$17:$T$18</definedName>
    <definedName name="OSRRefT16x_0" localSheetId="60">'326'!$T$41:$T$55</definedName>
    <definedName name="OSRRefT16x_0" localSheetId="72">'327'!$T$16</definedName>
    <definedName name="OSRRefT16x_0" localSheetId="52">'330'!$T$51:$T$73</definedName>
    <definedName name="OSRRefT16x_0" localSheetId="58">'331'!$T$57:$T$83</definedName>
    <definedName name="OSRRefT16x_0" localSheetId="61">'332'!$T$32:$T$36</definedName>
    <definedName name="OSRRefT16x_0" localSheetId="76">'405'!$T$17:$T$18</definedName>
    <definedName name="OSRRefT16x_0" localSheetId="77">'406'!$T$17:$T$18</definedName>
    <definedName name="OSRRefT16x_0" localSheetId="79">'412'!$T$17</definedName>
    <definedName name="OSRRefT16x_0" localSheetId="80">'413'!$T$17:$T$18</definedName>
    <definedName name="OSRRefT16x_0" localSheetId="81">'414'!$T$17:$T$18</definedName>
    <definedName name="OSRRefT16x_0" localSheetId="82">'415'!$T$17:$T$18</definedName>
    <definedName name="OSRRefT16x_0" localSheetId="83">'418'!$T$17:$T$18</definedName>
    <definedName name="OSRRefT16x_0" localSheetId="84">'420'!$T$17</definedName>
    <definedName name="OSRRefT16x_0" localSheetId="85">'423'!$T$15</definedName>
    <definedName name="OSRRefT16x_0" localSheetId="86">'424'!$T$16:$T$17</definedName>
    <definedName name="OSRRefT16x_0" localSheetId="87">'425'!$T$18:$T$19</definedName>
    <definedName name="OSRRefT16x_0" localSheetId="91">'433'!$T$18:$T$19</definedName>
    <definedName name="OSRRefT16x_0" localSheetId="92">'435'!$T$18:$T$19</definedName>
    <definedName name="OSRRefT16x_0" localSheetId="93">'444'!$T$18:$T$19</definedName>
    <definedName name="OSRRefT16x_0" localSheetId="94">'450'!$T$18:$T$19</definedName>
    <definedName name="OSRRefT16x_0" localSheetId="75">'491'!$T$24:$T$25</definedName>
    <definedName name="OSRRefT16x_0" localSheetId="89">'492'!$T$20:$T$21</definedName>
    <definedName name="OSRRefT16x_0" localSheetId="47">'Div 3'!$T$111:$T$162</definedName>
    <definedName name="OSRRefT16x_0" localSheetId="73">'Div 4'!$T$25:$T$26</definedName>
    <definedName name="OSRRefT16x_0" localSheetId="64">'Div 6'!$T$40:$T$52</definedName>
    <definedName name="OSRRefT16x_0" localSheetId="2">Summary!$T$136:$T$194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'203'!$T$20:$T$29</definedName>
    <definedName name="OSRRefT22_0x_0" localSheetId="44">'204'!$T$20:$T$29</definedName>
    <definedName name="OSRRefT22_0x_0" localSheetId="45">'205'!$T$20:$T$27</definedName>
    <definedName name="OSRRefT22_0x_0" localSheetId="46">'206'!$T$20:$T$27</definedName>
    <definedName name="OSRRefT22_0x_0" localSheetId="48">'300'!$T$163:$T$172</definedName>
    <definedName name="OSRRefT22_0x_0" localSheetId="49">'300 &amp; 317'!$T$188:$T$197</definedName>
    <definedName name="OSRRefT22_0x_0" localSheetId="50">'301'!$T$20:$T$29</definedName>
    <definedName name="OSRRefT22_0x_0" localSheetId="51">'306'!$T$20:$T$28</definedName>
    <definedName name="OSRRefT22_0x_0" localSheetId="53">'307'!$T$71:$T$78</definedName>
    <definedName name="OSRRefT22_0x_0" localSheetId="55">'308'!$T$65:$T$73</definedName>
    <definedName name="OSRRefT22_0x_0" localSheetId="67">'309'!$T$24:$T$31</definedName>
    <definedName name="OSRRefT22_0x_0" localSheetId="66">'310'!$T$31:$T$38</definedName>
    <definedName name="OSRRefT22_0x_0" localSheetId="74">'310 &amp; 491'!$T$38:$T$46</definedName>
    <definedName name="OSRRefT22_0x_0" localSheetId="56">'311'!$T$64:$T$72</definedName>
    <definedName name="OSRRefT22_0x_0" localSheetId="68">'313'!$T$28:$T$35</definedName>
    <definedName name="OSRRefT22_0x_0" localSheetId="54">'314'!$T$55:$T$62</definedName>
    <definedName name="OSRRefT22_0x_0" localSheetId="59">'315'!$T$81:$T$88</definedName>
    <definedName name="OSRRefT22_0x_0" localSheetId="62">'316'!$T$34:$T$41</definedName>
    <definedName name="OSRRefT22_0x_0" localSheetId="65">'317'!$T$58:$T$66</definedName>
    <definedName name="OSRRefT22_0x_0" localSheetId="63">'320'!$T$28:$T$34</definedName>
    <definedName name="OSRRefT22_0x_0" localSheetId="69">'321'!$T$24:$T$31</definedName>
    <definedName name="OSRRefT22_0x_0" localSheetId="70">'322'!$T$24:$T$31</definedName>
    <definedName name="OSRRefT22_0x_0" localSheetId="71">'325'!$T$24:$T$31</definedName>
    <definedName name="OSRRefT22_0x_0" localSheetId="60">'326'!$T$61:$T$68</definedName>
    <definedName name="OSRRefT22_0x_0" localSheetId="72">'327'!$T$22</definedName>
    <definedName name="OSRRefT22_0x_0" localSheetId="52">'330'!$T$79:$T$86</definedName>
    <definedName name="OSRRefT22_0x_0" localSheetId="58">'331'!$T$89:$T$96</definedName>
    <definedName name="OSRRefT22_0x_0" localSheetId="61">'332'!$T$42:$T$49</definedName>
    <definedName name="OSRRefT22_0x_0" localSheetId="76">'405'!$T$24:$T$31</definedName>
    <definedName name="OSRRefT22_0x_0" localSheetId="77">'406'!$T$24:$T$31</definedName>
    <definedName name="OSRRefT22_0x_0" localSheetId="78">'411'!$T$20:$T$28</definedName>
    <definedName name="OSRRefT22_0x_0" localSheetId="79">'412'!$T$23:$T$30</definedName>
    <definedName name="OSRRefT22_0x_0" localSheetId="80">'413'!$T$24:$T$31</definedName>
    <definedName name="OSRRefT22_0x_0" localSheetId="81">'414'!$T$24:$T$31</definedName>
    <definedName name="OSRRefT22_0x_0" localSheetId="82">'415'!$T$24:$T$31</definedName>
    <definedName name="OSRRefT22_0x_0" localSheetId="83">'418'!$T$24:$T$31</definedName>
    <definedName name="OSRRefT22_0x_0" localSheetId="84">'420'!$T$23:$T$30</definedName>
    <definedName name="OSRRefT22_0x_0" localSheetId="85">'423'!$T$21:$T$28</definedName>
    <definedName name="OSRRefT22_0x_0" localSheetId="86">'424'!$T$23:$T$24</definedName>
    <definedName name="OSRRefT22_0x_0" localSheetId="87">'425'!$T$25:$T$33</definedName>
    <definedName name="OSRRefT22_0x_0" localSheetId="90">'430'!$T$20:$T$27</definedName>
    <definedName name="OSRRefT22_0x_0" localSheetId="91">'433'!$T$25:$T$33</definedName>
    <definedName name="OSRRefT22_0x_0" localSheetId="92">'435'!$T$25:$T$27</definedName>
    <definedName name="OSRRefT22_0x_0" localSheetId="93">'444'!$T$25:$T$33</definedName>
    <definedName name="OSRRefT22_0x_0" localSheetId="94">'450'!$T$25:$T$33</definedName>
    <definedName name="OSRRefT22_0x_0" localSheetId="88">'455'!$T$20:$T$26</definedName>
    <definedName name="OSRRefT22_0x_0" localSheetId="75">'491'!$T$31:$T$39</definedName>
    <definedName name="OSRRefT22_0x_0" localSheetId="89">'492'!$T$27:$T$35</definedName>
    <definedName name="OSRRefT22_0x_0" localSheetId="96">'501'!$T$21:$T$29</definedName>
    <definedName name="OSRRefT22_0x_0" localSheetId="39">'Div 2'!$T$20:$T$30</definedName>
    <definedName name="OSRRefT22_0x_0" localSheetId="47">'Div 3'!$T$168:$T$177</definedName>
    <definedName name="OSRRefT22_0x_0" localSheetId="73">'Div 4'!$T$32:$T$40</definedName>
    <definedName name="OSRRefT22_0x_0" localSheetId="95">'Div 5'!$T$21:$T$29</definedName>
    <definedName name="OSRRefT22_0x_0" localSheetId="64">'Div 6'!$T$58:$T$66</definedName>
    <definedName name="OSRRefT22_0x_0" localSheetId="2">Summary!$T$200:$T$209</definedName>
    <definedName name="OSRRefT22_10x_0" localSheetId="41">'201'!$T$51:$T$53</definedName>
    <definedName name="OSRRefT22_10x_0" localSheetId="42">'202'!$T$53</definedName>
    <definedName name="OSRRefT22_10x_0" localSheetId="43">'203'!$T$54:$T$55</definedName>
    <definedName name="OSRRefT22_10x_0" localSheetId="44">'204'!$T$56:$T$57</definedName>
    <definedName name="OSRRefT22_10x_0" localSheetId="48">'300'!$T$201:$T$202</definedName>
    <definedName name="OSRRefT22_10x_0" localSheetId="49">'300 &amp; 317'!$T$226:$T$227</definedName>
    <definedName name="OSRRefT22_10x_0" localSheetId="50">'301'!$T$58</definedName>
    <definedName name="OSRRefT22_10x_0" localSheetId="53">'307'!$T$107</definedName>
    <definedName name="OSRRefT22_10x_0" localSheetId="55">'308'!$T$102:$T$103</definedName>
    <definedName name="OSRRefT22_10x_0" localSheetId="67">'309'!$T$56:$T$58</definedName>
    <definedName name="OSRRefT22_10x_0" localSheetId="66">'310'!$T$64</definedName>
    <definedName name="OSRRefT22_10x_0" localSheetId="74">'310 &amp; 491'!$T$74:$T$75</definedName>
    <definedName name="OSRRefT22_10x_0" localSheetId="56">'311'!$T$101:$T$102</definedName>
    <definedName name="OSRRefT22_10x_0" localSheetId="68">'313'!$T$61:$T$65</definedName>
    <definedName name="OSRRefT22_10x_0" localSheetId="59">'315'!$T$121</definedName>
    <definedName name="OSRRefT22_10x_0" localSheetId="62">'316'!$T$67:$T$72</definedName>
    <definedName name="OSRRefT22_10x_0" localSheetId="65">'317'!$T$91:$T$93</definedName>
    <definedName name="OSRRefT22_10x_0" localSheetId="69">'321'!$T$62</definedName>
    <definedName name="OSRRefT22_10x_0" localSheetId="70">'322'!$T$57:$T$62</definedName>
    <definedName name="OSRRefT22_10x_0" localSheetId="71">'325'!$T$56</definedName>
    <definedName name="OSRRefT22_10x_0" localSheetId="60">'326'!$T$92</definedName>
    <definedName name="OSRRefT22_10x_0" localSheetId="52">'330'!$T$113</definedName>
    <definedName name="OSRRefT22_10x_0" localSheetId="58">'331'!$T$123</definedName>
    <definedName name="OSRRefT22_10x_0" localSheetId="61">'332'!$T$75</definedName>
    <definedName name="OSRRefT22_10x_0" localSheetId="76">'405'!$T$55:$T$56</definedName>
    <definedName name="OSRRefT22_10x_0" localSheetId="77">'406'!$T$57:$T$58</definedName>
    <definedName name="OSRRefT22_10x_0" localSheetId="78">'411'!$T$55</definedName>
    <definedName name="OSRRefT22_10x_0" localSheetId="79">'412'!$T$56:$T$57</definedName>
    <definedName name="OSRRefT22_10x_0" localSheetId="80">'413'!$T$63</definedName>
    <definedName name="OSRRefT22_10x_0" localSheetId="81">'414'!$T$56</definedName>
    <definedName name="OSRRefT22_10x_0" localSheetId="82">'415'!$T$56</definedName>
    <definedName name="OSRRefT22_10x_0" localSheetId="83">'418'!$T$57:$T$58</definedName>
    <definedName name="OSRRefT22_10x_0" localSheetId="86">'424'!$T$49</definedName>
    <definedName name="OSRRefT22_10x_0" localSheetId="87">'425'!$T$60</definedName>
    <definedName name="OSRRefT22_10x_0" localSheetId="91">'433'!$T$58</definedName>
    <definedName name="OSRRefT22_10x_0" localSheetId="93">'444'!$T$58</definedName>
    <definedName name="OSRRefT22_10x_0" localSheetId="94">'450'!$T$58</definedName>
    <definedName name="OSRRefT22_10x_0" localSheetId="75">'491'!$T$67</definedName>
    <definedName name="OSRRefT22_10x_0" localSheetId="89">'492'!$T$61</definedName>
    <definedName name="OSRRefT22_10x_0" localSheetId="96">'501'!$T$56</definedName>
    <definedName name="OSRRefT22_10x_0" localSheetId="39">'Div 2'!$T$57</definedName>
    <definedName name="OSRRefT22_10x_0" localSheetId="47">'Div 3'!$T$206:$T$207</definedName>
    <definedName name="OSRRefT22_10x_0" localSheetId="73">'Div 4'!$T$68</definedName>
    <definedName name="OSRRefT22_10x_0" localSheetId="95">'Div 5'!$T$56</definedName>
    <definedName name="OSRRefT22_10x_0" localSheetId="64">'Div 6'!$T$91:$T$93</definedName>
    <definedName name="OSRRefT22_10x_0" localSheetId="2">Summary!$T$239:$T$240</definedName>
    <definedName name="OSRRefT22_11x_0" localSheetId="41">'201'!$T$55</definedName>
    <definedName name="OSRRefT22_11x_0" localSheetId="42">'202'!$T$55:$T$57</definedName>
    <definedName name="OSRRefT22_11x_0" localSheetId="43">'203'!$T$57</definedName>
    <definedName name="OSRRefT22_11x_0" localSheetId="48">'300'!$T$204</definedName>
    <definedName name="OSRRefT22_11x_0" localSheetId="49">'300 &amp; 317'!$T$229</definedName>
    <definedName name="OSRRefT22_11x_0" localSheetId="50">'301'!$T$60</definedName>
    <definedName name="OSRRefT22_11x_0" localSheetId="53">'307'!$T$109</definedName>
    <definedName name="OSRRefT22_11x_0" localSheetId="55">'308'!$T$105:$T$107</definedName>
    <definedName name="OSRRefT22_11x_0" localSheetId="67">'309'!$T$60:$T$62</definedName>
    <definedName name="OSRRefT22_11x_0" localSheetId="66">'310'!$T$66</definedName>
    <definedName name="OSRRefT22_11x_0" localSheetId="74">'310 &amp; 491'!$T$77:$T$78</definedName>
    <definedName name="OSRRefT22_11x_0" localSheetId="56">'311'!$T$104:$T$106</definedName>
    <definedName name="OSRRefT22_11x_0" localSheetId="68">'313'!$T$67</definedName>
    <definedName name="OSRRefT22_11x_0" localSheetId="59">'315'!$T$123</definedName>
    <definedName name="OSRRefT22_11x_0" localSheetId="62">'316'!$T$74</definedName>
    <definedName name="OSRRefT22_11x_0" localSheetId="65">'317'!$T$95</definedName>
    <definedName name="OSRRefT22_11x_0" localSheetId="69">'321'!$T$64</definedName>
    <definedName name="OSRRefT22_11x_0" localSheetId="70">'322'!$T$64</definedName>
    <definedName name="OSRRefT22_11x_0" localSheetId="71">'325'!$T$58:$T$60</definedName>
    <definedName name="OSRRefT22_11x_0" localSheetId="60">'326'!$T$94</definedName>
    <definedName name="OSRRefT22_11x_0" localSheetId="52">'330'!$T$115:$T$118</definedName>
    <definedName name="OSRRefT22_11x_0" localSheetId="58">'331'!$T$125</definedName>
    <definedName name="OSRRefT22_11x_0" localSheetId="61">'332'!$T$77:$T$82</definedName>
    <definedName name="OSRRefT22_11x_0" localSheetId="76">'405'!$T$58</definedName>
    <definedName name="OSRRefT22_11x_0" localSheetId="77">'406'!$T$60:$T$64</definedName>
    <definedName name="OSRRefT22_11x_0" localSheetId="78">'411'!$T$57</definedName>
    <definedName name="OSRRefT22_11x_0" localSheetId="79">'412'!$T$59:$T$64</definedName>
    <definedName name="OSRRefT22_11x_0" localSheetId="81">'414'!$T$58</definedName>
    <definedName name="OSRRefT22_11x_0" localSheetId="82">'415'!$T$58:$T$61</definedName>
    <definedName name="OSRRefT22_11x_0" localSheetId="83">'418'!$T$60:$T$62</definedName>
    <definedName name="OSRRefT22_11x_0" localSheetId="86">'424'!$T$51:$T$54</definedName>
    <definedName name="OSRRefT22_11x_0" localSheetId="87">'425'!$T$62:$T$63</definedName>
    <definedName name="OSRRefT22_11x_0" localSheetId="91">'433'!$T$60:$T$62</definedName>
    <definedName name="OSRRefT22_11x_0" localSheetId="93">'444'!$T$60:$T$62</definedName>
    <definedName name="OSRRefT22_11x_0" localSheetId="94">'450'!$T$60</definedName>
    <definedName name="OSRRefT22_11x_0" localSheetId="75">'491'!$T$69:$T$70</definedName>
    <definedName name="OSRRefT22_11x_0" localSheetId="89">'492'!$T$63</definedName>
    <definedName name="OSRRefT22_11x_0" localSheetId="96">'501'!$T$58:$T$60</definedName>
    <definedName name="OSRRefT22_11x_0" localSheetId="39">'Div 2'!$T$59</definedName>
    <definedName name="OSRRefT22_11x_0" localSheetId="47">'Div 3'!$T$209</definedName>
    <definedName name="OSRRefT22_11x_0" localSheetId="73">'Div 4'!$T$70:$T$71</definedName>
    <definedName name="OSRRefT22_11x_0" localSheetId="95">'Div 5'!$T$58:$T$60</definedName>
    <definedName name="OSRRefT22_11x_0" localSheetId="64">'Div 6'!$T$95</definedName>
    <definedName name="OSRRefT22_11x_0" localSheetId="2">Summary!$T$242:$T$243</definedName>
    <definedName name="OSRRefT22_12x_0" localSheetId="41">'201'!$T$57:$T$60</definedName>
    <definedName name="OSRRefT22_12x_0" localSheetId="42">'202'!$T$59</definedName>
    <definedName name="OSRRefT22_12x_0" localSheetId="43">'203'!$T$59:$T$62</definedName>
    <definedName name="OSRRefT22_12x_0" localSheetId="48">'300'!$T$206</definedName>
    <definedName name="OSRRefT22_12x_0" localSheetId="49">'300 &amp; 317'!$T$231</definedName>
    <definedName name="OSRRefT22_12x_0" localSheetId="50">'301'!$T$62</definedName>
    <definedName name="OSRRefT22_12x_0" localSheetId="55">'308'!$T$109:$T$110</definedName>
    <definedName name="OSRRefT22_12x_0" localSheetId="67">'309'!$T$64</definedName>
    <definedName name="OSRRefT22_12x_0" localSheetId="66">'310'!$T$68</definedName>
    <definedName name="OSRRefT22_12x_0" localSheetId="74">'310 &amp; 491'!$T$80</definedName>
    <definedName name="OSRRefT22_12x_0" localSheetId="56">'311'!$T$108:$T$109</definedName>
    <definedName name="OSRRefT22_12x_0" localSheetId="68">'313'!$T$69</definedName>
    <definedName name="OSRRefT22_12x_0" localSheetId="59">'315'!$T$125:$T$126</definedName>
    <definedName name="OSRRefT22_12x_0" localSheetId="62">'316'!$T$76</definedName>
    <definedName name="OSRRefT22_12x_0" localSheetId="65">'317'!$T$97</definedName>
    <definedName name="OSRRefT22_12x_0" localSheetId="70">'322'!$T$66</definedName>
    <definedName name="OSRRefT22_12x_0" localSheetId="71">'325'!$T$62:$T$64</definedName>
    <definedName name="OSRRefT22_12x_0" localSheetId="60">'326'!$T$96:$T$97</definedName>
    <definedName name="OSRRefT22_12x_0" localSheetId="52">'330'!$T$120</definedName>
    <definedName name="OSRRefT22_12x_0" localSheetId="58">'331'!$T$127</definedName>
    <definedName name="OSRRefT22_12x_0" localSheetId="61">'332'!$T$84</definedName>
    <definedName name="OSRRefT22_12x_0" localSheetId="76">'405'!$T$60:$T$62</definedName>
    <definedName name="OSRRefT22_12x_0" localSheetId="77">'406'!$T$66</definedName>
    <definedName name="OSRRefT22_12x_0" localSheetId="78">'411'!$T$59:$T$60</definedName>
    <definedName name="OSRRefT22_12x_0" localSheetId="79">'412'!$T$66</definedName>
    <definedName name="OSRRefT22_12x_0" localSheetId="81">'414'!$T$60</definedName>
    <definedName name="OSRRefT22_12x_0" localSheetId="82">'415'!$T$63:$T$67</definedName>
    <definedName name="OSRRefT22_12x_0" localSheetId="83">'418'!$T$64:$T$66</definedName>
    <definedName name="OSRRefT22_12x_0" localSheetId="86">'424'!$T$56</definedName>
    <definedName name="OSRRefT22_12x_0" localSheetId="87">'425'!$T$65:$T$71</definedName>
    <definedName name="OSRRefT22_12x_0" localSheetId="91">'433'!$T$64:$T$66</definedName>
    <definedName name="OSRRefT22_12x_0" localSheetId="93">'444'!$T$64:$T$67</definedName>
    <definedName name="OSRRefT22_12x_0" localSheetId="94">'450'!$T$62</definedName>
    <definedName name="OSRRefT22_12x_0" localSheetId="75">'491'!$T$72</definedName>
    <definedName name="OSRRefT22_12x_0" localSheetId="89">'492'!$T$65:$T$67</definedName>
    <definedName name="OSRRefT22_12x_0" localSheetId="96">'501'!$T$62</definedName>
    <definedName name="OSRRefT22_12x_0" localSheetId="39">'Div 2'!$T$61:$T$64</definedName>
    <definedName name="OSRRefT22_12x_0" localSheetId="47">'Div 3'!$T$211</definedName>
    <definedName name="OSRRefT22_12x_0" localSheetId="73">'Div 4'!$T$73</definedName>
    <definedName name="OSRRefT22_12x_0" localSheetId="95">'Div 5'!$T$62</definedName>
    <definedName name="OSRRefT22_12x_0" localSheetId="64">'Div 6'!$T$97</definedName>
    <definedName name="OSRRefT22_12x_0" localSheetId="2">Summary!$T$245</definedName>
    <definedName name="OSRRefT22_13x_0" localSheetId="41">'201'!$T$62</definedName>
    <definedName name="OSRRefT22_13x_0" localSheetId="42">'202'!$T$61</definedName>
    <definedName name="OSRRefT22_13x_0" localSheetId="43">'203'!$T$64</definedName>
    <definedName name="OSRRefT22_13x_0" localSheetId="48">'300'!$T$208</definedName>
    <definedName name="OSRRefT22_13x_0" localSheetId="49">'300 &amp; 317'!$T$233</definedName>
    <definedName name="OSRRefT22_13x_0" localSheetId="50">'301'!$T$64</definedName>
    <definedName name="OSRRefT22_13x_0" localSheetId="55">'308'!$T$112</definedName>
    <definedName name="OSRRefT22_13x_0" localSheetId="66">'310'!$T$70</definedName>
    <definedName name="OSRRefT22_13x_0" localSheetId="74">'310 &amp; 491'!$T$82</definedName>
    <definedName name="OSRRefT22_13x_0" localSheetId="56">'311'!$T$111</definedName>
    <definedName name="OSRRefT22_13x_0" localSheetId="62">'316'!$T$78</definedName>
    <definedName name="OSRRefT22_13x_0" localSheetId="65">'317'!$T$99</definedName>
    <definedName name="OSRRefT22_13x_0" localSheetId="71">'325'!$T$66</definedName>
    <definedName name="OSRRefT22_13x_0" localSheetId="60">'326'!$T$99:$T$101</definedName>
    <definedName name="OSRRefT22_13x_0" localSheetId="52">'330'!$T$122</definedName>
    <definedName name="OSRRefT22_13x_0" localSheetId="58">'331'!$T$129:$T$130</definedName>
    <definedName name="OSRRefT22_13x_0" localSheetId="61">'332'!$T$86</definedName>
    <definedName name="OSRRefT22_13x_0" localSheetId="76">'405'!$T$64:$T$65</definedName>
    <definedName name="OSRRefT22_13x_0" localSheetId="77">'406'!$T$68</definedName>
    <definedName name="OSRRefT22_13x_0" localSheetId="78">'411'!$T$62:$T$66</definedName>
    <definedName name="OSRRefT22_13x_0" localSheetId="79">'412'!$T$68</definedName>
    <definedName name="OSRRefT22_13x_0" localSheetId="81">'414'!$T$62:$T$68</definedName>
    <definedName name="OSRRefT22_13x_0" localSheetId="82">'415'!$T$69:$T$70</definedName>
    <definedName name="OSRRefT22_13x_0" localSheetId="83">'418'!$T$68:$T$69</definedName>
    <definedName name="OSRRefT22_13x_0" localSheetId="87">'425'!$T$73</definedName>
    <definedName name="OSRRefT22_13x_0" localSheetId="91">'433'!$T$68:$T$75</definedName>
    <definedName name="OSRRefT22_13x_0" localSheetId="93">'444'!$T$69</definedName>
    <definedName name="OSRRefT22_13x_0" localSheetId="94">'450'!$T$64:$T$66</definedName>
    <definedName name="OSRRefT22_13x_0" localSheetId="75">'491'!$T$74</definedName>
    <definedName name="OSRRefT22_13x_0" localSheetId="89">'492'!$T$69:$T$72</definedName>
    <definedName name="OSRRefT22_13x_0" localSheetId="39">'Div 2'!$T$66:$T$68</definedName>
    <definedName name="OSRRefT22_13x_0" localSheetId="47">'Div 3'!$T$213</definedName>
    <definedName name="OSRRefT22_13x_0" localSheetId="73">'Div 4'!$T$75</definedName>
    <definedName name="OSRRefT22_13x_0" localSheetId="64">'Div 6'!$T$99</definedName>
    <definedName name="OSRRefT22_13x_0" localSheetId="2">Summary!$T$247</definedName>
    <definedName name="OSRRefT22_14x_0" localSheetId="41">'201'!$T$64</definedName>
    <definedName name="OSRRefT22_14x_0" localSheetId="42">'202'!$T$63</definedName>
    <definedName name="OSRRefT22_14x_0" localSheetId="43">'203'!$T$66</definedName>
    <definedName name="OSRRefT22_14x_0" localSheetId="48">'300'!$T$210</definedName>
    <definedName name="OSRRefT22_14x_0" localSheetId="49">'300 &amp; 317'!$T$235</definedName>
    <definedName name="OSRRefT22_14x_0" localSheetId="50">'301'!$T$66</definedName>
    <definedName name="OSRRefT22_14x_0" localSheetId="55">'308'!$T$114</definedName>
    <definedName name="OSRRefT22_14x_0" localSheetId="66">'310'!$T$72:$T$74</definedName>
    <definedName name="OSRRefT22_14x_0" localSheetId="74">'310 &amp; 491'!$T$84</definedName>
    <definedName name="OSRRefT22_14x_0" localSheetId="56">'311'!$T$113</definedName>
    <definedName name="OSRRefT22_14x_0" localSheetId="71">'325'!$T$68:$T$72</definedName>
    <definedName name="OSRRefT22_14x_0" localSheetId="60">'326'!$T$103:$T$104</definedName>
    <definedName name="OSRRefT22_14x_0" localSheetId="52">'330'!$T$124</definedName>
    <definedName name="OSRRefT22_14x_0" localSheetId="58">'331'!$T$132:$T$133</definedName>
    <definedName name="OSRRefT22_14x_0" localSheetId="61">'332'!$T$88</definedName>
    <definedName name="OSRRefT22_14x_0" localSheetId="76">'405'!$T$67:$T$73</definedName>
    <definedName name="OSRRefT22_14x_0" localSheetId="78">'411'!$T$68</definedName>
    <definedName name="OSRRefT22_14x_0" localSheetId="81">'414'!$T$70</definedName>
    <definedName name="OSRRefT22_14x_0" localSheetId="82">'415'!$T$72:$T$79</definedName>
    <definedName name="OSRRefT22_14x_0" localSheetId="83">'418'!$T$71:$T$77</definedName>
    <definedName name="OSRRefT22_14x_0" localSheetId="87">'425'!$T$75</definedName>
    <definedName name="OSRRefT22_14x_0" localSheetId="91">'433'!$T$77</definedName>
    <definedName name="OSRRefT22_14x_0" localSheetId="93">'444'!$T$71:$T$79</definedName>
    <definedName name="OSRRefT22_14x_0" localSheetId="94">'450'!$T$68:$T$73</definedName>
    <definedName name="OSRRefT22_14x_0" localSheetId="75">'491'!$T$76</definedName>
    <definedName name="OSRRefT22_14x_0" localSheetId="89">'492'!$T$74</definedName>
    <definedName name="OSRRefT22_14x_0" localSheetId="39">'Div 2'!$T$70:$T$71</definedName>
    <definedName name="OSRRefT22_14x_0" localSheetId="47">'Div 3'!$T$215</definedName>
    <definedName name="OSRRefT22_14x_0" localSheetId="73">'Div 4'!$T$77</definedName>
    <definedName name="OSRRefT22_14x_0" localSheetId="2">Summary!$T$249</definedName>
    <definedName name="OSRRefT22_15x_0" localSheetId="41">'201'!$T$66</definedName>
    <definedName name="OSRRefT22_15x_0" localSheetId="43">'203'!$T$68</definedName>
    <definedName name="OSRRefT22_15x_0" localSheetId="48">'300'!$T$212</definedName>
    <definedName name="OSRRefT22_15x_0" localSheetId="49">'300 &amp; 317'!$T$237</definedName>
    <definedName name="OSRRefT22_15x_0" localSheetId="50">'301'!$T$68:$T$71</definedName>
    <definedName name="OSRRefT22_15x_0" localSheetId="66">'310'!$T$76</definedName>
    <definedName name="OSRRefT22_15x_0" localSheetId="74">'310 &amp; 491'!$T$86</definedName>
    <definedName name="OSRRefT22_15x_0" localSheetId="71">'325'!$T$74</definedName>
    <definedName name="OSRRefT22_15x_0" localSheetId="60">'326'!$T$106:$T$111</definedName>
    <definedName name="OSRRefT22_15x_0" localSheetId="58">'331'!$T$135:$T$137</definedName>
    <definedName name="OSRRefT22_15x_0" localSheetId="76">'405'!$T$75</definedName>
    <definedName name="OSRRefT22_15x_0" localSheetId="78">'411'!$T$70:$T$76</definedName>
    <definedName name="OSRRefT22_15x_0" localSheetId="81">'414'!$T$72</definedName>
    <definedName name="OSRRefT22_15x_0" localSheetId="82">'415'!$T$81</definedName>
    <definedName name="OSRRefT22_15x_0" localSheetId="83">'418'!$T$79</definedName>
    <definedName name="OSRRefT22_15x_0" localSheetId="91">'433'!$T$79</definedName>
    <definedName name="OSRRefT22_15x_0" localSheetId="93">'444'!$T$81</definedName>
    <definedName name="OSRRefT22_15x_0" localSheetId="94">'450'!$T$75</definedName>
    <definedName name="OSRRefT22_15x_0" localSheetId="75">'491'!$T$78</definedName>
    <definedName name="OSRRefT22_15x_0" localSheetId="89">'492'!$T$76:$T$84</definedName>
    <definedName name="OSRRefT22_15x_0" localSheetId="39">'Div 2'!$T$73</definedName>
    <definedName name="OSRRefT22_15x_0" localSheetId="47">'Div 3'!$T$217</definedName>
    <definedName name="OSRRefT22_15x_0" localSheetId="73">'Div 4'!$T$79</definedName>
    <definedName name="OSRRefT22_15x_0" localSheetId="2">Summary!$T$251</definedName>
    <definedName name="OSRRefT22_16x_0" localSheetId="48">'300'!$T$214:$T$217</definedName>
    <definedName name="OSRRefT22_16x_0" localSheetId="49">'300 &amp; 317'!$T$239:$T$242</definedName>
    <definedName name="OSRRefT22_16x_0" localSheetId="50">'301'!$T$73:$T$75</definedName>
    <definedName name="OSRRefT22_16x_0" localSheetId="66">'310'!$T$78:$T$81</definedName>
    <definedName name="OSRRefT22_16x_0" localSheetId="74">'310 &amp; 491'!$T$88:$T$91</definedName>
    <definedName name="OSRRefT22_16x_0" localSheetId="71">'325'!$T$76</definedName>
    <definedName name="OSRRefT22_16x_0" localSheetId="60">'326'!$T$113</definedName>
    <definedName name="OSRRefT22_16x_0" localSheetId="58">'331'!$T$139:$T$140</definedName>
    <definedName name="OSRRefT22_16x_0" localSheetId="76">'405'!$T$77</definedName>
    <definedName name="OSRRefT22_16x_0" localSheetId="78">'411'!$T$78</definedName>
    <definedName name="OSRRefT22_16x_0" localSheetId="82">'415'!$T$83</definedName>
    <definedName name="OSRRefT22_16x_0" localSheetId="83">'418'!$T$81</definedName>
    <definedName name="OSRRefT22_16x_0" localSheetId="91">'433'!$T$81</definedName>
    <definedName name="OSRRefT22_16x_0" localSheetId="93">'444'!$T$83</definedName>
    <definedName name="OSRRefT22_16x_0" localSheetId="94">'450'!$T$77</definedName>
    <definedName name="OSRRefT22_16x_0" localSheetId="75">'491'!$T$80:$T$83</definedName>
    <definedName name="OSRRefT22_16x_0" localSheetId="89">'492'!$T$86</definedName>
    <definedName name="OSRRefT22_16x_0" localSheetId="39">'Div 2'!$T$75:$T$79</definedName>
    <definedName name="OSRRefT22_16x_0" localSheetId="47">'Div 3'!$T$219</definedName>
    <definedName name="OSRRefT22_16x_0" localSheetId="73">'Div 4'!$T$81</definedName>
    <definedName name="OSRRefT22_16x_0" localSheetId="2">Summary!$T$253</definedName>
    <definedName name="OSRRefT22_17x_0" localSheetId="48">'300'!$T$219:$T$221</definedName>
    <definedName name="OSRRefT22_17x_0" localSheetId="49">'300 &amp; 317'!$T$244:$T$246</definedName>
    <definedName name="OSRRefT22_17x_0" localSheetId="50">'301'!$T$77</definedName>
    <definedName name="OSRRefT22_17x_0" localSheetId="66">'310'!$T$83</definedName>
    <definedName name="OSRRefT22_17x_0" localSheetId="74">'310 &amp; 491'!$T$93:$T$94</definedName>
    <definedName name="OSRRefT22_17x_0" localSheetId="60">'326'!$T$115</definedName>
    <definedName name="OSRRefT22_17x_0" localSheetId="58">'331'!$T$142:$T$147</definedName>
    <definedName name="OSRRefT22_17x_0" localSheetId="76">'405'!$T$79</definedName>
    <definedName name="OSRRefT22_17x_0" localSheetId="78">'411'!$T$80</definedName>
    <definedName name="OSRRefT22_17x_0" localSheetId="82">'415'!$T$85</definedName>
    <definedName name="OSRRefT22_17x_0" localSheetId="93">'444'!$T$85</definedName>
    <definedName name="OSRRefT22_17x_0" localSheetId="94">'450'!$T$79</definedName>
    <definedName name="OSRRefT22_17x_0" localSheetId="75">'491'!$T$85:$T$86</definedName>
    <definedName name="OSRRefT22_17x_0" localSheetId="89">'492'!$T$88</definedName>
    <definedName name="OSRRefT22_17x_0" localSheetId="39">'Div 2'!$T$81:$T$82</definedName>
    <definedName name="OSRRefT22_17x_0" localSheetId="47">'Div 3'!$T$221:$T$224</definedName>
    <definedName name="OSRRefT22_17x_0" localSheetId="73">'Div 4'!$T$83:$T$86</definedName>
    <definedName name="OSRRefT22_17x_0" localSheetId="2">Summary!$T$255</definedName>
    <definedName name="OSRRefT22_18x_0" localSheetId="48">'300'!$T$223:$T$226</definedName>
    <definedName name="OSRRefT22_18x_0" localSheetId="49">'300 &amp; 317'!$T$248:$T$251</definedName>
    <definedName name="OSRRefT22_18x_0" localSheetId="50">'301'!$T$79:$T$84</definedName>
    <definedName name="OSRRefT22_18x_0" localSheetId="66">'310'!$T$85:$T$92</definedName>
    <definedName name="OSRRefT22_18x_0" localSheetId="74">'310 &amp; 491'!$T$96:$T$100</definedName>
    <definedName name="OSRRefT22_18x_0" localSheetId="60">'326'!$T$117</definedName>
    <definedName name="OSRRefT22_18x_0" localSheetId="58">'331'!$T$149</definedName>
    <definedName name="OSRRefT22_18x_0" localSheetId="78">'411'!$T$82:$T$84</definedName>
    <definedName name="OSRRefT22_18x_0" localSheetId="75">'491'!$T$88:$T$92</definedName>
    <definedName name="OSRRefT22_18x_0" localSheetId="89">'492'!$T$90</definedName>
    <definedName name="OSRRefT22_18x_0" localSheetId="39">'Div 2'!$T$84</definedName>
    <definedName name="OSRRefT22_18x_0" localSheetId="47">'Div 3'!$T$226:$T$228</definedName>
    <definedName name="OSRRefT22_18x_0" localSheetId="73">'Div 4'!$T$88:$T$89</definedName>
    <definedName name="OSRRefT22_18x_0" localSheetId="2">Summary!$T$257:$T$260</definedName>
    <definedName name="OSRRefT22_19x_0" localSheetId="48">'300'!$T$228:$T$229</definedName>
    <definedName name="OSRRefT22_19x_0" localSheetId="49">'300 &amp; 317'!$T$253:$T$254</definedName>
    <definedName name="OSRRefT22_19x_0" localSheetId="50">'301'!$T$86</definedName>
    <definedName name="OSRRefT22_19x_0" localSheetId="66">'310'!$T$94</definedName>
    <definedName name="OSRRefT22_19x_0" localSheetId="74">'310 &amp; 491'!$T$102:$T$103</definedName>
    <definedName name="OSRRefT22_19x_0" localSheetId="58">'331'!$T$151</definedName>
    <definedName name="OSRRefT22_19x_0" localSheetId="78">'411'!$T$86</definedName>
    <definedName name="OSRRefT22_19x_0" localSheetId="75">'491'!$T$94:$T$95</definedName>
    <definedName name="OSRRefT22_19x_0" localSheetId="39">'Div 2'!$T$86:$T$87</definedName>
    <definedName name="OSRRefT22_19x_0" localSheetId="47">'Div 3'!$T$230:$T$234</definedName>
    <definedName name="OSRRefT22_19x_0" localSheetId="73">'Div 4'!$T$91:$T$95</definedName>
    <definedName name="OSRRefT22_19x_0" localSheetId="2">Summary!$T$262:$T$264</definedName>
    <definedName name="OSRRefT22_1x_0" localSheetId="40">'200'!$T$22</definedName>
    <definedName name="OSRRefT22_1x_0" localSheetId="41">'201'!$T$29:$T$31</definedName>
    <definedName name="OSRRefT22_1x_0" localSheetId="42">'202'!$T$29:$T$32</definedName>
    <definedName name="OSRRefT22_1x_0" localSheetId="43">'203'!$T$31:$T$35</definedName>
    <definedName name="OSRRefT22_1x_0" localSheetId="44">'204'!$T$31:$T$35</definedName>
    <definedName name="OSRRefT22_1x_0" localSheetId="45">'205'!$T$29</definedName>
    <definedName name="OSRRefT22_1x_0" localSheetId="46">'206'!$T$29:$T$32</definedName>
    <definedName name="OSRRefT22_1x_0" localSheetId="48">'300'!$T$174:$T$180</definedName>
    <definedName name="OSRRefT22_1x_0" localSheetId="49">'300 &amp; 317'!$T$199:$T$205</definedName>
    <definedName name="OSRRefT22_1x_0" localSheetId="50">'301'!$T$31:$T$37</definedName>
    <definedName name="OSRRefT22_1x_0" localSheetId="51">'306'!$T$30:$T$35</definedName>
    <definedName name="OSRRefT22_1x_0" localSheetId="53">'307'!$T$80:$T$83</definedName>
    <definedName name="OSRRefT22_1x_0" localSheetId="55">'308'!$T$75:$T$81</definedName>
    <definedName name="OSRRefT22_1x_0" localSheetId="67">'309'!$T$33:$T$37</definedName>
    <definedName name="OSRRefT22_1x_0" localSheetId="66">'310'!$T$40:$T$45</definedName>
    <definedName name="OSRRefT22_1x_0" localSheetId="74">'310 &amp; 491'!$T$48:$T$54</definedName>
    <definedName name="OSRRefT22_1x_0" localSheetId="56">'311'!$T$74:$T$80</definedName>
    <definedName name="OSRRefT22_1x_0" localSheetId="68">'313'!$T$37:$T$41</definedName>
    <definedName name="OSRRefT22_1x_0" localSheetId="54">'314'!$T$64:$T$66</definedName>
    <definedName name="OSRRefT22_1x_0" localSheetId="59">'315'!$T$90:$T$95</definedName>
    <definedName name="OSRRefT22_1x_0" localSheetId="62">'316'!$T$43:$T$46</definedName>
    <definedName name="OSRRefT22_1x_0" localSheetId="65">'317'!$T$68:$T$72</definedName>
    <definedName name="OSRRefT22_1x_0" localSheetId="63">'320'!$T$36:$T$38</definedName>
    <definedName name="OSRRefT22_1x_0" localSheetId="69">'321'!$T$33:$T$37</definedName>
    <definedName name="OSRRefT22_1x_0" localSheetId="70">'322'!$T$33:$T$36</definedName>
    <definedName name="OSRRefT22_1x_0" localSheetId="71">'325'!$T$33:$T$37</definedName>
    <definedName name="OSRRefT22_1x_0" localSheetId="60">'326'!$T$70:$T$74</definedName>
    <definedName name="OSRRefT22_1x_0" localSheetId="72">'327'!$T$24</definedName>
    <definedName name="OSRRefT22_1x_0" localSheetId="52">'330'!$T$88:$T$92</definedName>
    <definedName name="OSRRefT22_1x_0" localSheetId="58">'331'!$T$98:$T$103</definedName>
    <definedName name="OSRRefT22_1x_0" localSheetId="61">'332'!$T$51:$T$54</definedName>
    <definedName name="OSRRefT22_1x_0" localSheetId="76">'405'!$T$33:$T$36</definedName>
    <definedName name="OSRRefT22_1x_0" localSheetId="77">'406'!$T$33:$T$37</definedName>
    <definedName name="OSRRefT22_1x_0" localSheetId="78">'411'!$T$30:$T$35</definedName>
    <definedName name="OSRRefT22_1x_0" localSheetId="79">'412'!$T$32:$T$37</definedName>
    <definedName name="OSRRefT22_1x_0" localSheetId="80">'413'!$T$33:$T$36</definedName>
    <definedName name="OSRRefT22_1x_0" localSheetId="81">'414'!$T$33:$T$37</definedName>
    <definedName name="OSRRefT22_1x_0" localSheetId="82">'415'!$T$33:$T$37</definedName>
    <definedName name="OSRRefT22_1x_0" localSheetId="83">'418'!$T$33:$T$38</definedName>
    <definedName name="OSRRefT22_1x_0" localSheetId="84">'420'!$T$32:$T$35</definedName>
    <definedName name="OSRRefT22_1x_0" localSheetId="85">'423'!$T$30</definedName>
    <definedName name="OSRRefT22_1x_0" localSheetId="86">'424'!$T$26:$T$30</definedName>
    <definedName name="OSRRefT22_1x_0" localSheetId="87">'425'!$T$35:$T$40</definedName>
    <definedName name="OSRRefT22_1x_0" localSheetId="90">'430'!$T$29</definedName>
    <definedName name="OSRRefT22_1x_0" localSheetId="91">'433'!$T$35:$T$40</definedName>
    <definedName name="OSRRefT22_1x_0" localSheetId="92">'435'!$T$29:$T$31</definedName>
    <definedName name="OSRRefT22_1x_0" localSheetId="93">'444'!$T$35:$T$40</definedName>
    <definedName name="OSRRefT22_1x_0" localSheetId="94">'450'!$T$35:$T$40</definedName>
    <definedName name="OSRRefT22_1x_0" localSheetId="88">'455'!$T$28:$T$29</definedName>
    <definedName name="OSRRefT22_1x_0" localSheetId="75">'491'!$T$41:$T$47</definedName>
    <definedName name="OSRRefT22_1x_0" localSheetId="89">'492'!$T$37:$T$43</definedName>
    <definedName name="OSRRefT22_1x_0" localSheetId="96">'501'!$T$31:$T$35</definedName>
    <definedName name="OSRRefT22_1x_0" localSheetId="39">'Div 2'!$T$32:$T$38</definedName>
    <definedName name="OSRRefT22_1x_0" localSheetId="47">'Div 3'!$T$179:$T$185</definedName>
    <definedName name="OSRRefT22_1x_0" localSheetId="73">'Div 4'!$T$42:$T$48</definedName>
    <definedName name="OSRRefT22_1x_0" localSheetId="95">'Div 5'!$T$31:$T$35</definedName>
    <definedName name="OSRRefT22_1x_0" localSheetId="64">'Div 6'!$T$68:$T$72</definedName>
    <definedName name="OSRRefT22_1x_0" localSheetId="2">Summary!$T$211:$T$217</definedName>
    <definedName name="OSRRefT22_20x_0" localSheetId="48">'300'!$T$231:$T$237</definedName>
    <definedName name="OSRRefT22_20x_0" localSheetId="49">'300 &amp; 317'!$T$256:$T$262</definedName>
    <definedName name="OSRRefT22_20x_0" localSheetId="50">'301'!$T$88</definedName>
    <definedName name="OSRRefT22_20x_0" localSheetId="66">'310'!$T$96</definedName>
    <definedName name="OSRRefT22_20x_0" localSheetId="74">'310 &amp; 491'!$T$105:$T$113</definedName>
    <definedName name="OSRRefT22_20x_0" localSheetId="58">'331'!$T$153:$T$154</definedName>
    <definedName name="OSRRefT22_20x_0" localSheetId="75">'491'!$T$97:$T$105</definedName>
    <definedName name="OSRRefT22_20x_0" localSheetId="47">'Div 3'!$T$236:$T$237</definedName>
    <definedName name="OSRRefT22_20x_0" localSheetId="73">'Div 4'!$T$97:$T$98</definedName>
    <definedName name="OSRRefT22_20x_0" localSheetId="2">Summary!$T$266:$T$270</definedName>
    <definedName name="OSRRefT22_21x_0" localSheetId="48">'300'!$T$239:$T$240</definedName>
    <definedName name="OSRRefT22_21x_0" localSheetId="49">'300 &amp; 317'!$T$264:$T$265</definedName>
    <definedName name="OSRRefT22_21x_0" localSheetId="50">'301'!$T$90:$T$92</definedName>
    <definedName name="OSRRefT22_21x_0" localSheetId="66">'310'!$T$98</definedName>
    <definedName name="OSRRefT22_21x_0" localSheetId="74">'310 &amp; 491'!$T$115</definedName>
    <definedName name="OSRRefT22_21x_0" localSheetId="58">'331'!$T$156</definedName>
    <definedName name="OSRRefT22_21x_0" localSheetId="75">'491'!$T$107</definedName>
    <definedName name="OSRRefT22_21x_0" localSheetId="47">'Div 3'!$T$239:$T$246</definedName>
    <definedName name="OSRRefT22_21x_0" localSheetId="73">'Div 4'!$T$100:$T$108</definedName>
    <definedName name="OSRRefT22_21x_0" localSheetId="2">Summary!$T$272:$T$273</definedName>
    <definedName name="OSRRefT22_22x_0" localSheetId="48">'300'!$T$242</definedName>
    <definedName name="OSRRefT22_22x_0" localSheetId="49">'300 &amp; 317'!$T$267</definedName>
    <definedName name="OSRRefT22_22x_0" localSheetId="50">'301'!$T$94</definedName>
    <definedName name="OSRRefT22_22x_0" localSheetId="74">'310 &amp; 491'!$T$117</definedName>
    <definedName name="OSRRefT22_22x_0" localSheetId="75">'491'!$T$109</definedName>
    <definedName name="OSRRefT22_22x_0" localSheetId="47">'Div 3'!$T$248:$T$249</definedName>
    <definedName name="OSRRefT22_22x_0" localSheetId="73">'Div 4'!$T$110</definedName>
    <definedName name="OSRRefT22_22x_0" localSheetId="2">Summary!$T$275:$T$283</definedName>
    <definedName name="OSRRefT22_23x_0" localSheetId="48">'300'!$T$244:$T$246</definedName>
    <definedName name="OSRRefT22_23x_0" localSheetId="49">'300 &amp; 317'!$T$269:$T$271</definedName>
    <definedName name="OSRRefT22_23x_0" localSheetId="74">'310 &amp; 491'!$T$119:$T$121</definedName>
    <definedName name="OSRRefT22_23x_0" localSheetId="75">'491'!$T$111:$T$113</definedName>
    <definedName name="OSRRefT22_23x_0" localSheetId="47">'Div 3'!$T$251</definedName>
    <definedName name="OSRRefT22_23x_0" localSheetId="73">'Div 4'!$T$112</definedName>
    <definedName name="OSRRefT22_23x_0" localSheetId="2">Summary!$T$285:$T$286</definedName>
    <definedName name="OSRRefT22_24x_0" localSheetId="48">'300'!$T$248</definedName>
    <definedName name="OSRRefT22_24x_0" localSheetId="49">'300 &amp; 317'!$T$273</definedName>
    <definedName name="OSRRefT22_24x_0" localSheetId="74">'310 &amp; 491'!$T$123</definedName>
    <definedName name="OSRRefT22_24x_0" localSheetId="75">'491'!$T$115</definedName>
    <definedName name="OSRRefT22_24x_0" localSheetId="47">'Div 3'!$T$253:$T$255</definedName>
    <definedName name="OSRRefT22_24x_0" localSheetId="73">'Div 4'!$T$114:$T$116</definedName>
    <definedName name="OSRRefT22_24x_0" localSheetId="2">Summary!$T$288</definedName>
    <definedName name="OSRRefT22_25x_0" localSheetId="47">'Div 3'!$T$257</definedName>
    <definedName name="OSRRefT22_25x_0" localSheetId="73">'Div 4'!$T$118</definedName>
    <definedName name="OSRRefT22_25x_0" localSheetId="2">Summary!$T$290:$T$292</definedName>
    <definedName name="OSRRefT22_26x_0" localSheetId="2">Summary!$T$294</definedName>
    <definedName name="OSRRefT22_2x_0" localSheetId="40">'200'!$T$24</definedName>
    <definedName name="OSRRefT22_2x_0" localSheetId="41">'201'!$T$33</definedName>
    <definedName name="OSRRefT22_2x_0" localSheetId="42">'202'!$T$34</definedName>
    <definedName name="OSRRefT22_2x_0" localSheetId="43">'203'!$T$37</definedName>
    <definedName name="OSRRefT22_2x_0" localSheetId="44">'204'!$T$37</definedName>
    <definedName name="OSRRefT22_2x_0" localSheetId="45">'205'!$T$31</definedName>
    <definedName name="OSRRefT22_2x_0" localSheetId="46">'206'!$T$34</definedName>
    <definedName name="OSRRefT22_2x_0" localSheetId="48">'300'!$T$182</definedName>
    <definedName name="OSRRefT22_2x_0" localSheetId="49">'300 &amp; 317'!$T$207</definedName>
    <definedName name="OSRRefT22_2x_0" localSheetId="50">'301'!$T$39</definedName>
    <definedName name="OSRRefT22_2x_0" localSheetId="51">'306'!$T$37</definedName>
    <definedName name="OSRRefT22_2x_0" localSheetId="53">'307'!$T$85</definedName>
    <definedName name="OSRRefT22_2x_0" localSheetId="55">'308'!$T$83</definedName>
    <definedName name="OSRRefT22_2x_0" localSheetId="67">'309'!$T$39</definedName>
    <definedName name="OSRRefT22_2x_0" localSheetId="66">'310'!$T$47</definedName>
    <definedName name="OSRRefT22_2x_0" localSheetId="74">'310 &amp; 491'!$T$56</definedName>
    <definedName name="OSRRefT22_2x_0" localSheetId="56">'311'!$T$82</definedName>
    <definedName name="OSRRefT22_2x_0" localSheetId="68">'313'!$T$43</definedName>
    <definedName name="OSRRefT22_2x_0" localSheetId="54">'314'!$T$68</definedName>
    <definedName name="OSRRefT22_2x_0" localSheetId="59">'315'!$T$97</definedName>
    <definedName name="OSRRefT22_2x_0" localSheetId="62">'316'!$T$48</definedName>
    <definedName name="OSRRefT22_2x_0" localSheetId="65">'317'!$T$74</definedName>
    <definedName name="OSRRefT22_2x_0" localSheetId="63">'320'!$T$40</definedName>
    <definedName name="OSRRefT22_2x_0" localSheetId="69">'321'!$T$39</definedName>
    <definedName name="OSRRefT22_2x_0" localSheetId="70">'322'!$T$38</definedName>
    <definedName name="OSRRefT22_2x_0" localSheetId="71">'325'!$T$39</definedName>
    <definedName name="OSRRefT22_2x_0" localSheetId="60">'326'!$T$76</definedName>
    <definedName name="OSRRefT22_2x_0" localSheetId="72">'327'!$T$26</definedName>
    <definedName name="OSRRefT22_2x_0" localSheetId="52">'330'!$T$94</definedName>
    <definedName name="OSRRefT22_2x_0" localSheetId="58">'331'!$T$105</definedName>
    <definedName name="OSRRefT22_2x_0" localSheetId="61">'332'!$T$56</definedName>
    <definedName name="OSRRefT22_2x_0" localSheetId="76">'405'!$T$38</definedName>
    <definedName name="OSRRefT22_2x_0" localSheetId="77">'406'!$T$39</definedName>
    <definedName name="OSRRefT22_2x_0" localSheetId="78">'411'!$T$37</definedName>
    <definedName name="OSRRefT22_2x_0" localSheetId="79">'412'!$T$39</definedName>
    <definedName name="OSRRefT22_2x_0" localSheetId="80">'413'!$T$38</definedName>
    <definedName name="OSRRefT22_2x_0" localSheetId="81">'414'!$T$39</definedName>
    <definedName name="OSRRefT22_2x_0" localSheetId="82">'415'!$T$39</definedName>
    <definedName name="OSRRefT22_2x_0" localSheetId="83">'418'!$T$40</definedName>
    <definedName name="OSRRefT22_2x_0" localSheetId="84">'420'!$T$37</definedName>
    <definedName name="OSRRefT22_2x_0" localSheetId="85">'423'!$T$32</definedName>
    <definedName name="OSRRefT22_2x_0" localSheetId="86">'424'!$T$32</definedName>
    <definedName name="OSRRefT22_2x_0" localSheetId="87">'425'!$T$42</definedName>
    <definedName name="OSRRefT22_2x_0" localSheetId="90">'430'!$T$31</definedName>
    <definedName name="OSRRefT22_2x_0" localSheetId="91">'433'!$T$42</definedName>
    <definedName name="OSRRefT22_2x_0" localSheetId="92">'435'!$T$33</definedName>
    <definedName name="OSRRefT22_2x_0" localSheetId="93">'444'!$T$42</definedName>
    <definedName name="OSRRefT22_2x_0" localSheetId="94">'450'!$T$42</definedName>
    <definedName name="OSRRefT22_2x_0" localSheetId="75">'491'!$T$49</definedName>
    <definedName name="OSRRefT22_2x_0" localSheetId="89">'492'!$T$45</definedName>
    <definedName name="OSRRefT22_2x_0" localSheetId="96">'501'!$T$37</definedName>
    <definedName name="OSRRefT22_2x_0" localSheetId="39">'Div 2'!$T$40</definedName>
    <definedName name="OSRRefT22_2x_0" localSheetId="47">'Div 3'!$T$187</definedName>
    <definedName name="OSRRefT22_2x_0" localSheetId="73">'Div 4'!$T$50</definedName>
    <definedName name="OSRRefT22_2x_0" localSheetId="95">'Div 5'!$T$37</definedName>
    <definedName name="OSRRefT22_2x_0" localSheetId="64">'Div 6'!$T$74</definedName>
    <definedName name="OSRRefT22_2x_0" localSheetId="2">Summary!$T$219</definedName>
    <definedName name="OSRRefT22_3x_0" localSheetId="40">'200'!$T$26</definedName>
    <definedName name="OSRRefT22_3x_0" localSheetId="41">'201'!$T$35</definedName>
    <definedName name="OSRRefT22_3x_0" localSheetId="42">'202'!$T$36</definedName>
    <definedName name="OSRRefT22_3x_0" localSheetId="43">'203'!$T$39</definedName>
    <definedName name="OSRRefT22_3x_0" localSheetId="44">'204'!$T$39</definedName>
    <definedName name="OSRRefT22_3x_0" localSheetId="45">'205'!$T$33</definedName>
    <definedName name="OSRRefT22_3x_0" localSheetId="46">'206'!$T$36</definedName>
    <definedName name="OSRRefT22_3x_0" localSheetId="48">'300'!$T$184:$T$185</definedName>
    <definedName name="OSRRefT22_3x_0" localSheetId="49">'300 &amp; 317'!$T$209:$T$210</definedName>
    <definedName name="OSRRefT22_3x_0" localSheetId="50">'301'!$T$41:$T$42</definedName>
    <definedName name="OSRRefT22_3x_0" localSheetId="51">'306'!$T$39</definedName>
    <definedName name="OSRRefT22_3x_0" localSheetId="53">'307'!$T$87</definedName>
    <definedName name="OSRRefT22_3x_0" localSheetId="55">'308'!$T$85:$T$86</definedName>
    <definedName name="OSRRefT22_3x_0" localSheetId="67">'309'!$T$41</definedName>
    <definedName name="OSRRefT22_3x_0" localSheetId="66">'310'!$T$49</definedName>
    <definedName name="OSRRefT22_3x_0" localSheetId="74">'310 &amp; 491'!$T$58</definedName>
    <definedName name="OSRRefT22_3x_0" localSheetId="56">'311'!$T$84:$T$85</definedName>
    <definedName name="OSRRefT22_3x_0" localSheetId="68">'313'!$T$45</definedName>
    <definedName name="OSRRefT22_3x_0" localSheetId="54">'314'!$T$70:$T$71</definedName>
    <definedName name="OSRRefT22_3x_0" localSheetId="59">'315'!$T$99:$T$100</definedName>
    <definedName name="OSRRefT22_3x_0" localSheetId="62">'316'!$T$50</definedName>
    <definedName name="OSRRefT22_3x_0" localSheetId="65">'317'!$T$76</definedName>
    <definedName name="OSRRefT22_3x_0" localSheetId="63">'320'!$T$42</definedName>
    <definedName name="OSRRefT22_3x_0" localSheetId="69">'321'!$T$41</definedName>
    <definedName name="OSRRefT22_3x_0" localSheetId="70">'322'!$T$40</definedName>
    <definedName name="OSRRefT22_3x_0" localSheetId="71">'325'!$T$41</definedName>
    <definedName name="OSRRefT22_3x_0" localSheetId="60">'326'!$T$78</definedName>
    <definedName name="OSRRefT22_3x_0" localSheetId="52">'330'!$T$96</definedName>
    <definedName name="OSRRefT22_3x_0" localSheetId="58">'331'!$T$107</definedName>
    <definedName name="OSRRefT22_3x_0" localSheetId="61">'332'!$T$58</definedName>
    <definedName name="OSRRefT22_3x_0" localSheetId="76">'405'!$T$40</definedName>
    <definedName name="OSRRefT22_3x_0" localSheetId="77">'406'!$T$41</definedName>
    <definedName name="OSRRefT22_3x_0" localSheetId="78">'411'!$T$39</definedName>
    <definedName name="OSRRefT22_3x_0" localSheetId="79">'412'!$T$41</definedName>
    <definedName name="OSRRefT22_3x_0" localSheetId="80">'413'!$T$40</definedName>
    <definedName name="OSRRefT22_3x_0" localSheetId="81">'414'!$T$41</definedName>
    <definedName name="OSRRefT22_3x_0" localSheetId="82">'415'!$T$41</definedName>
    <definedName name="OSRRefT22_3x_0" localSheetId="83">'418'!$T$42</definedName>
    <definedName name="OSRRefT22_3x_0" localSheetId="84">'420'!$T$39</definedName>
    <definedName name="OSRRefT22_3x_0" localSheetId="85">'423'!$T$34</definedName>
    <definedName name="OSRRefT22_3x_0" localSheetId="86">'424'!$T$34</definedName>
    <definedName name="OSRRefT22_3x_0" localSheetId="87">'425'!$T$44</definedName>
    <definedName name="OSRRefT22_3x_0" localSheetId="90">'430'!$T$33</definedName>
    <definedName name="OSRRefT22_3x_0" localSheetId="91">'433'!$T$44</definedName>
    <definedName name="OSRRefT22_3x_0" localSheetId="92">'435'!$T$35</definedName>
    <definedName name="OSRRefT22_3x_0" localSheetId="93">'444'!$T$44</definedName>
    <definedName name="OSRRefT22_3x_0" localSheetId="94">'450'!$T$44</definedName>
    <definedName name="OSRRefT22_3x_0" localSheetId="75">'491'!$T$51</definedName>
    <definedName name="OSRRefT22_3x_0" localSheetId="89">'492'!$T$47</definedName>
    <definedName name="OSRRefT22_3x_0" localSheetId="96">'501'!$T$39</definedName>
    <definedName name="OSRRefT22_3x_0" localSheetId="39">'Div 2'!$T$42</definedName>
    <definedName name="OSRRefT22_3x_0" localSheetId="47">'Div 3'!$T$189:$T$190</definedName>
    <definedName name="OSRRefT22_3x_0" localSheetId="73">'Div 4'!$T$52</definedName>
    <definedName name="OSRRefT22_3x_0" localSheetId="95">'Div 5'!$T$39</definedName>
    <definedName name="OSRRefT22_3x_0" localSheetId="64">'Div 6'!$T$76</definedName>
    <definedName name="OSRRefT22_3x_0" localSheetId="2">Summary!$T$221:$T$222</definedName>
    <definedName name="OSRRefT22_4x_0" localSheetId="40">'200'!$T$28:$T$29</definedName>
    <definedName name="OSRRefT22_4x_0" localSheetId="41">'201'!$T$37</definedName>
    <definedName name="OSRRefT22_4x_0" localSheetId="42">'202'!$T$38</definedName>
    <definedName name="OSRRefT22_4x_0" localSheetId="43">'203'!$T$41</definedName>
    <definedName name="OSRRefT22_4x_0" localSheetId="44">'204'!$T$41</definedName>
    <definedName name="OSRRefT22_4x_0" localSheetId="45">'205'!$T$35:$T$36</definedName>
    <definedName name="OSRRefT22_4x_0" localSheetId="46">'206'!$T$38</definedName>
    <definedName name="OSRRefT22_4x_0" localSheetId="48">'300'!$T$187</definedName>
    <definedName name="OSRRefT22_4x_0" localSheetId="49">'300 &amp; 317'!$T$212</definedName>
    <definedName name="OSRRefT22_4x_0" localSheetId="50">'301'!$T$44</definedName>
    <definedName name="OSRRefT22_4x_0" localSheetId="51">'306'!$T$41</definedName>
    <definedName name="OSRRefT22_4x_0" localSheetId="53">'307'!$T$89:$T$90</definedName>
    <definedName name="OSRRefT22_4x_0" localSheetId="55">'308'!$T$88</definedName>
    <definedName name="OSRRefT22_4x_0" localSheetId="67">'309'!$T$43</definedName>
    <definedName name="OSRRefT22_4x_0" localSheetId="66">'310'!$T$51</definedName>
    <definedName name="OSRRefT22_4x_0" localSheetId="74">'310 &amp; 491'!$T$60</definedName>
    <definedName name="OSRRefT22_4x_0" localSheetId="56">'311'!$T$87</definedName>
    <definedName name="OSRRefT22_4x_0" localSheetId="68">'313'!$T$47</definedName>
    <definedName name="OSRRefT22_4x_0" localSheetId="54">'314'!$T$73</definedName>
    <definedName name="OSRRefT22_4x_0" localSheetId="59">'315'!$T$102</definedName>
    <definedName name="OSRRefT22_4x_0" localSheetId="62">'316'!$T$52</definedName>
    <definedName name="OSRRefT22_4x_0" localSheetId="65">'317'!$T$78</definedName>
    <definedName name="OSRRefT22_4x_0" localSheetId="63">'320'!$T$44:$T$45</definedName>
    <definedName name="OSRRefT22_4x_0" localSheetId="69">'321'!$T$43</definedName>
    <definedName name="OSRRefT22_4x_0" localSheetId="70">'322'!$T$42</definedName>
    <definedName name="OSRRefT22_4x_0" localSheetId="71">'325'!$T$43</definedName>
    <definedName name="OSRRefT22_4x_0" localSheetId="60">'326'!$T$80</definedName>
    <definedName name="OSRRefT22_4x_0" localSheetId="52">'330'!$T$98:$T$99</definedName>
    <definedName name="OSRRefT22_4x_0" localSheetId="58">'331'!$T$109</definedName>
    <definedName name="OSRRefT22_4x_0" localSheetId="61">'332'!$T$60</definedName>
    <definedName name="OSRRefT22_4x_0" localSheetId="76">'405'!$T$42</definedName>
    <definedName name="OSRRefT22_4x_0" localSheetId="77">'406'!$T$43</definedName>
    <definedName name="OSRRefT22_4x_0" localSheetId="78">'411'!$T$41:$T$43</definedName>
    <definedName name="OSRRefT22_4x_0" localSheetId="79">'412'!$T$43</definedName>
    <definedName name="OSRRefT22_4x_0" localSheetId="80">'413'!$T$42</definedName>
    <definedName name="OSRRefT22_4x_0" localSheetId="81">'414'!$T$43</definedName>
    <definedName name="OSRRefT22_4x_0" localSheetId="82">'415'!$T$43</definedName>
    <definedName name="OSRRefT22_4x_0" localSheetId="83">'418'!$T$44</definedName>
    <definedName name="OSRRefT22_4x_0" localSheetId="84">'420'!$T$41</definedName>
    <definedName name="OSRRefT22_4x_0" localSheetId="85">'423'!$T$36</definedName>
    <definedName name="OSRRefT22_4x_0" localSheetId="86">'424'!$T$36</definedName>
    <definedName name="OSRRefT22_4x_0" localSheetId="87">'425'!$T$46</definedName>
    <definedName name="OSRRefT22_4x_0" localSheetId="90">'430'!$T$35:$T$36</definedName>
    <definedName name="OSRRefT22_4x_0" localSheetId="91">'433'!$T$46</definedName>
    <definedName name="OSRRefT22_4x_0" localSheetId="92">'435'!$T$37</definedName>
    <definedName name="OSRRefT22_4x_0" localSheetId="93">'444'!$T$46</definedName>
    <definedName name="OSRRefT22_4x_0" localSheetId="94">'450'!$T$46</definedName>
    <definedName name="OSRRefT22_4x_0" localSheetId="75">'491'!$T$53</definedName>
    <definedName name="OSRRefT22_4x_0" localSheetId="89">'492'!$T$49</definedName>
    <definedName name="OSRRefT22_4x_0" localSheetId="96">'501'!$T$41</definedName>
    <definedName name="OSRRefT22_4x_0" localSheetId="39">'Div 2'!$T$44</definedName>
    <definedName name="OSRRefT22_4x_0" localSheetId="47">'Div 3'!$T$192</definedName>
    <definedName name="OSRRefT22_4x_0" localSheetId="73">'Div 4'!$T$54</definedName>
    <definedName name="OSRRefT22_4x_0" localSheetId="95">'Div 5'!$T$41</definedName>
    <definedName name="OSRRefT22_4x_0" localSheetId="64">'Div 6'!$T$78</definedName>
    <definedName name="OSRRefT22_4x_0" localSheetId="2">Summary!$T$224</definedName>
    <definedName name="OSRRefT22_5x_0" localSheetId="41">'201'!$T$39</definedName>
    <definedName name="OSRRefT22_5x_0" localSheetId="42">'202'!$T$40:$T$41</definedName>
    <definedName name="OSRRefT22_5x_0" localSheetId="43">'203'!$T$43</definedName>
    <definedName name="OSRRefT22_5x_0" localSheetId="44">'204'!$T$43</definedName>
    <definedName name="OSRRefT22_5x_0" localSheetId="45">'205'!$T$38</definedName>
    <definedName name="OSRRefT22_5x_0" localSheetId="46">'206'!$T$40:$T$41</definedName>
    <definedName name="OSRRefT22_5x_0" localSheetId="48">'300'!$T$189:$T$190</definedName>
    <definedName name="OSRRefT22_5x_0" localSheetId="49">'300 &amp; 317'!$T$214:$T$215</definedName>
    <definedName name="OSRRefT22_5x_0" localSheetId="50">'301'!$T$46:$T$47</definedName>
    <definedName name="OSRRefT22_5x_0" localSheetId="51">'306'!$T$43</definedName>
    <definedName name="OSRRefT22_5x_0" localSheetId="53">'307'!$T$92</definedName>
    <definedName name="OSRRefT22_5x_0" localSheetId="55">'308'!$T$90</definedName>
    <definedName name="OSRRefT22_5x_0" localSheetId="67">'309'!$T$45</definedName>
    <definedName name="OSRRefT22_5x_0" localSheetId="66">'310'!$T$53:$T$54</definedName>
    <definedName name="OSRRefT22_5x_0" localSheetId="74">'310 &amp; 491'!$T$62:$T$64</definedName>
    <definedName name="OSRRefT22_5x_0" localSheetId="56">'311'!$T$89</definedName>
    <definedName name="OSRRefT22_5x_0" localSheetId="68">'313'!$T$49</definedName>
    <definedName name="OSRRefT22_5x_0" localSheetId="54">'314'!$T$75</definedName>
    <definedName name="OSRRefT22_5x_0" localSheetId="59">'315'!$T$104:$T$105</definedName>
    <definedName name="OSRRefT22_5x_0" localSheetId="62">'316'!$T$54</definedName>
    <definedName name="OSRRefT22_5x_0" localSheetId="65">'317'!$T$80:$T$81</definedName>
    <definedName name="OSRRefT22_5x_0" localSheetId="63">'320'!$T$47</definedName>
    <definedName name="OSRRefT22_5x_0" localSheetId="69">'321'!$T$45</definedName>
    <definedName name="OSRRefT22_5x_0" localSheetId="70">'322'!$T$44</definedName>
    <definedName name="OSRRefT22_5x_0" localSheetId="71">'325'!$T$45:$T$46</definedName>
    <definedName name="OSRRefT22_5x_0" localSheetId="60">'326'!$T$82</definedName>
    <definedName name="OSRRefT22_5x_0" localSheetId="52">'330'!$T$101</definedName>
    <definedName name="OSRRefT22_5x_0" localSheetId="58">'331'!$T$111:$T$112</definedName>
    <definedName name="OSRRefT22_5x_0" localSheetId="61">'332'!$T$62</definedName>
    <definedName name="OSRRefT22_5x_0" localSheetId="76">'405'!$T$44:$T$45</definedName>
    <definedName name="OSRRefT22_5x_0" localSheetId="77">'406'!$T$45</definedName>
    <definedName name="OSRRefT22_5x_0" localSheetId="78">'411'!$T$45</definedName>
    <definedName name="OSRRefT22_5x_0" localSheetId="79">'412'!$T$45</definedName>
    <definedName name="OSRRefT22_5x_0" localSheetId="80">'413'!$T$44</definedName>
    <definedName name="OSRRefT22_5x_0" localSheetId="81">'414'!$T$45</definedName>
    <definedName name="OSRRefT22_5x_0" localSheetId="82">'415'!$T$45:$T$46</definedName>
    <definedName name="OSRRefT22_5x_0" localSheetId="83">'418'!$T$46:$T$47</definedName>
    <definedName name="OSRRefT22_5x_0" localSheetId="84">'420'!$T$43:$T$44</definedName>
    <definedName name="OSRRefT22_5x_0" localSheetId="85">'423'!$T$38</definedName>
    <definedName name="OSRRefT22_5x_0" localSheetId="86">'424'!$T$38</definedName>
    <definedName name="OSRRefT22_5x_0" localSheetId="87">'425'!$T$48</definedName>
    <definedName name="OSRRefT22_5x_0" localSheetId="90">'430'!$T$38</definedName>
    <definedName name="OSRRefT22_5x_0" localSheetId="91">'433'!$T$48</definedName>
    <definedName name="OSRRefT22_5x_0" localSheetId="92">'435'!$T$39</definedName>
    <definedName name="OSRRefT22_5x_0" localSheetId="93">'444'!$T$48</definedName>
    <definedName name="OSRRefT22_5x_0" localSheetId="94">'450'!$T$48</definedName>
    <definedName name="OSRRefT22_5x_0" localSheetId="75">'491'!$T$55:$T$57</definedName>
    <definedName name="OSRRefT22_5x_0" localSheetId="89">'492'!$T$51</definedName>
    <definedName name="OSRRefT22_5x_0" localSheetId="96">'501'!$T$43:$T$44</definedName>
    <definedName name="OSRRefT22_5x_0" localSheetId="39">'Div 2'!$T$46</definedName>
    <definedName name="OSRRefT22_5x_0" localSheetId="47">'Div 3'!$T$194:$T$195</definedName>
    <definedName name="OSRRefT22_5x_0" localSheetId="73">'Div 4'!$T$56:$T$58</definedName>
    <definedName name="OSRRefT22_5x_0" localSheetId="95">'Div 5'!$T$43:$T$44</definedName>
    <definedName name="OSRRefT22_5x_0" localSheetId="64">'Div 6'!$T$80:$T$81</definedName>
    <definedName name="OSRRefT22_5x_0" localSheetId="2">Summary!$T$226:$T$228</definedName>
    <definedName name="OSRRefT22_6x_0" localSheetId="41">'201'!$T$41</definedName>
    <definedName name="OSRRefT22_6x_0" localSheetId="42">'202'!$T$43</definedName>
    <definedName name="OSRRefT22_6x_0" localSheetId="43">'203'!$T$45</definedName>
    <definedName name="OSRRefT22_6x_0" localSheetId="44">'204'!$T$45:$T$47</definedName>
    <definedName name="OSRRefT22_6x_0" localSheetId="45">'205'!$T$40:$T$42</definedName>
    <definedName name="OSRRefT22_6x_0" localSheetId="46">'206'!$T$43</definedName>
    <definedName name="OSRRefT22_6x_0" localSheetId="48">'300'!$T$192:$T$193</definedName>
    <definedName name="OSRRefT22_6x_0" localSheetId="49">'300 &amp; 317'!$T$217:$T$218</definedName>
    <definedName name="OSRRefT22_6x_0" localSheetId="50">'301'!$T$49:$T$50</definedName>
    <definedName name="OSRRefT22_6x_0" localSheetId="51">'306'!$T$45:$T$46</definedName>
    <definedName name="OSRRefT22_6x_0" localSheetId="53">'307'!$T$94</definedName>
    <definedName name="OSRRefT22_6x_0" localSheetId="55">'308'!$T$92:$T$93</definedName>
    <definedName name="OSRRefT22_6x_0" localSheetId="67">'309'!$T$47</definedName>
    <definedName name="OSRRefT22_6x_0" localSheetId="66">'310'!$T$56</definedName>
    <definedName name="OSRRefT22_6x_0" localSheetId="74">'310 &amp; 491'!$T$66</definedName>
    <definedName name="OSRRefT22_6x_0" localSheetId="56">'311'!$T$91:$T$92</definedName>
    <definedName name="OSRRefT22_6x_0" localSheetId="68">'313'!$T$51</definedName>
    <definedName name="OSRRefT22_6x_0" localSheetId="54">'314'!$T$77</definedName>
    <definedName name="OSRRefT22_6x_0" localSheetId="59">'315'!$T$107</definedName>
    <definedName name="OSRRefT22_6x_0" localSheetId="62">'316'!$T$56:$T$57</definedName>
    <definedName name="OSRRefT22_6x_0" localSheetId="65">'317'!$T$83</definedName>
    <definedName name="OSRRefT22_6x_0" localSheetId="63">'320'!$T$49</definedName>
    <definedName name="OSRRefT22_6x_0" localSheetId="69">'321'!$T$47:$T$49</definedName>
    <definedName name="OSRRefT22_6x_0" localSheetId="70">'322'!$T$46</definedName>
    <definedName name="OSRRefT22_6x_0" localSheetId="71">'325'!$T$48</definedName>
    <definedName name="OSRRefT22_6x_0" localSheetId="60">'326'!$T$84</definedName>
    <definedName name="OSRRefT22_6x_0" localSheetId="52">'330'!$T$103</definedName>
    <definedName name="OSRRefT22_6x_0" localSheetId="58">'331'!$T$114</definedName>
    <definedName name="OSRRefT22_6x_0" localSheetId="61">'332'!$T$64:$T$65</definedName>
    <definedName name="OSRRefT22_6x_0" localSheetId="76">'405'!$T$47</definedName>
    <definedName name="OSRRefT22_6x_0" localSheetId="77">'406'!$T$47</definedName>
    <definedName name="OSRRefT22_6x_0" localSheetId="78">'411'!$T$47</definedName>
    <definedName name="OSRRefT22_6x_0" localSheetId="79">'412'!$T$47</definedName>
    <definedName name="OSRRefT22_6x_0" localSheetId="80">'413'!$T$46</definedName>
    <definedName name="OSRRefT22_6x_0" localSheetId="81">'414'!$T$47</definedName>
    <definedName name="OSRRefT22_6x_0" localSheetId="82">'415'!$T$48</definedName>
    <definedName name="OSRRefT22_6x_0" localSheetId="83">'418'!$T$49</definedName>
    <definedName name="OSRRefT22_6x_0" localSheetId="84">'420'!$T$46</definedName>
    <definedName name="OSRRefT22_6x_0" localSheetId="86">'424'!$T$40</definedName>
    <definedName name="OSRRefT22_6x_0" localSheetId="87">'425'!$T$50</definedName>
    <definedName name="OSRRefT22_6x_0" localSheetId="90">'430'!$T$40</definedName>
    <definedName name="OSRRefT22_6x_0" localSheetId="91">'433'!$T$50</definedName>
    <definedName name="OSRRefT22_6x_0" localSheetId="92">'435'!$T$41</definedName>
    <definedName name="OSRRefT22_6x_0" localSheetId="93">'444'!$T$50</definedName>
    <definedName name="OSRRefT22_6x_0" localSheetId="94">'450'!$T$50</definedName>
    <definedName name="OSRRefT22_6x_0" localSheetId="75">'491'!$T$59</definedName>
    <definedName name="OSRRefT22_6x_0" localSheetId="89">'492'!$T$53</definedName>
    <definedName name="OSRRefT22_6x_0" localSheetId="96">'501'!$T$46</definedName>
    <definedName name="OSRRefT22_6x_0" localSheetId="39">'Div 2'!$T$48</definedName>
    <definedName name="OSRRefT22_6x_0" localSheetId="47">'Div 3'!$T$197:$T$198</definedName>
    <definedName name="OSRRefT22_6x_0" localSheetId="73">'Div 4'!$T$60</definedName>
    <definedName name="OSRRefT22_6x_0" localSheetId="95">'Div 5'!$T$46</definedName>
    <definedName name="OSRRefT22_6x_0" localSheetId="64">'Div 6'!$T$83</definedName>
    <definedName name="OSRRefT22_6x_0" localSheetId="2">Summary!$T$230:$T$231</definedName>
    <definedName name="OSRRefT22_7x_0" localSheetId="41">'201'!$T$43</definedName>
    <definedName name="OSRRefT22_7x_0" localSheetId="42">'202'!$T$45</definedName>
    <definedName name="OSRRefT22_7x_0" localSheetId="43">'203'!$T$47</definedName>
    <definedName name="OSRRefT22_7x_0" localSheetId="44">'204'!$T$49</definedName>
    <definedName name="OSRRefT22_7x_0" localSheetId="45">'205'!$T$44</definedName>
    <definedName name="OSRRefT22_7x_0" localSheetId="46">'206'!$T$45</definedName>
    <definedName name="OSRRefT22_7x_0" localSheetId="48">'300'!$T$195</definedName>
    <definedName name="OSRRefT22_7x_0" localSheetId="49">'300 &amp; 317'!$T$220</definedName>
    <definedName name="OSRRefT22_7x_0" localSheetId="50">'301'!$T$52</definedName>
    <definedName name="OSRRefT22_7x_0" localSheetId="51">'306'!$T$48:$T$50</definedName>
    <definedName name="OSRRefT22_7x_0" localSheetId="53">'307'!$T$96:$T$97</definedName>
    <definedName name="OSRRefT22_7x_0" localSheetId="55">'308'!$T$95</definedName>
    <definedName name="OSRRefT22_7x_0" localSheetId="67">'309'!$T$49</definedName>
    <definedName name="OSRRefT22_7x_0" localSheetId="66">'310'!$T$58</definedName>
    <definedName name="OSRRefT22_7x_0" localSheetId="74">'310 &amp; 491'!$T$68</definedName>
    <definedName name="OSRRefT22_7x_0" localSheetId="56">'311'!$T$94</definedName>
    <definedName name="OSRRefT22_7x_0" localSheetId="68">'313'!$T$53</definedName>
    <definedName name="OSRRefT22_7x_0" localSheetId="54">'314'!$T$79</definedName>
    <definedName name="OSRRefT22_7x_0" localSheetId="59">'315'!$T$109:$T$110</definedName>
    <definedName name="OSRRefT22_7x_0" localSheetId="62">'316'!$T$59</definedName>
    <definedName name="OSRRefT22_7x_0" localSheetId="65">'317'!$T$85</definedName>
    <definedName name="OSRRefT22_7x_0" localSheetId="63">'320'!$T$51:$T$52</definedName>
    <definedName name="OSRRefT22_7x_0" localSheetId="69">'321'!$T$51</definedName>
    <definedName name="OSRRefT22_7x_0" localSheetId="70">'322'!$T$48</definedName>
    <definedName name="OSRRefT22_7x_0" localSheetId="71">'325'!$T$50</definedName>
    <definedName name="OSRRefT22_7x_0" localSheetId="60">'326'!$T$86</definedName>
    <definedName name="OSRRefT22_7x_0" localSheetId="52">'330'!$T$105</definedName>
    <definedName name="OSRRefT22_7x_0" localSheetId="58">'331'!$T$116:$T$117</definedName>
    <definedName name="OSRRefT22_7x_0" localSheetId="61">'332'!$T$67</definedName>
    <definedName name="OSRRefT22_7x_0" localSheetId="76">'405'!$T$49</definedName>
    <definedName name="OSRRefT22_7x_0" localSheetId="77">'406'!$T$49</definedName>
    <definedName name="OSRRefT22_7x_0" localSheetId="78">'411'!$T$49</definedName>
    <definedName name="OSRRefT22_7x_0" localSheetId="79">'412'!$T$49</definedName>
    <definedName name="OSRRefT22_7x_0" localSheetId="80">'413'!$T$48:$T$50</definedName>
    <definedName name="OSRRefT22_7x_0" localSheetId="81">'414'!$T$49</definedName>
    <definedName name="OSRRefT22_7x_0" localSheetId="82">'415'!$T$50</definedName>
    <definedName name="OSRRefT22_7x_0" localSheetId="83">'418'!$T$51</definedName>
    <definedName name="OSRRefT22_7x_0" localSheetId="86">'424'!$T$42</definedName>
    <definedName name="OSRRefT22_7x_0" localSheetId="87">'425'!$T$52</definedName>
    <definedName name="OSRRefT22_7x_0" localSheetId="90">'430'!$T$42</definedName>
    <definedName name="OSRRefT22_7x_0" localSheetId="91">'433'!$T$52</definedName>
    <definedName name="OSRRefT22_7x_0" localSheetId="92">'435'!$T$43:$T$45</definedName>
    <definedName name="OSRRefT22_7x_0" localSheetId="93">'444'!$T$52</definedName>
    <definedName name="OSRRefT22_7x_0" localSheetId="94">'450'!$T$52</definedName>
    <definedName name="OSRRefT22_7x_0" localSheetId="75">'491'!$T$61</definedName>
    <definedName name="OSRRefT22_7x_0" localSheetId="89">'492'!$T$55</definedName>
    <definedName name="OSRRefT22_7x_0" localSheetId="96">'501'!$T$48</definedName>
    <definedName name="OSRRefT22_7x_0" localSheetId="39">'Div 2'!$T$50</definedName>
    <definedName name="OSRRefT22_7x_0" localSheetId="47">'Div 3'!$T$200</definedName>
    <definedName name="OSRRefT22_7x_0" localSheetId="73">'Div 4'!$T$62</definedName>
    <definedName name="OSRRefT22_7x_0" localSheetId="95">'Div 5'!$T$48</definedName>
    <definedName name="OSRRefT22_7x_0" localSheetId="64">'Div 6'!$T$85</definedName>
    <definedName name="OSRRefT22_7x_0" localSheetId="2">Summary!$T$233</definedName>
    <definedName name="OSRRefT22_8x_0" localSheetId="41">'201'!$T$45</definedName>
    <definedName name="OSRRefT22_8x_0" localSheetId="42">'202'!$T$47:$T$49</definedName>
    <definedName name="OSRRefT22_8x_0" localSheetId="43">'203'!$T$49</definedName>
    <definedName name="OSRRefT22_8x_0" localSheetId="44">'204'!$T$51:$T$52</definedName>
    <definedName name="OSRRefT22_8x_0" localSheetId="45">'205'!$T$46</definedName>
    <definedName name="OSRRefT22_8x_0" localSheetId="48">'300'!$T$197</definedName>
    <definedName name="OSRRefT22_8x_0" localSheetId="49">'300 &amp; 317'!$T$222</definedName>
    <definedName name="OSRRefT22_8x_0" localSheetId="50">'301'!$T$54</definedName>
    <definedName name="OSRRefT22_8x_0" localSheetId="51">'306'!$T$52</definedName>
    <definedName name="OSRRefT22_8x_0" localSheetId="53">'307'!$T$99:$T$100</definedName>
    <definedName name="OSRRefT22_8x_0" localSheetId="55">'308'!$T$97</definedName>
    <definedName name="OSRRefT22_8x_0" localSheetId="67">'309'!$T$51</definedName>
    <definedName name="OSRRefT22_8x_0" localSheetId="66">'310'!$T$60</definedName>
    <definedName name="OSRRefT22_8x_0" localSheetId="74">'310 &amp; 491'!$T$70</definedName>
    <definedName name="OSRRefT22_8x_0" localSheetId="56">'311'!$T$96</definedName>
    <definedName name="OSRRefT22_8x_0" localSheetId="68">'313'!$T$55:$T$57</definedName>
    <definedName name="OSRRefT22_8x_0" localSheetId="59">'315'!$T$112:$T$113</definedName>
    <definedName name="OSRRefT22_8x_0" localSheetId="62">'316'!$T$61:$T$63</definedName>
    <definedName name="OSRRefT22_8x_0" localSheetId="65">'317'!$T$87</definedName>
    <definedName name="OSRRefT22_8x_0" localSheetId="63">'320'!$T$54</definedName>
    <definedName name="OSRRefT22_8x_0" localSheetId="69">'321'!$T$53:$T$55</definedName>
    <definedName name="OSRRefT22_8x_0" localSheetId="70">'322'!$T$50:$T$51</definedName>
    <definedName name="OSRRefT22_8x_0" localSheetId="71">'325'!$T$52</definedName>
    <definedName name="OSRRefT22_8x_0" localSheetId="60">'326'!$T$88</definedName>
    <definedName name="OSRRefT22_8x_0" localSheetId="52">'330'!$T$107:$T$108</definedName>
    <definedName name="OSRRefT22_8x_0" localSheetId="58">'331'!$T$119</definedName>
    <definedName name="OSRRefT22_8x_0" localSheetId="61">'332'!$T$69</definedName>
    <definedName name="OSRRefT22_8x_0" localSheetId="76">'405'!$T$51</definedName>
    <definedName name="OSRRefT22_8x_0" localSheetId="77">'406'!$T$51</definedName>
    <definedName name="OSRRefT22_8x_0" localSheetId="78">'411'!$T$51</definedName>
    <definedName name="OSRRefT22_8x_0" localSheetId="79">'412'!$T$51</definedName>
    <definedName name="OSRRefT22_8x_0" localSheetId="80">'413'!$T$52:$T$54</definedName>
    <definedName name="OSRRefT22_8x_0" localSheetId="81">'414'!$T$51</definedName>
    <definedName name="OSRRefT22_8x_0" localSheetId="82">'415'!$T$52</definedName>
    <definedName name="OSRRefT22_8x_0" localSheetId="83">'418'!$T$53</definedName>
    <definedName name="OSRRefT22_8x_0" localSheetId="86">'424'!$T$44:$T$45</definedName>
    <definedName name="OSRRefT22_8x_0" localSheetId="87">'425'!$T$54</definedName>
    <definedName name="OSRRefT22_8x_0" localSheetId="91">'433'!$T$54</definedName>
    <definedName name="OSRRefT22_8x_0" localSheetId="92">'435'!$T$47</definedName>
    <definedName name="OSRRefT22_8x_0" localSheetId="93">'444'!$T$54</definedName>
    <definedName name="OSRRefT22_8x_0" localSheetId="94">'450'!$T$54</definedName>
    <definedName name="OSRRefT22_8x_0" localSheetId="75">'491'!$T$63</definedName>
    <definedName name="OSRRefT22_8x_0" localSheetId="89">'492'!$T$57</definedName>
    <definedName name="OSRRefT22_8x_0" localSheetId="96">'501'!$T$50</definedName>
    <definedName name="OSRRefT22_8x_0" localSheetId="39">'Div 2'!$T$52</definedName>
    <definedName name="OSRRefT22_8x_0" localSheetId="47">'Div 3'!$T$202</definedName>
    <definedName name="OSRRefT22_8x_0" localSheetId="73">'Div 4'!$T$64</definedName>
    <definedName name="OSRRefT22_8x_0" localSheetId="95">'Div 5'!$T$50</definedName>
    <definedName name="OSRRefT22_8x_0" localSheetId="64">'Div 6'!$T$87</definedName>
    <definedName name="OSRRefT22_8x_0" localSheetId="2">Summary!$T$235</definedName>
    <definedName name="OSRRefT22_9x_0" localSheetId="41">'201'!$T$47:$T$49</definedName>
    <definedName name="OSRRefT22_9x_0" localSheetId="42">'202'!$T$51</definedName>
    <definedName name="OSRRefT22_9x_0" localSheetId="43">'203'!$T$51:$T$52</definedName>
    <definedName name="OSRRefT22_9x_0" localSheetId="44">'204'!$T$54</definedName>
    <definedName name="OSRRefT22_9x_0" localSheetId="48">'300'!$T$199</definedName>
    <definedName name="OSRRefT22_9x_0" localSheetId="49">'300 &amp; 317'!$T$224</definedName>
    <definedName name="OSRRefT22_9x_0" localSheetId="50">'301'!$T$56</definedName>
    <definedName name="OSRRefT22_9x_0" localSheetId="51">'306'!$T$54</definedName>
    <definedName name="OSRRefT22_9x_0" localSheetId="53">'307'!$T$102:$T$105</definedName>
    <definedName name="OSRRefT22_9x_0" localSheetId="55">'308'!$T$99:$T$100</definedName>
    <definedName name="OSRRefT22_9x_0" localSheetId="67">'309'!$T$53:$T$54</definedName>
    <definedName name="OSRRefT22_9x_0" localSheetId="66">'310'!$T$62</definedName>
    <definedName name="OSRRefT22_9x_0" localSheetId="74">'310 &amp; 491'!$T$72</definedName>
    <definedName name="OSRRefT22_9x_0" localSheetId="56">'311'!$T$98:$T$99</definedName>
    <definedName name="OSRRefT22_9x_0" localSheetId="68">'313'!$T$59</definedName>
    <definedName name="OSRRefT22_9x_0" localSheetId="59">'315'!$T$115:$T$119</definedName>
    <definedName name="OSRRefT22_9x_0" localSheetId="62">'316'!$T$65</definedName>
    <definedName name="OSRRefT22_9x_0" localSheetId="65">'317'!$T$89</definedName>
    <definedName name="OSRRefT22_9x_0" localSheetId="69">'321'!$T$57:$T$60</definedName>
    <definedName name="OSRRefT22_9x_0" localSheetId="70">'322'!$T$53:$T$55</definedName>
    <definedName name="OSRRefT22_9x_0" localSheetId="71">'325'!$T$54</definedName>
    <definedName name="OSRRefT22_9x_0" localSheetId="60">'326'!$T$90</definedName>
    <definedName name="OSRRefT22_9x_0" localSheetId="52">'330'!$T$110:$T$111</definedName>
    <definedName name="OSRRefT22_9x_0" localSheetId="58">'331'!$T$121</definedName>
    <definedName name="OSRRefT22_9x_0" localSheetId="61">'332'!$T$71:$T$73</definedName>
    <definedName name="OSRRefT22_9x_0" localSheetId="76">'405'!$T$53</definedName>
    <definedName name="OSRRefT22_9x_0" localSheetId="77">'406'!$T$53:$T$55</definedName>
    <definedName name="OSRRefT22_9x_0" localSheetId="78">'411'!$T$53</definedName>
    <definedName name="OSRRefT22_9x_0" localSheetId="79">'412'!$T$53:$T$54</definedName>
    <definedName name="OSRRefT22_9x_0" localSheetId="80">'413'!$T$56:$T$61</definedName>
    <definedName name="OSRRefT22_9x_0" localSheetId="81">'414'!$T$53:$T$54</definedName>
    <definedName name="OSRRefT22_9x_0" localSheetId="82">'415'!$T$54</definedName>
    <definedName name="OSRRefT22_9x_0" localSheetId="83">'418'!$T$55</definedName>
    <definedName name="OSRRefT22_9x_0" localSheetId="86">'424'!$T$47</definedName>
    <definedName name="OSRRefT22_9x_0" localSheetId="87">'425'!$T$56:$T$58</definedName>
    <definedName name="OSRRefT22_9x_0" localSheetId="91">'433'!$T$56</definedName>
    <definedName name="OSRRefT22_9x_0" localSheetId="93">'444'!$T$56</definedName>
    <definedName name="OSRRefT22_9x_0" localSheetId="94">'450'!$T$56</definedName>
    <definedName name="OSRRefT22_9x_0" localSheetId="75">'491'!$T$65</definedName>
    <definedName name="OSRRefT22_9x_0" localSheetId="89">'492'!$T$59</definedName>
    <definedName name="OSRRefT22_9x_0" localSheetId="96">'501'!$T$52:$T$54</definedName>
    <definedName name="OSRRefT22_9x_0" localSheetId="39">'Div 2'!$T$54:$T$55</definedName>
    <definedName name="OSRRefT22_9x_0" localSheetId="47">'Div 3'!$T$204</definedName>
    <definedName name="OSRRefT22_9x_0" localSheetId="73">'Div 4'!$T$66</definedName>
    <definedName name="OSRRefT22_9x_0" localSheetId="95">'Div 5'!$T$52:$T$54</definedName>
    <definedName name="OSRRefT22_9x_0" localSheetId="64">'Div 6'!$T$89</definedName>
    <definedName name="OSRRefT22_9x_0" localSheetId="2">Summary!$T$237</definedName>
    <definedName name="OSRRefT22x_0" localSheetId="40">'200'!$T$20,'200'!$T$22,'200'!$T$24,'200'!$T$26,'200'!$T$28:$T$29</definedName>
    <definedName name="OSRRefT22x_0" localSheetId="41">'201'!$T$20:$T$27,'201'!$T$29:$T$31,'201'!$T$33,'201'!$T$35,'201'!$T$37,'201'!$T$39,'201'!$T$41,'201'!$T$43,'201'!$T$45,'201'!$T$47:$T$49,'201'!$T$51:$T$53,'201'!$T$55,'201'!$T$57:$T$60,'201'!$T$62,'201'!$T$64,'201'!$T$66</definedName>
    <definedName name="OSRRefT22x_0" localSheetId="42">'202'!$T$20:$T$27,'202'!$T$29:$T$32,'202'!$T$34,'202'!$T$36,'202'!$T$38,'202'!$T$40:$T$41,'202'!$T$43,'202'!$T$45,'202'!$T$47:$T$49,'202'!$T$51,'202'!$T$53,'202'!$T$55:$T$57,'202'!$T$59,'202'!$T$61,'202'!$T$63</definedName>
    <definedName name="OSRRefT22x_0" localSheetId="43">'203'!$T$20:$T$29,'203'!$T$31:$T$35,'203'!$T$37,'203'!$T$39,'203'!$T$41,'203'!$T$43,'203'!$T$45,'203'!$T$47,'203'!$T$49,'203'!$T$51:$T$52,'203'!$T$54:$T$55,'203'!$T$57,'203'!$T$59:$T$62,'203'!$T$64,'203'!$T$66,'203'!$T$68</definedName>
    <definedName name="OSRRefT22x_0" localSheetId="44">'204'!$T$20:$T$29,'204'!$T$31:$T$35,'204'!$T$37,'204'!$T$39,'204'!$T$41,'204'!$T$43,'204'!$T$45:$T$47,'204'!$T$49,'204'!$T$51:$T$52,'204'!$T$54,'204'!$T$56:$T$57</definedName>
    <definedName name="OSRRefT22x_0" localSheetId="45">'205'!$T$20:$T$27,'205'!$T$29,'205'!$T$31,'205'!$T$33,'205'!$T$35:$T$36,'205'!$T$38,'205'!$T$40:$T$42,'205'!$T$44,'205'!$T$46</definedName>
    <definedName name="OSRRefT22x_0" localSheetId="46">'206'!$T$20:$T$27,'206'!$T$29:$T$32,'206'!$T$34,'206'!$T$36,'206'!$T$38,'206'!$T$40:$T$41,'206'!$T$43,'206'!$T$45</definedName>
    <definedName name="OSRRefT22x_0" localSheetId="48">'300'!$T$163:$T$172,'300'!$T$174:$T$180,'300'!$T$182,'300'!$T$184:$T$185,'300'!$T$187,'300'!$T$189:$T$190,'300'!$T$192:$T$193,'300'!$T$195,'300'!$T$197,'300'!$T$199,'300'!$T$201:$T$202,'300'!$T$204,'300'!$T$206,'300'!$T$208,'300'!$T$210,'300'!$T$212,'300'!$T$214:$T$217,'300'!$T$219:$T$221,'300'!$T$223:$T$226,'300'!$T$228:$T$229,'300'!$T$231:$T$237,'300'!$T$239:$T$240,'300'!$T$242,'300'!$T$244:$T$246,'300'!$T$248</definedName>
    <definedName name="OSRRefT22x_0" localSheetId="49">'300 &amp; 317'!$T$188:$T$197,'300 &amp; 317'!$T$199:$T$205,'300 &amp; 317'!$T$207,'300 &amp; 317'!$T$209:$T$210,'300 &amp; 317'!$T$212,'300 &amp; 317'!$T$214:$T$215,'300 &amp; 317'!$T$217:$T$218,'300 &amp; 317'!$T$220,'300 &amp; 317'!$T$222,'300 &amp; 317'!$T$224,'300 &amp; 317'!$T$226:$T$227,'300 &amp; 317'!$T$229,'300 &amp; 317'!$T$231,'300 &amp; 317'!$T$233,'300 &amp; 317'!$T$235,'300 &amp; 317'!$T$237,'300 &amp; 317'!$T$239:$T$242,'300 &amp; 317'!$T$244:$T$246,'300 &amp; 317'!$T$248:$T$251,'300 &amp; 317'!$T$253:$T$254,'300 &amp; 317'!$T$256:$T$262,'300 &amp; 317'!$T$264:$T$265,'300 &amp; 317'!$T$267,'300 &amp; 317'!$T$269:$T$271,'300 &amp; 317'!$T$273</definedName>
    <definedName name="OSRRefT22x_0" localSheetId="50">'301'!$T$20:$T$29,'301'!$T$31:$T$37,'301'!$T$39,'301'!$T$41:$T$42,'301'!$T$44,'301'!$T$46:$T$47,'301'!$T$49:$T$50,'301'!$T$52,'301'!$T$54,'301'!$T$56,'301'!$T$58,'301'!$T$60,'301'!$T$62,'301'!$T$64,'301'!$T$66,'301'!$T$68:$T$71,'301'!$T$73:$T$75,'301'!$T$77,'301'!$T$79:$T$84,'301'!$T$86,'301'!$T$88,'301'!$T$90:$T$92,'301'!$T$94</definedName>
    <definedName name="OSRRefT22x_0" localSheetId="51">'306'!$T$20:$T$28,'306'!$T$30:$T$35,'306'!$T$37,'306'!$T$39,'306'!$T$41,'306'!$T$43,'306'!$T$45:$T$46,'306'!$T$48:$T$50,'306'!$T$52,'306'!$T$54</definedName>
    <definedName name="OSRRefT22x_0" localSheetId="53">'307'!$T$71:$T$78,'307'!$T$80:$T$83,'307'!$T$85,'307'!$T$87,'307'!$T$89:$T$90,'307'!$T$92,'307'!$T$94,'307'!$T$96:$T$97,'307'!$T$99:$T$100,'307'!$T$102:$T$105,'307'!$T$107,'307'!$T$109</definedName>
    <definedName name="OSRRefT22x_0" localSheetId="55">'308'!$T$65:$T$73,'308'!$T$75:$T$81,'308'!$T$83,'308'!$T$85:$T$86,'308'!$T$88,'308'!$T$90,'308'!$T$92:$T$93,'308'!$T$95,'308'!$T$97,'308'!$T$99:$T$100,'308'!$T$102:$T$103,'308'!$T$105:$T$107,'308'!$T$109:$T$110,'308'!$T$112,'308'!$T$114</definedName>
    <definedName name="OSRRefT22x_0" localSheetId="67">'309'!$T$24:$T$31,'309'!$T$33:$T$37,'309'!$T$39,'309'!$T$41,'309'!$T$43,'309'!$T$45,'309'!$T$47,'309'!$T$49,'309'!$T$51,'309'!$T$53:$T$54,'309'!$T$56:$T$58,'309'!$T$60:$T$62,'309'!$T$64</definedName>
    <definedName name="OSRRefT22x_0" localSheetId="66">'310'!$T$31:$T$38,'310'!$T$40:$T$45,'310'!$T$47,'310'!$T$49,'310'!$T$51,'310'!$T$53:$T$54,'310'!$T$56,'310'!$T$58,'310'!$T$60,'310'!$T$62,'310'!$T$64,'310'!$T$66,'310'!$T$68,'310'!$T$70,'310'!$T$72:$T$74,'310'!$T$76,'310'!$T$78:$T$81,'310'!$T$83,'310'!$T$85:$T$92,'310'!$T$94,'310'!$T$96,'310'!$T$98</definedName>
    <definedName name="OSRRefT22x_0" localSheetId="74">'310 &amp; 491'!$T$38:$T$46,'310 &amp; 491'!$T$48:$T$54,'310 &amp; 491'!$T$56,'310 &amp; 491'!$T$58,'310 &amp; 491'!$T$60,'310 &amp; 491'!$T$62:$T$64,'310 &amp; 491'!$T$66,'310 &amp; 491'!$T$68,'310 &amp; 491'!$T$70,'310 &amp; 491'!$T$72,'310 &amp; 491'!$T$74:$T$75,'310 &amp; 491'!$T$77:$T$78,'310 &amp; 491'!$T$80,'310 &amp; 491'!$T$82,'310 &amp; 491'!$T$84,'310 &amp; 491'!$T$86,'310 &amp; 491'!$T$88:$T$91,'310 &amp; 491'!$T$93:$T$94,'310 &amp; 491'!$T$96:$T$100,'310 &amp; 491'!$T$102:$T$103,'310 &amp; 491'!$T$105:$T$113,'310 &amp; 491'!$T$115,'310 &amp; 491'!$T$117,'310 &amp; 491'!$T$119:$T$121,'310 &amp; 491'!$T$123</definedName>
    <definedName name="OSRRefT22x_0" localSheetId="56">'311'!$T$64:$T$72,'311'!$T$74:$T$80,'311'!$T$82,'311'!$T$84:$T$85,'311'!$T$87,'311'!$T$89,'311'!$T$91:$T$92,'311'!$T$94,'311'!$T$96,'311'!$T$98:$T$99,'311'!$T$101:$T$102,'311'!$T$104:$T$106,'311'!$T$108:$T$109,'311'!$T$111,'311'!$T$113</definedName>
    <definedName name="OSRRefT22x_0" localSheetId="68">'313'!$T$28:$T$35,'313'!$T$37:$T$41,'313'!$T$43,'313'!$T$45,'313'!$T$47,'313'!$T$49,'313'!$T$51,'313'!$T$53,'313'!$T$55:$T$57,'313'!$T$59,'313'!$T$61:$T$65,'313'!$T$67,'313'!$T$69</definedName>
    <definedName name="OSRRefT22x_0" localSheetId="54">'314'!$T$55:$T$62,'314'!$T$64:$T$66,'314'!$T$68,'314'!$T$70:$T$71,'314'!$T$73,'314'!$T$75,'314'!$T$77,'314'!$T$79</definedName>
    <definedName name="OSRRefT22x_0" localSheetId="59">'315'!$T$81:$T$88,'315'!$T$90:$T$95,'315'!$T$97,'315'!$T$99:$T$100,'315'!$T$102,'315'!$T$104:$T$105,'315'!$T$107,'315'!$T$109:$T$110,'315'!$T$112:$T$113,'315'!$T$115:$T$119,'315'!$T$121,'315'!$T$123,'315'!$T$125:$T$126</definedName>
    <definedName name="OSRRefT22x_0" localSheetId="62">'316'!$T$34:$T$41,'316'!$T$43:$T$46,'316'!$T$48,'316'!$T$50,'316'!$T$52,'316'!$T$54,'316'!$T$56:$T$57,'316'!$T$59,'316'!$T$61:$T$63,'316'!$T$65,'316'!$T$67:$T$72,'316'!$T$74,'316'!$T$76,'316'!$T$78</definedName>
    <definedName name="OSRRefT22x_0" localSheetId="65">'317'!$T$58:$T$66,'317'!$T$68:$T$72,'317'!$T$74,'317'!$T$76,'317'!$T$78,'317'!$T$80:$T$81,'317'!$T$83,'317'!$T$85,'317'!$T$87,'317'!$T$89,'317'!$T$91:$T$93,'317'!$T$95,'317'!$T$97,'317'!$T$99</definedName>
    <definedName name="OSRRefT22x_0" localSheetId="63">'320'!$T$28:$T$34,'320'!$T$36:$T$38,'320'!$T$40,'320'!$T$42,'320'!$T$44:$T$45,'320'!$T$47,'320'!$T$49,'320'!$T$51:$T$52,'320'!$T$54</definedName>
    <definedName name="OSRRefT22x_0" localSheetId="69">'321'!$T$24:$T$31,'321'!$T$33:$T$37,'321'!$T$39,'321'!$T$41,'321'!$T$43,'321'!$T$45,'321'!$T$47:$T$49,'321'!$T$51,'321'!$T$53:$T$55,'321'!$T$57:$T$60,'321'!$T$62,'321'!$T$64</definedName>
    <definedName name="OSRRefT22x_0" localSheetId="70">'322'!$T$24:$T$31,'322'!$T$33:$T$36,'322'!$T$38,'322'!$T$40,'322'!$T$42,'322'!$T$44,'322'!$T$46,'322'!$T$48,'322'!$T$50:$T$51,'322'!$T$53:$T$55,'322'!$T$57:$T$62,'322'!$T$64,'322'!$T$66</definedName>
    <definedName name="OSRRefT22x_0" localSheetId="71">'325'!$T$24:$T$31,'325'!$T$33:$T$37,'325'!$T$39,'325'!$T$41,'325'!$T$43,'325'!$T$45:$T$46,'325'!$T$48,'325'!$T$50,'325'!$T$52,'325'!$T$54,'325'!$T$56,'325'!$T$58:$T$60,'325'!$T$62:$T$64,'325'!$T$66,'325'!$T$68:$T$72,'325'!$T$74,'325'!$T$76</definedName>
    <definedName name="OSRRefT22x_0" localSheetId="60">'326'!$T$61:$T$68,'326'!$T$70:$T$74,'326'!$T$76,'326'!$T$78,'326'!$T$80,'326'!$T$82,'326'!$T$84,'326'!$T$86,'326'!$T$88,'326'!$T$90,'326'!$T$92,'326'!$T$94,'326'!$T$96:$T$97,'326'!$T$99:$T$101,'326'!$T$103:$T$104,'326'!$T$106:$T$111,'326'!$T$113,'326'!$T$115,'326'!$T$117</definedName>
    <definedName name="OSRRefT22x_0" localSheetId="72">'327'!$T$22,'327'!$T$24,'327'!$T$26</definedName>
    <definedName name="OSRRefT22x_0" localSheetId="52">'330'!$T$79:$T$86,'330'!$T$88:$T$92,'330'!$T$94,'330'!$T$96,'330'!$T$98:$T$99,'330'!$T$101,'330'!$T$103,'330'!$T$105,'330'!$T$107:$T$108,'330'!$T$110:$T$111,'330'!$T$113,'330'!$T$115:$T$118,'330'!$T$120,'330'!$T$122,'330'!$T$124</definedName>
    <definedName name="OSRRefT22x_0" localSheetId="58">'331'!$T$89:$T$96,'331'!$T$98:$T$103,'331'!$T$105,'331'!$T$107,'331'!$T$109,'331'!$T$111:$T$112,'331'!$T$114,'331'!$T$116:$T$117,'331'!$T$119,'331'!$T$121,'331'!$T$123,'331'!$T$125,'331'!$T$127,'331'!$T$129:$T$130,'331'!$T$132:$T$133,'331'!$T$135:$T$137,'331'!$T$139:$T$140,'331'!$T$142:$T$147,'331'!$T$149,'331'!$T$151,'331'!$T$153:$T$154,'331'!$T$156</definedName>
    <definedName name="OSRRefT22x_0" localSheetId="61">'332'!$T$42:$T$49,'332'!$T$51:$T$54,'332'!$T$56,'332'!$T$58,'332'!$T$60,'332'!$T$62,'332'!$T$64:$T$65,'332'!$T$67,'332'!$T$69,'332'!$T$71:$T$73,'332'!$T$75,'332'!$T$77:$T$82,'332'!$T$84,'332'!$T$86,'332'!$T$88</definedName>
    <definedName name="OSRRefT22x_0" localSheetId="76">'405'!$T$24:$T$31,'405'!$T$33:$T$36,'405'!$T$38,'405'!$T$40,'405'!$T$42,'405'!$T$44:$T$45,'405'!$T$47,'405'!$T$49,'405'!$T$51,'405'!$T$53,'405'!$T$55:$T$56,'405'!$T$58,'405'!$T$60:$T$62,'405'!$T$64:$T$65,'405'!$T$67:$T$73,'405'!$T$75,'405'!$T$77,'405'!$T$79</definedName>
    <definedName name="OSRRefT22x_0" localSheetId="77">'406'!$T$24:$T$31,'406'!$T$33:$T$37,'406'!$T$39,'406'!$T$41,'406'!$T$43,'406'!$T$45,'406'!$T$47,'406'!$T$49,'406'!$T$51,'406'!$T$53:$T$55,'406'!$T$57:$T$58,'406'!$T$60:$T$64,'406'!$T$66,'406'!$T$68</definedName>
    <definedName name="OSRRefT22x_0" localSheetId="78">'411'!$T$20:$T$28,'411'!$T$30:$T$35,'411'!$T$37,'411'!$T$39,'411'!$T$41:$T$43,'411'!$T$45,'411'!$T$47,'411'!$T$49,'411'!$T$51,'411'!$T$53,'411'!$T$55,'411'!$T$57,'411'!$T$59:$T$60,'411'!$T$62:$T$66,'411'!$T$68,'411'!$T$70:$T$76,'411'!$T$78,'411'!$T$80,'411'!$T$82:$T$84,'411'!$T$86</definedName>
    <definedName name="OSRRefT22x_0" localSheetId="79">'412'!$T$23:$T$30,'412'!$T$32:$T$37,'412'!$T$39,'412'!$T$41,'412'!$T$43,'412'!$T$45,'412'!$T$47,'412'!$T$49,'412'!$T$51,'412'!$T$53:$T$54,'412'!$T$56:$T$57,'412'!$T$59:$T$64,'412'!$T$66,'412'!$T$68</definedName>
    <definedName name="OSRRefT22x_0" localSheetId="80">'413'!$T$24:$T$31,'413'!$T$33:$T$36,'413'!$T$38,'413'!$T$40,'413'!$T$42,'413'!$T$44,'413'!$T$46,'413'!$T$48:$T$50,'413'!$T$52:$T$54,'413'!$T$56:$T$61,'413'!$T$63</definedName>
    <definedName name="OSRRefT22x_0" localSheetId="81">'414'!$T$24:$T$31,'414'!$T$33:$T$37,'414'!$T$39,'414'!$T$41,'414'!$T$43,'414'!$T$45,'414'!$T$47,'414'!$T$49,'414'!$T$51,'414'!$T$53:$T$54,'414'!$T$56,'414'!$T$58,'414'!$T$60,'414'!$T$62:$T$68,'414'!$T$70,'414'!$T$72</definedName>
    <definedName name="OSRRefT22x_0" localSheetId="82">'415'!$T$24:$T$31,'415'!$T$33:$T$37,'415'!$T$39,'415'!$T$41,'415'!$T$43,'415'!$T$45:$T$46,'415'!$T$48,'415'!$T$50,'415'!$T$52,'415'!$T$54,'415'!$T$56,'415'!$T$58:$T$61,'415'!$T$63:$T$67,'415'!$T$69:$T$70,'415'!$T$72:$T$79,'415'!$T$81,'415'!$T$83,'415'!$T$85</definedName>
    <definedName name="OSRRefT22x_0" localSheetId="83">'418'!$T$24:$T$31,'418'!$T$33:$T$38,'418'!$T$40,'418'!$T$42,'418'!$T$44,'418'!$T$46:$T$47,'418'!$T$49,'418'!$T$51,'418'!$T$53,'418'!$T$55,'418'!$T$57:$T$58,'418'!$T$60:$T$62,'418'!$T$64:$T$66,'418'!$T$68:$T$69,'418'!$T$71:$T$77,'418'!$T$79,'418'!$T$81</definedName>
    <definedName name="OSRRefT22x_0" localSheetId="84">'420'!$T$23:$T$30,'420'!$T$32:$T$35,'420'!$T$37,'420'!$T$39,'420'!$T$41,'420'!$T$43:$T$44,'420'!$T$46</definedName>
    <definedName name="OSRRefT22x_0" localSheetId="85">'423'!$T$21:$T$28,'423'!$T$30,'423'!$T$32,'423'!$T$34,'423'!$T$36,'423'!$T$38</definedName>
    <definedName name="OSRRefT22x_0" localSheetId="86">'424'!$T$23:$T$24,'424'!$T$26:$T$30,'424'!$T$32,'424'!$T$34,'424'!$T$36,'424'!$T$38,'424'!$T$40,'424'!$T$42,'424'!$T$44:$T$45,'424'!$T$47,'424'!$T$49,'424'!$T$51:$T$54,'424'!$T$56</definedName>
    <definedName name="OSRRefT22x_0" localSheetId="87">'425'!$T$25:$T$33,'425'!$T$35:$T$40,'425'!$T$42,'425'!$T$44,'425'!$T$46,'425'!$T$48,'425'!$T$50,'425'!$T$52,'425'!$T$54,'425'!$T$56:$T$58,'425'!$T$60,'425'!$T$62:$T$63,'425'!$T$65:$T$71,'425'!$T$73,'425'!$T$75</definedName>
    <definedName name="OSRRefT22x_0" localSheetId="90">'430'!$T$20:$T$27,'430'!$T$29,'430'!$T$31,'430'!$T$33,'430'!$T$35:$T$36,'430'!$T$38,'430'!$T$40,'430'!$T$42</definedName>
    <definedName name="OSRRefT22x_0" localSheetId="91">'433'!$T$25:$T$33,'433'!$T$35:$T$40,'433'!$T$42,'433'!$T$44,'433'!$T$46,'433'!$T$48,'433'!$T$50,'433'!$T$52,'433'!$T$54,'433'!$T$56,'433'!$T$58,'433'!$T$60:$T$62,'433'!$T$64:$T$66,'433'!$T$68:$T$75,'433'!$T$77,'433'!$T$79,'433'!$T$81</definedName>
    <definedName name="OSRRefT22x_0" localSheetId="92">'435'!$T$25:$T$27,'435'!$T$29:$T$31,'435'!$T$33,'435'!$T$35,'435'!$T$37,'435'!$T$39,'435'!$T$41,'435'!$T$43:$T$45,'435'!$T$47</definedName>
    <definedName name="OSRRefT22x_0" localSheetId="93">'444'!$T$25:$T$33,'444'!$T$35:$T$40,'444'!$T$42,'444'!$T$44,'444'!$T$46,'444'!$T$48,'444'!$T$50,'444'!$T$52,'444'!$T$54,'444'!$T$56,'444'!$T$58,'444'!$T$60:$T$62,'444'!$T$64:$T$67,'444'!$T$69,'444'!$T$71:$T$79,'444'!$T$81,'444'!$T$83,'444'!$T$85</definedName>
    <definedName name="OSRRefT22x_0" localSheetId="94">'450'!$T$25:$T$33,'450'!$T$35:$T$40,'450'!$T$42,'450'!$T$44,'450'!$T$46,'450'!$T$48,'450'!$T$50,'450'!$T$52,'450'!$T$54,'450'!$T$56,'450'!$T$58,'450'!$T$60,'450'!$T$62,'450'!$T$64:$T$66,'450'!$T$68:$T$73,'450'!$T$75,'450'!$T$77,'450'!$T$79</definedName>
    <definedName name="OSRRefT22x_0" localSheetId="88">'455'!$T$20:$T$26,'455'!$T$28:$T$29</definedName>
    <definedName name="OSRRefT22x_0" localSheetId="75">'491'!$T$31:$T$39,'491'!$T$41:$T$47,'491'!$T$49,'491'!$T$51,'491'!$T$53,'491'!$T$55:$T$57,'491'!$T$59,'491'!$T$61,'491'!$T$63,'491'!$T$65,'491'!$T$67,'491'!$T$69:$T$70,'491'!$T$72,'491'!$T$74,'491'!$T$76,'491'!$T$78,'491'!$T$80:$T$83,'491'!$T$85:$T$86,'491'!$T$88:$T$92,'491'!$T$94:$T$95,'491'!$T$97:$T$105,'491'!$T$107,'491'!$T$109,'491'!$T$111:$T$113,'491'!$T$115</definedName>
    <definedName name="OSRRefT22x_0" localSheetId="89">'492'!$T$27:$T$35,'492'!$T$37:$T$43,'492'!$T$45,'492'!$T$47,'492'!$T$49,'492'!$T$51,'492'!$T$53,'492'!$T$55,'492'!$T$57,'492'!$T$59,'492'!$T$61,'492'!$T$63,'492'!$T$65:$T$67,'492'!$T$69:$T$72,'492'!$T$74,'492'!$T$76:$T$84,'492'!$T$86,'492'!$T$88,'492'!$T$90</definedName>
    <definedName name="OSRRefT22x_0" localSheetId="96">'501'!$T$21:$T$29,'501'!$T$31:$T$35,'501'!$T$37,'501'!$T$39,'501'!$T$41,'501'!$T$43:$T$44,'501'!$T$46,'501'!$T$48,'501'!$T$50,'501'!$T$52:$T$54,'501'!$T$56,'501'!$T$58:$T$60,'501'!$T$62</definedName>
    <definedName name="OSRRefT22x_0" localSheetId="39">'Div 2'!$T$20:$T$30,'Div 2'!$T$32:$T$38,'Div 2'!$T$40,'Div 2'!$T$42,'Div 2'!$T$44,'Div 2'!$T$46,'Div 2'!$T$48,'Div 2'!$T$50,'Div 2'!$T$52,'Div 2'!$T$54:$T$55,'Div 2'!$T$57,'Div 2'!$T$59,'Div 2'!$T$61:$T$64,'Div 2'!$T$66:$T$68,'Div 2'!$T$70:$T$71,'Div 2'!$T$73,'Div 2'!$T$75:$T$79,'Div 2'!$T$81:$T$82,'Div 2'!$T$84,'Div 2'!$T$86:$T$87</definedName>
    <definedName name="OSRRefT22x_0" localSheetId="47">'Div 3'!$T$168:$T$177,'Div 3'!$T$179:$T$185,'Div 3'!$T$187,'Div 3'!$T$189:$T$190,'Div 3'!$T$192,'Div 3'!$T$194:$T$195,'Div 3'!$T$197:$T$198,'Div 3'!$T$200,'Div 3'!$T$202,'Div 3'!$T$204,'Div 3'!$T$206:$T$207,'Div 3'!$T$209,'Div 3'!$T$211,'Div 3'!$T$213,'Div 3'!$T$215,'Div 3'!$T$217,'Div 3'!$T$219,'Div 3'!$T$221:$T$224,'Div 3'!$T$226:$T$228,'Div 3'!$T$230:$T$234,'Div 3'!$T$236:$T$237,'Div 3'!$T$239:$T$246,'Div 3'!$T$248:$T$249,'Div 3'!$T$251,'Div 3'!$T$253:$T$255,'Div 3'!$T$257</definedName>
    <definedName name="OSRRefT22x_0" localSheetId="73">'Div 4'!$T$32:$T$40,'Div 4'!$T$42:$T$48,'Div 4'!$T$50,'Div 4'!$T$52,'Div 4'!$T$54,'Div 4'!$T$56:$T$58,'Div 4'!$T$60,'Div 4'!$T$62,'Div 4'!$T$64,'Div 4'!$T$66,'Div 4'!$T$68,'Div 4'!$T$70:$T$71,'Div 4'!$T$73,'Div 4'!$T$75,'Div 4'!$T$77,'Div 4'!$T$79,'Div 4'!$T$81,'Div 4'!$T$83:$T$86,'Div 4'!$T$88:$T$89,'Div 4'!$T$91:$T$95,'Div 4'!$T$97:$T$98,'Div 4'!$T$100:$T$108,'Div 4'!$T$110,'Div 4'!$T$112,'Div 4'!$T$114:$T$116,'Div 4'!$T$118</definedName>
    <definedName name="OSRRefT22x_0" localSheetId="95">'Div 5'!$T$21:$T$29,'Div 5'!$T$31:$T$35,'Div 5'!$T$37,'Div 5'!$T$39,'Div 5'!$T$41,'Div 5'!$T$43:$T$44,'Div 5'!$T$46,'Div 5'!$T$48,'Div 5'!$T$50,'Div 5'!$T$52:$T$54,'Div 5'!$T$56,'Div 5'!$T$58:$T$60,'Div 5'!$T$62</definedName>
    <definedName name="OSRRefT22x_0" localSheetId="64">'Div 6'!$T$58:$T$66,'Div 6'!$T$68:$T$72,'Div 6'!$T$74,'Div 6'!$T$76,'Div 6'!$T$78,'Div 6'!$T$80:$T$81,'Div 6'!$T$83,'Div 6'!$T$85,'Div 6'!$T$87,'Div 6'!$T$89,'Div 6'!$T$91:$T$93,'Div 6'!$T$95,'Div 6'!$T$97,'Div 6'!$T$99</definedName>
    <definedName name="OSRRefT22x_0" localSheetId="2">Summary!$T$200:$T$209,Summary!$T$211:$T$217,Summary!$T$219,Summary!$T$221:$T$222,Summary!$T$224,Summary!$T$226:$T$228,Summary!$T$230:$T$231,Summary!$T$233,Summary!$T$235,Summary!$T$237,Summary!$T$239:$T$240,Summary!$T$242:$T$243,Summary!$T$245,Summary!$T$247,Summary!$T$249,Summary!$T$251,Summary!$T$253,Summary!$T$255,Summary!$T$257:$T$260,Summary!$T$262:$T$264,Summary!$T$266:$T$270,Summary!$T$272:$T$273,Summary!$T$275:$T$283,Summary!$T$285:$T$286,Summary!$T$288,Summary!$T$290:$T$292,Summary!$T$294</definedName>
    <definedName name="OSRRefT25x_0" localSheetId="48">'300'!$T$251:$T$259</definedName>
    <definedName name="OSRRefT25x_0" localSheetId="49">'300 &amp; 317'!$T$276:$T$287</definedName>
    <definedName name="OSRRefT25x_0" localSheetId="50">'301'!$T$97:$T$99</definedName>
    <definedName name="OSRRefT25x_0" localSheetId="53">'307'!$T$112</definedName>
    <definedName name="OSRRefT25x_0" localSheetId="55">'308'!$T$117:$T$119</definedName>
    <definedName name="OSRRefT25x_0" localSheetId="74">'310 &amp; 491'!$T$126:$T$128</definedName>
    <definedName name="OSRRefT25x_0" localSheetId="56">'311'!$T$116:$T$118</definedName>
    <definedName name="OSRRefT25x_0" localSheetId="59">'315'!$T$129:$T$130</definedName>
    <definedName name="OSRRefT25x_0" localSheetId="62">'316'!$T$81</definedName>
    <definedName name="OSRRefT25x_0" localSheetId="65">'317'!$T$102:$T$105</definedName>
    <definedName name="OSRRefT25x_0" localSheetId="63">'320'!$T$57:$T$61</definedName>
    <definedName name="OSRRefT25x_0" localSheetId="52">'330'!$T$127</definedName>
    <definedName name="OSRRefT25x_0" localSheetId="58">'331'!$T$159:$T$160</definedName>
    <definedName name="OSRRefT25x_0" localSheetId="61">'332'!$T$91:$T$96</definedName>
    <definedName name="OSRRefT25x_0" localSheetId="78">'411'!$T$89:$T$90</definedName>
    <definedName name="OSRRefT25x_0" localSheetId="80">'413'!$T$66</definedName>
    <definedName name="OSRRefT25x_0" localSheetId="82">'415'!$T$88</definedName>
    <definedName name="OSRRefT25x_0" localSheetId="83">'418'!$T$84</definedName>
    <definedName name="OSRRefT25x_0" localSheetId="85">'423'!$T$41</definedName>
    <definedName name="OSRRefT25x_0" localSheetId="86">'424'!$T$59</definedName>
    <definedName name="OSRRefT25x_0" localSheetId="87">'425'!$T$78</definedName>
    <definedName name="OSRRefT25x_0" localSheetId="88">'455'!$T$32:$T$33</definedName>
    <definedName name="OSRRefT25x_0" localSheetId="75">'491'!$T$118:$T$120</definedName>
    <definedName name="OSRRefT25x_0" localSheetId="96">'501'!$T$65</definedName>
    <definedName name="OSRRefT25x_0" localSheetId="47">'Div 3'!$T$260:$T$268</definedName>
    <definedName name="OSRRefT25x_0" localSheetId="73">'Div 4'!$T$121:$T$123</definedName>
    <definedName name="OSRRefT25x_0" localSheetId="95">'Div 5'!$T$65</definedName>
    <definedName name="OSRRefT25x_0" localSheetId="64">'Div 6'!$T$102:$T$105</definedName>
    <definedName name="OSRRefT25x_0" localSheetId="2">Summary!$T$297:$T$309</definedName>
    <definedName name="_xlnm.Print_Area" localSheetId="38">'100'!$A$1:$Z$34</definedName>
    <definedName name="_xlnm.Print_Area" localSheetId="40">'200'!$A$1:$Z$43</definedName>
    <definedName name="_xlnm.Print_Area" localSheetId="41">'201'!$A$1:$Z$80</definedName>
    <definedName name="_xlnm.Print_Area" localSheetId="42">'202'!$A$1:$Z$77</definedName>
    <definedName name="_xlnm.Print_Area" localSheetId="43">'203'!$A$1:$Z$82</definedName>
    <definedName name="_xlnm.Print_Area" localSheetId="44">'204'!$A$1:$Z$71</definedName>
    <definedName name="_xlnm.Print_Area" localSheetId="45">'205'!$A$1:$Z$60</definedName>
    <definedName name="_xlnm.Print_Area" localSheetId="46">'206'!$A$1:$Z$59</definedName>
    <definedName name="_xlnm.Print_Area" localSheetId="48">'300'!$A$1:$Z$271</definedName>
    <definedName name="_xlnm.Print_Area" localSheetId="49">'300 &amp; 317'!$A$1:$Z$299</definedName>
    <definedName name="_xlnm.Print_Area" localSheetId="50">'301'!$A$1:$Z$111</definedName>
    <definedName name="_xlnm.Print_Area" localSheetId="51">'306'!$A$1:$Z$68</definedName>
    <definedName name="_xlnm.Print_Area" localSheetId="53">'307'!$A$1:$Z$124</definedName>
    <definedName name="_xlnm.Print_Area" localSheetId="55">'308'!$A$1:$Z$131</definedName>
    <definedName name="_xlnm.Print_Area" localSheetId="67">'309'!$A$1:$Z$78</definedName>
    <definedName name="_xlnm.Print_Area" localSheetId="66">'310'!$A$1:$Z$112</definedName>
    <definedName name="_xlnm.Print_Area" localSheetId="74">'310 &amp; 491'!$A$1:$Z$140</definedName>
    <definedName name="_xlnm.Print_Area" localSheetId="56">'311'!$A$1:$Z$130</definedName>
    <definedName name="_xlnm.Print_Area" localSheetId="68">'313'!$A$1:$Z$83</definedName>
    <definedName name="_xlnm.Print_Area" localSheetId="54">'314'!$A$1:$Z$93</definedName>
    <definedName name="_xlnm.Print_Area" localSheetId="59">'315'!$A$1:$Z$142</definedName>
    <definedName name="_xlnm.Print_Area" localSheetId="62">'316'!$A$1:$Z$93</definedName>
    <definedName name="_xlnm.Print_Area" localSheetId="65">'317'!$A$1:$Z$117</definedName>
    <definedName name="_xlnm.Print_Area" localSheetId="63">'320'!$A$1:$Z$73</definedName>
    <definedName name="_xlnm.Print_Area" localSheetId="69">'321'!$A$1:$Z$78</definedName>
    <definedName name="_xlnm.Print_Area" localSheetId="70">'322'!$A$1:$Z$80</definedName>
    <definedName name="_xlnm.Print_Area" localSheetId="57">'324'!$A$1:$Z$37</definedName>
    <definedName name="_xlnm.Print_Area" localSheetId="71">'325'!$A$1:$Z$90</definedName>
    <definedName name="_xlnm.Print_Area" localSheetId="60">'326'!$A$1:$Z$131</definedName>
    <definedName name="_xlnm.Print_Area" localSheetId="72">'327'!$A$1:$Z$40</definedName>
    <definedName name="_xlnm.Print_Area" localSheetId="52">'330'!$A$1:$Z$139</definedName>
    <definedName name="_xlnm.Print_Area" localSheetId="58">'331'!$A$1:$Z$172</definedName>
    <definedName name="_xlnm.Print_Area" localSheetId="61">'332'!$A$1:$Z$108</definedName>
    <definedName name="_xlnm.Print_Area" localSheetId="76">'405'!$A$1:$Z$93</definedName>
    <definedName name="_xlnm.Print_Area" localSheetId="77">'406'!$A$1:$Z$82</definedName>
    <definedName name="_xlnm.Print_Area" localSheetId="78">'411'!$A$1:$Z$102</definedName>
    <definedName name="_xlnm.Print_Area" localSheetId="79">'412'!$A$1:$Z$82</definedName>
    <definedName name="_xlnm.Print_Area" localSheetId="80">'413'!$A$1:$Z$78</definedName>
    <definedName name="_xlnm.Print_Area" localSheetId="81">'414'!$A$1:$Z$86</definedName>
    <definedName name="_xlnm.Print_Area" localSheetId="82">'415'!$A$1:$Z$100</definedName>
    <definedName name="_xlnm.Print_Area" localSheetId="83">'418'!$A$1:$Z$96</definedName>
    <definedName name="_xlnm.Print_Area" localSheetId="84">'420'!$A$1:$Z$60</definedName>
    <definedName name="_xlnm.Print_Area" localSheetId="85">'423'!$A$1:$Z$53</definedName>
    <definedName name="_xlnm.Print_Area" localSheetId="86">'424'!$A$1:$Z$71</definedName>
    <definedName name="_xlnm.Print_Area" localSheetId="87">'425'!$A$1:$Z$90</definedName>
    <definedName name="_xlnm.Print_Area" localSheetId="90">'430'!$A$1:$Z$56</definedName>
    <definedName name="_xlnm.Print_Area" localSheetId="91">'433'!$A$1:$Z$95</definedName>
    <definedName name="_xlnm.Print_Area" localSheetId="92">'435'!$A$1:$Z$61</definedName>
    <definedName name="_xlnm.Print_Area" localSheetId="93">'444'!$A$1:$Z$99</definedName>
    <definedName name="_xlnm.Print_Area" localSheetId="94">'450'!$A$1:$Z$93</definedName>
    <definedName name="_xlnm.Print_Area" localSheetId="88">'455'!$A$1:$Z$45</definedName>
    <definedName name="_xlnm.Print_Area" localSheetId="75">'491'!$A$1:$Z$132</definedName>
    <definedName name="_xlnm.Print_Area" localSheetId="89">'492'!$A$1:$Z$104</definedName>
    <definedName name="_xlnm.Print_Area" localSheetId="96">'501'!$A$1:$Z$77</definedName>
    <definedName name="_xlnm.Print_Area" localSheetId="97">Dept!$A$1:$Z$39</definedName>
    <definedName name="_xlnm.Print_Area" localSheetId="5">'Div 1'!$A$1:$Z$34</definedName>
    <definedName name="_xlnm.Print_Area" localSheetId="39">'Div 2'!$A$1:$Z$101</definedName>
    <definedName name="_xlnm.Print_Area" localSheetId="47">'Div 3'!$A$1:$Z$280</definedName>
    <definedName name="_xlnm.Print_Area" localSheetId="73">'Div 4'!$A$1:$Z$135</definedName>
    <definedName name="_xlnm.Print_Area" localSheetId="95">'Div 5'!$A$1:$Z$77</definedName>
    <definedName name="_xlnm.Print_Area" localSheetId="64">'Div 6'!$A$1:$Z$117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8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9">'OSR_Summary (...56e5d78f_5JEYZH'!$A$1:$Z$39</definedName>
    <definedName name="_xlnm.Print_Area" localSheetId="3">OSR_Summary_18VAVWG!$A$1:$Z$39</definedName>
    <definedName name="_xlnm.Print_Area" localSheetId="2">Summary!$A$1:$Z$323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57">'324'!$A:$C,'324'!$1:$10</definedName>
    <definedName name="_xlnm.Print_Titles" localSheetId="71">'325'!$A:$C,'325'!$1:$10</definedName>
    <definedName name="_xlnm.Print_Titles" localSheetId="60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0">'413'!$A:$C,'413'!$1:$10</definedName>
    <definedName name="_xlnm.Print_Titles" localSheetId="81">'414'!$A:$C,'414'!$1:$10</definedName>
    <definedName name="_xlnm.Print_Titles" localSheetId="82">'415'!$A:$C,'415'!$1:$10</definedName>
    <definedName name="_xlnm.Print_Titles" localSheetId="83">'418'!$A:$C,'418'!$1:$10</definedName>
    <definedName name="_xlnm.Print_Titles" localSheetId="84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6">'501'!$A:$C,'501'!$1:$10</definedName>
    <definedName name="_xlnm.Print_Titles" localSheetId="97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5">'Div 5'!$A:$C,'Div 5'!$1:$10</definedName>
    <definedName name="_xlnm.Print_Titles" localSheetId="64">'Div 6'!$A:$C,'Div 6'!$1:$10</definedName>
    <definedName name="_xlnm.Print_Titles" localSheetId="14">'OSR_300 &amp; 317_1C00ID4'!$A:$C,'OSR_300 &amp; 317_1C00ID4'!$1:$10</definedName>
    <definedName name="_xlnm.Print_Titles" localSheetId="11">'OSR_300 (2)_7...54cb56fc_UFX0O2'!$A:$C,'OSR_300 (2)_7...54cb56fc_UFX0O2'!$1:$10</definedName>
    <definedName name="_xlnm.Print_Titles" localSheetId="15">'OSR_300 (2)_c...79cd3046_1TJM0H'!$A:$C,'OSR_300 (2)_c...79cd3046_1TJM0H'!$1:$10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(2)_0...c51cc666_QIOT67'!$A:$C,'OSR_491 (2)_0...c51cc666_QIOT67'!$1:$10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8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3">'OSR_Div 3 (2)...b7db256a_40ITCB'!$A:$C,'OSR_Div 3 (2)...b7db256a_40ITCB'!$1:$10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(2...09141158_1BG9FGV'!$A:$C,'OSR_Div 5 (2...09141158_1BG9FGV'!$1:$10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9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X69" i="109" l="1"/>
  <c r="Z69" i="109" s="1"/>
  <c r="N69" i="109"/>
  <c r="L69" i="109"/>
  <c r="T65" i="109"/>
  <c r="P65" i="109"/>
  <c r="P64" i="109" s="1"/>
  <c r="X64" i="109" s="1"/>
  <c r="N65" i="109"/>
  <c r="L65" i="109"/>
  <c r="H65" i="109"/>
  <c r="H64" i="109" s="1"/>
  <c r="L64" i="109" s="1"/>
  <c r="D65" i="109"/>
  <c r="B65" i="109"/>
  <c r="V64" i="109"/>
  <c r="T64" i="109"/>
  <c r="Z64" i="109" s="1"/>
  <c r="N64" i="109"/>
  <c r="D64" i="109"/>
  <c r="Z62" i="109"/>
  <c r="X62" i="109"/>
  <c r="L62" i="109"/>
  <c r="N62" i="109" s="1"/>
  <c r="B62" i="109"/>
  <c r="T61" i="109"/>
  <c r="P61" i="109"/>
  <c r="X61" i="109" s="1"/>
  <c r="H61" i="109"/>
  <c r="D61" i="109"/>
  <c r="L61" i="109" s="1"/>
  <c r="N61" i="109" s="1"/>
  <c r="B61" i="109"/>
  <c r="X60" i="109"/>
  <c r="Z60" i="109" s="1"/>
  <c r="V60" i="109"/>
  <c r="N60" i="109"/>
  <c r="L60" i="109"/>
  <c r="B60" i="109"/>
  <c r="X59" i="109"/>
  <c r="Z59" i="109" s="1"/>
  <c r="L59" i="109"/>
  <c r="N59" i="109" s="1"/>
  <c r="B59" i="109"/>
  <c r="Z58" i="109"/>
  <c r="X58" i="109"/>
  <c r="N58" i="109"/>
  <c r="L58" i="109"/>
  <c r="B58" i="109"/>
  <c r="T57" i="109"/>
  <c r="P57" i="109"/>
  <c r="X57" i="109" s="1"/>
  <c r="Z57" i="109" s="1"/>
  <c r="L57" i="109"/>
  <c r="N57" i="109" s="1"/>
  <c r="H57" i="109"/>
  <c r="D57" i="109"/>
  <c r="B57" i="109"/>
  <c r="Z56" i="109"/>
  <c r="X56" i="109"/>
  <c r="N56" i="109"/>
  <c r="L56" i="109"/>
  <c r="B56" i="109"/>
  <c r="X55" i="109"/>
  <c r="T55" i="109"/>
  <c r="P55" i="109"/>
  <c r="N55" i="109"/>
  <c r="L55" i="109"/>
  <c r="H55" i="109"/>
  <c r="D55" i="109"/>
  <c r="B55" i="109"/>
  <c r="X54" i="109"/>
  <c r="Z54" i="109" s="1"/>
  <c r="V54" i="109"/>
  <c r="N54" i="109"/>
  <c r="L54" i="109"/>
  <c r="B54" i="109"/>
  <c r="Z53" i="109"/>
  <c r="X53" i="109"/>
  <c r="N53" i="109"/>
  <c r="L53" i="109"/>
  <c r="B53" i="109"/>
  <c r="Z52" i="109"/>
  <c r="X52" i="109"/>
  <c r="V52" i="109"/>
  <c r="N52" i="109"/>
  <c r="L52" i="109"/>
  <c r="B52" i="109"/>
  <c r="X51" i="109"/>
  <c r="T51" i="109"/>
  <c r="Z51" i="109" s="1"/>
  <c r="P51" i="109"/>
  <c r="H51" i="109"/>
  <c r="N51" i="109" s="1"/>
  <c r="D51" i="109"/>
  <c r="B51" i="109"/>
  <c r="X50" i="109"/>
  <c r="Z50" i="109" s="1"/>
  <c r="N50" i="109"/>
  <c r="L50" i="109"/>
  <c r="B50" i="109"/>
  <c r="T49" i="109"/>
  <c r="P49" i="109"/>
  <c r="H49" i="109"/>
  <c r="D49" i="109"/>
  <c r="L49" i="109" s="1"/>
  <c r="N49" i="109" s="1"/>
  <c r="B49" i="109"/>
  <c r="X48" i="109"/>
  <c r="Z48" i="109" s="1"/>
  <c r="N48" i="109"/>
  <c r="L48" i="109"/>
  <c r="B48" i="109"/>
  <c r="T47" i="109"/>
  <c r="P47" i="109"/>
  <c r="X47" i="109" s="1"/>
  <c r="N47" i="109"/>
  <c r="H47" i="109"/>
  <c r="L47" i="109" s="1"/>
  <c r="D47" i="109"/>
  <c r="B47" i="109"/>
  <c r="Z46" i="109"/>
  <c r="X46" i="109"/>
  <c r="N46" i="109"/>
  <c r="L46" i="109"/>
  <c r="B46" i="109"/>
  <c r="T45" i="109"/>
  <c r="P45" i="109"/>
  <c r="X45" i="109" s="1"/>
  <c r="N45" i="109"/>
  <c r="L45" i="109"/>
  <c r="H45" i="109"/>
  <c r="D45" i="109"/>
  <c r="B45" i="109"/>
  <c r="Z44" i="109"/>
  <c r="X44" i="109"/>
  <c r="V44" i="109"/>
  <c r="N44" i="109"/>
  <c r="L44" i="109"/>
  <c r="B44" i="109"/>
  <c r="Z43" i="109"/>
  <c r="X43" i="109"/>
  <c r="N43" i="109"/>
  <c r="L43" i="109"/>
  <c r="B43" i="109"/>
  <c r="Z42" i="109"/>
  <c r="X42" i="109"/>
  <c r="V42" i="109"/>
  <c r="T42" i="109"/>
  <c r="P42" i="109"/>
  <c r="H42" i="109"/>
  <c r="N42" i="109" s="1"/>
  <c r="D42" i="109"/>
  <c r="L42" i="109" s="1"/>
  <c r="B42" i="109"/>
  <c r="Z41" i="109"/>
  <c r="X41" i="109"/>
  <c r="N41" i="109"/>
  <c r="L41" i="109"/>
  <c r="B41" i="109"/>
  <c r="T40" i="109"/>
  <c r="R40" i="109"/>
  <c r="P40" i="109"/>
  <c r="N40" i="109"/>
  <c r="H40" i="109"/>
  <c r="D40" i="109"/>
  <c r="L40" i="109" s="1"/>
  <c r="B40" i="109"/>
  <c r="Z39" i="109"/>
  <c r="X39" i="109"/>
  <c r="L39" i="109"/>
  <c r="N39" i="109" s="1"/>
  <c r="B39" i="109"/>
  <c r="T38" i="109"/>
  <c r="P38" i="109"/>
  <c r="H38" i="109"/>
  <c r="L38" i="109" s="1"/>
  <c r="N38" i="109" s="1"/>
  <c r="D38" i="109"/>
  <c r="B38" i="109"/>
  <c r="Z37" i="109"/>
  <c r="X37" i="109"/>
  <c r="N37" i="109"/>
  <c r="L37" i="109"/>
  <c r="B37" i="109"/>
  <c r="T36" i="109"/>
  <c r="P36" i="109"/>
  <c r="X36" i="109" s="1"/>
  <c r="N36" i="109"/>
  <c r="L36" i="109"/>
  <c r="H36" i="109"/>
  <c r="D36" i="109"/>
  <c r="B36" i="109"/>
  <c r="X35" i="109"/>
  <c r="Z35" i="109" s="1"/>
  <c r="L35" i="109"/>
  <c r="N35" i="109" s="1"/>
  <c r="B35" i="109"/>
  <c r="Z34" i="109"/>
  <c r="X34" i="109"/>
  <c r="N34" i="109"/>
  <c r="L34" i="109"/>
  <c r="B34" i="109"/>
  <c r="X33" i="109"/>
  <c r="Z33" i="109" s="1"/>
  <c r="N33" i="109"/>
  <c r="L33" i="109"/>
  <c r="B33" i="109"/>
  <c r="Z32" i="109"/>
  <c r="X32" i="109"/>
  <c r="L32" i="109"/>
  <c r="N32" i="109" s="1"/>
  <c r="B32" i="109"/>
  <c r="Z31" i="109"/>
  <c r="X31" i="109"/>
  <c r="N31" i="109"/>
  <c r="L31" i="109"/>
  <c r="B31" i="109"/>
  <c r="Z30" i="109"/>
  <c r="T30" i="109"/>
  <c r="P30" i="109"/>
  <c r="X30" i="109" s="1"/>
  <c r="L30" i="109"/>
  <c r="N30" i="109" s="1"/>
  <c r="H30" i="109"/>
  <c r="D30" i="109"/>
  <c r="B30" i="109"/>
  <c r="Z29" i="109"/>
  <c r="X29" i="109"/>
  <c r="R29" i="109"/>
  <c r="L29" i="109"/>
  <c r="N29" i="109" s="1"/>
  <c r="B29" i="109"/>
  <c r="Z28" i="109"/>
  <c r="X28" i="109"/>
  <c r="L28" i="109"/>
  <c r="N28" i="109" s="1"/>
  <c r="B28" i="109"/>
  <c r="X27" i="109"/>
  <c r="Z27" i="109" s="1"/>
  <c r="R27" i="109"/>
  <c r="N27" i="109"/>
  <c r="L27" i="109"/>
  <c r="B27" i="109"/>
  <c r="Z26" i="109"/>
  <c r="X26" i="109"/>
  <c r="R26" i="109"/>
  <c r="N26" i="109"/>
  <c r="L26" i="109"/>
  <c r="B26" i="109"/>
  <c r="Z25" i="109"/>
  <c r="X25" i="109"/>
  <c r="L25" i="109"/>
  <c r="N25" i="109" s="1"/>
  <c r="B25" i="109"/>
  <c r="X24" i="109"/>
  <c r="Z24" i="109" s="1"/>
  <c r="L24" i="109"/>
  <c r="N24" i="109" s="1"/>
  <c r="B24" i="109"/>
  <c r="X23" i="109"/>
  <c r="Z23" i="109" s="1"/>
  <c r="R23" i="109"/>
  <c r="N23" i="109"/>
  <c r="L23" i="109"/>
  <c r="B23" i="109"/>
  <c r="Z22" i="109"/>
  <c r="X22" i="109"/>
  <c r="L22" i="109"/>
  <c r="N22" i="109" s="1"/>
  <c r="B22" i="109"/>
  <c r="Z21" i="109"/>
  <c r="X21" i="109"/>
  <c r="N21" i="109"/>
  <c r="L21" i="109"/>
  <c r="B21" i="109"/>
  <c r="V20" i="109"/>
  <c r="T20" i="109"/>
  <c r="P20" i="109"/>
  <c r="N20" i="109"/>
  <c r="L20" i="109"/>
  <c r="H20" i="109"/>
  <c r="D20" i="109"/>
  <c r="B20" i="109"/>
  <c r="T19" i="109"/>
  <c r="V19" i="109" s="1"/>
  <c r="P19" i="109"/>
  <c r="X19" i="109" s="1"/>
  <c r="Z19" i="109" s="1"/>
  <c r="H19" i="109"/>
  <c r="D19" i="109"/>
  <c r="T17" i="109"/>
  <c r="T15" i="109"/>
  <c r="Z15" i="109" s="1"/>
  <c r="P15" i="109"/>
  <c r="X15" i="109" s="1"/>
  <c r="N15" i="109"/>
  <c r="L15" i="109"/>
  <c r="H15" i="109"/>
  <c r="D15" i="109"/>
  <c r="T13" i="109"/>
  <c r="P13" i="109"/>
  <c r="X13" i="109" s="1"/>
  <c r="H13" i="109"/>
  <c r="D13" i="109"/>
  <c r="B13" i="109"/>
  <c r="T12" i="109"/>
  <c r="P12" i="109"/>
  <c r="D6" i="109"/>
  <c r="D4" i="109"/>
  <c r="V42" i="108"/>
  <c r="V39" i="108"/>
  <c r="Z37" i="108"/>
  <c r="X37" i="108"/>
  <c r="V37" i="108"/>
  <c r="N37" i="108"/>
  <c r="L37" i="108"/>
  <c r="Z33" i="108"/>
  <c r="V33" i="108"/>
  <c r="T33" i="108"/>
  <c r="P33" i="108"/>
  <c r="X33" i="108" s="1"/>
  <c r="J33" i="108"/>
  <c r="H33" i="108"/>
  <c r="N33" i="108" s="1"/>
  <c r="F33" i="108"/>
  <c r="D33" i="108"/>
  <c r="B33" i="108"/>
  <c r="X32" i="108"/>
  <c r="V32" i="108"/>
  <c r="T32" i="108"/>
  <c r="P32" i="108"/>
  <c r="H32" i="108"/>
  <c r="D32" i="108"/>
  <c r="D31" i="108" s="1"/>
  <c r="B32" i="108"/>
  <c r="Z31" i="108"/>
  <c r="X31" i="108"/>
  <c r="T31" i="108"/>
  <c r="P31" i="108"/>
  <c r="J31" i="108"/>
  <c r="Z29" i="108"/>
  <c r="X29" i="108"/>
  <c r="V29" i="108"/>
  <c r="N29" i="108"/>
  <c r="L29" i="108"/>
  <c r="B29" i="108"/>
  <c r="Z28" i="108"/>
  <c r="X28" i="108"/>
  <c r="L28" i="108"/>
  <c r="N28" i="108" s="1"/>
  <c r="B28" i="108"/>
  <c r="T27" i="108"/>
  <c r="P27" i="108"/>
  <c r="N27" i="108"/>
  <c r="J27" i="108"/>
  <c r="H27" i="108"/>
  <c r="L27" i="108" s="1"/>
  <c r="D27" i="108"/>
  <c r="B27" i="108"/>
  <c r="X26" i="108"/>
  <c r="Z26" i="108" s="1"/>
  <c r="V26" i="108"/>
  <c r="L26" i="108"/>
  <c r="N26" i="108" s="1"/>
  <c r="J26" i="108"/>
  <c r="B26" i="108"/>
  <c r="Z25" i="108"/>
  <c r="X25" i="108"/>
  <c r="L25" i="108"/>
  <c r="N25" i="108" s="1"/>
  <c r="J25" i="108"/>
  <c r="B25" i="108"/>
  <c r="X24" i="108"/>
  <c r="Z24" i="108" s="1"/>
  <c r="V24" i="108"/>
  <c r="N24" i="108"/>
  <c r="L24" i="108"/>
  <c r="B24" i="108"/>
  <c r="Z23" i="108"/>
  <c r="X23" i="108"/>
  <c r="V23" i="108"/>
  <c r="N23" i="108"/>
  <c r="L23" i="108"/>
  <c r="B23" i="108"/>
  <c r="Z22" i="108"/>
  <c r="X22" i="108"/>
  <c r="L22" i="108"/>
  <c r="N22" i="108" s="1"/>
  <c r="J22" i="108"/>
  <c r="F22" i="108"/>
  <c r="B22" i="108"/>
  <c r="Z21" i="108"/>
  <c r="X21" i="108"/>
  <c r="V21" i="108"/>
  <c r="N21" i="108"/>
  <c r="L21" i="108"/>
  <c r="B21" i="108"/>
  <c r="X20" i="108"/>
  <c r="Z20" i="108" s="1"/>
  <c r="V20" i="108"/>
  <c r="N20" i="108"/>
  <c r="L20" i="108"/>
  <c r="J20" i="108"/>
  <c r="B20" i="108"/>
  <c r="T19" i="108"/>
  <c r="P19" i="108"/>
  <c r="X19" i="108" s="1"/>
  <c r="J19" i="108"/>
  <c r="H19" i="108"/>
  <c r="D19" i="108"/>
  <c r="B19" i="108"/>
  <c r="T18" i="108"/>
  <c r="P18" i="108"/>
  <c r="H18" i="108"/>
  <c r="D18" i="108"/>
  <c r="L18" i="108" s="1"/>
  <c r="T16" i="108"/>
  <c r="P16" i="108"/>
  <c r="J16" i="108"/>
  <c r="T14" i="108"/>
  <c r="Z14" i="108" s="1"/>
  <c r="P14" i="108"/>
  <c r="J14" i="108"/>
  <c r="H14" i="108"/>
  <c r="N14" i="108" s="1"/>
  <c r="D14" i="108"/>
  <c r="T12" i="108"/>
  <c r="V28" i="108" s="1"/>
  <c r="P12" i="108"/>
  <c r="R18" i="108" s="1"/>
  <c r="N12" i="108"/>
  <c r="H12" i="108"/>
  <c r="J28" i="108" s="1"/>
  <c r="D12" i="108"/>
  <c r="F31" i="108" s="1"/>
  <c r="D6" i="108"/>
  <c r="D4" i="108"/>
  <c r="X85" i="107"/>
  <c r="Z85" i="107" s="1"/>
  <c r="L85" i="107"/>
  <c r="N85" i="107" s="1"/>
  <c r="T81" i="107"/>
  <c r="Z81" i="107" s="1"/>
  <c r="P81" i="107"/>
  <c r="H81" i="107"/>
  <c r="N81" i="107" s="1"/>
  <c r="D81" i="107"/>
  <c r="Z79" i="107"/>
  <c r="X79" i="107"/>
  <c r="N79" i="107"/>
  <c r="L79" i="107"/>
  <c r="B79" i="107"/>
  <c r="X78" i="107"/>
  <c r="Z78" i="107" s="1"/>
  <c r="T78" i="107"/>
  <c r="P78" i="107"/>
  <c r="N78" i="107"/>
  <c r="H78" i="107"/>
  <c r="D78" i="107"/>
  <c r="L78" i="107" s="1"/>
  <c r="B78" i="107"/>
  <c r="X77" i="107"/>
  <c r="Z77" i="107" s="1"/>
  <c r="N77" i="107"/>
  <c r="L77" i="107"/>
  <c r="B77" i="107"/>
  <c r="T76" i="107"/>
  <c r="P76" i="107"/>
  <c r="X76" i="107" s="1"/>
  <c r="N76" i="107"/>
  <c r="L76" i="107"/>
  <c r="H76" i="107"/>
  <c r="D76" i="107"/>
  <c r="B76" i="107"/>
  <c r="X75" i="107"/>
  <c r="Z75" i="107" s="1"/>
  <c r="L75" i="107"/>
  <c r="N75" i="107" s="1"/>
  <c r="B75" i="107"/>
  <c r="T74" i="107"/>
  <c r="Z74" i="107" s="1"/>
  <c r="P74" i="107"/>
  <c r="X74" i="107" s="1"/>
  <c r="H74" i="107"/>
  <c r="L74" i="107" s="1"/>
  <c r="N74" i="107" s="1"/>
  <c r="D74" i="107"/>
  <c r="B74" i="107"/>
  <c r="X73" i="107"/>
  <c r="Z73" i="107" s="1"/>
  <c r="N73" i="107"/>
  <c r="L73" i="107"/>
  <c r="B73" i="107"/>
  <c r="Z72" i="107"/>
  <c r="X72" i="107"/>
  <c r="N72" i="107"/>
  <c r="L72" i="107"/>
  <c r="B72" i="107"/>
  <c r="Z71" i="107"/>
  <c r="X71" i="107"/>
  <c r="L71" i="107"/>
  <c r="N71" i="107" s="1"/>
  <c r="B71" i="107"/>
  <c r="Z70" i="107"/>
  <c r="X70" i="107"/>
  <c r="L70" i="107"/>
  <c r="N70" i="107" s="1"/>
  <c r="B70" i="107"/>
  <c r="X69" i="107"/>
  <c r="Z69" i="107" s="1"/>
  <c r="L69" i="107"/>
  <c r="N69" i="107" s="1"/>
  <c r="B69" i="107"/>
  <c r="Z68" i="107"/>
  <c r="X68" i="107"/>
  <c r="L68" i="107"/>
  <c r="N68" i="107" s="1"/>
  <c r="B68" i="107"/>
  <c r="T67" i="107"/>
  <c r="X67" i="107" s="1"/>
  <c r="Z67" i="107" s="1"/>
  <c r="P67" i="107"/>
  <c r="H67" i="107"/>
  <c r="D67" i="107"/>
  <c r="L67" i="107" s="1"/>
  <c r="B67" i="107"/>
  <c r="Z66" i="107"/>
  <c r="X66" i="107"/>
  <c r="N66" i="107"/>
  <c r="L66" i="107"/>
  <c r="B66" i="107"/>
  <c r="X65" i="107"/>
  <c r="Z65" i="107" s="1"/>
  <c r="R65" i="107"/>
  <c r="L65" i="107"/>
  <c r="N65" i="107" s="1"/>
  <c r="B65" i="107"/>
  <c r="X64" i="107"/>
  <c r="Z64" i="107" s="1"/>
  <c r="N64" i="107"/>
  <c r="L64" i="107"/>
  <c r="B64" i="107"/>
  <c r="T63" i="107"/>
  <c r="Z63" i="107" s="1"/>
  <c r="P63" i="107"/>
  <c r="X63" i="107" s="1"/>
  <c r="H63" i="107"/>
  <c r="D63" i="107"/>
  <c r="L63" i="107" s="1"/>
  <c r="N63" i="107" s="1"/>
  <c r="B63" i="107"/>
  <c r="Z62" i="107"/>
  <c r="X62" i="107"/>
  <c r="R62" i="107"/>
  <c r="N62" i="107"/>
  <c r="L62" i="107"/>
  <c r="B62" i="107"/>
  <c r="Z61" i="107"/>
  <c r="X61" i="107"/>
  <c r="T61" i="107"/>
  <c r="P61" i="107"/>
  <c r="H61" i="107"/>
  <c r="N61" i="107" s="1"/>
  <c r="D61" i="107"/>
  <c r="L61" i="107" s="1"/>
  <c r="B61" i="107"/>
  <c r="Z60" i="107"/>
  <c r="X60" i="107"/>
  <c r="L60" i="107"/>
  <c r="N60" i="107" s="1"/>
  <c r="B60" i="107"/>
  <c r="Z59" i="107"/>
  <c r="X59" i="107"/>
  <c r="T59" i="107"/>
  <c r="P59" i="107"/>
  <c r="H59" i="107"/>
  <c r="D59" i="107"/>
  <c r="L59" i="107" s="1"/>
  <c r="B59" i="107"/>
  <c r="X58" i="107"/>
  <c r="Z58" i="107" s="1"/>
  <c r="N58" i="107"/>
  <c r="L58" i="107"/>
  <c r="B58" i="107"/>
  <c r="T57" i="107"/>
  <c r="P57" i="107"/>
  <c r="X57" i="107" s="1"/>
  <c r="H57" i="107"/>
  <c r="D57" i="107"/>
  <c r="L57" i="107" s="1"/>
  <c r="B57" i="107"/>
  <c r="Z56" i="107"/>
  <c r="X56" i="107"/>
  <c r="N56" i="107"/>
  <c r="L56" i="107"/>
  <c r="B56" i="107"/>
  <c r="Z55" i="107"/>
  <c r="X55" i="107"/>
  <c r="T55" i="107"/>
  <c r="P55" i="107"/>
  <c r="H55" i="107"/>
  <c r="N55" i="107" s="1"/>
  <c r="D55" i="107"/>
  <c r="L55" i="107" s="1"/>
  <c r="B55" i="107"/>
  <c r="X54" i="107"/>
  <c r="Z54" i="107" s="1"/>
  <c r="N54" i="107"/>
  <c r="L54" i="107"/>
  <c r="B54" i="107"/>
  <c r="T53" i="107"/>
  <c r="P53" i="107"/>
  <c r="X53" i="107" s="1"/>
  <c r="N53" i="107"/>
  <c r="L53" i="107"/>
  <c r="H53" i="107"/>
  <c r="D53" i="107"/>
  <c r="B53" i="107"/>
  <c r="Z52" i="107"/>
  <c r="X52" i="107"/>
  <c r="N52" i="107"/>
  <c r="L52" i="107"/>
  <c r="B52" i="107"/>
  <c r="X51" i="107"/>
  <c r="T51" i="107"/>
  <c r="P51" i="107"/>
  <c r="H51" i="107"/>
  <c r="N51" i="107" s="1"/>
  <c r="D51" i="107"/>
  <c r="L51" i="107" s="1"/>
  <c r="B51" i="107"/>
  <c r="Z50" i="107"/>
  <c r="X50" i="107"/>
  <c r="N50" i="107"/>
  <c r="L50" i="107"/>
  <c r="B50" i="107"/>
  <c r="X49" i="107"/>
  <c r="T49" i="107"/>
  <c r="Z49" i="107" s="1"/>
  <c r="P49" i="107"/>
  <c r="H49" i="107"/>
  <c r="D49" i="107"/>
  <c r="L49" i="107" s="1"/>
  <c r="N49" i="107" s="1"/>
  <c r="B49" i="107"/>
  <c r="Z48" i="107"/>
  <c r="X48" i="107"/>
  <c r="N48" i="107"/>
  <c r="L48" i="107"/>
  <c r="B48" i="107"/>
  <c r="T47" i="107"/>
  <c r="Z47" i="107" s="1"/>
  <c r="P47" i="107"/>
  <c r="X47" i="107" s="1"/>
  <c r="N47" i="107"/>
  <c r="L47" i="107"/>
  <c r="H47" i="107"/>
  <c r="D47" i="107"/>
  <c r="B47" i="107"/>
  <c r="Z46" i="107"/>
  <c r="X46" i="107"/>
  <c r="L46" i="107"/>
  <c r="N46" i="107" s="1"/>
  <c r="B46" i="107"/>
  <c r="T45" i="107"/>
  <c r="P45" i="107"/>
  <c r="X45" i="107" s="1"/>
  <c r="Z45" i="107" s="1"/>
  <c r="H45" i="107"/>
  <c r="D45" i="107"/>
  <c r="L45" i="107" s="1"/>
  <c r="B45" i="107"/>
  <c r="Z44" i="107"/>
  <c r="X44" i="107"/>
  <c r="N44" i="107"/>
  <c r="L44" i="107"/>
  <c r="B44" i="107"/>
  <c r="X43" i="107"/>
  <c r="Z43" i="107" s="1"/>
  <c r="T43" i="107"/>
  <c r="P43" i="107"/>
  <c r="H43" i="107"/>
  <c r="N43" i="107" s="1"/>
  <c r="D43" i="107"/>
  <c r="L43" i="107" s="1"/>
  <c r="B43" i="107"/>
  <c r="X42" i="107"/>
  <c r="Z42" i="107" s="1"/>
  <c r="L42" i="107"/>
  <c r="N42" i="107" s="1"/>
  <c r="B42" i="107"/>
  <c r="T41" i="107"/>
  <c r="P41" i="107"/>
  <c r="H41" i="107"/>
  <c r="L41" i="107" s="1"/>
  <c r="N41" i="107" s="1"/>
  <c r="D41" i="107"/>
  <c r="B41" i="107"/>
  <c r="X40" i="107"/>
  <c r="Z40" i="107" s="1"/>
  <c r="R40" i="107"/>
  <c r="L40" i="107"/>
  <c r="N40" i="107" s="1"/>
  <c r="B40" i="107"/>
  <c r="X39" i="107"/>
  <c r="Z39" i="107" s="1"/>
  <c r="L39" i="107"/>
  <c r="N39" i="107" s="1"/>
  <c r="B39" i="107"/>
  <c r="Z38" i="107"/>
  <c r="X38" i="107"/>
  <c r="N38" i="107"/>
  <c r="L38" i="107"/>
  <c r="B38" i="107"/>
  <c r="X37" i="107"/>
  <c r="Z37" i="107" s="1"/>
  <c r="N37" i="107"/>
  <c r="L37" i="107"/>
  <c r="B37" i="107"/>
  <c r="Z36" i="107"/>
  <c r="X36" i="107"/>
  <c r="N36" i="107"/>
  <c r="L36" i="107"/>
  <c r="B36" i="107"/>
  <c r="X35" i="107"/>
  <c r="Z35" i="107" s="1"/>
  <c r="L35" i="107"/>
  <c r="N35" i="107" s="1"/>
  <c r="B35" i="107"/>
  <c r="Z34" i="107"/>
  <c r="X34" i="107"/>
  <c r="T34" i="107"/>
  <c r="P34" i="107"/>
  <c r="H34" i="107"/>
  <c r="D34" i="107"/>
  <c r="L34" i="107" s="1"/>
  <c r="N34" i="107" s="1"/>
  <c r="B34" i="107"/>
  <c r="Z33" i="107"/>
  <c r="X33" i="107"/>
  <c r="L33" i="107"/>
  <c r="N33" i="107" s="1"/>
  <c r="B33" i="107"/>
  <c r="Z32" i="107"/>
  <c r="X32" i="107"/>
  <c r="N32" i="107"/>
  <c r="L32" i="107"/>
  <c r="B32" i="107"/>
  <c r="X31" i="107"/>
  <c r="Z31" i="107" s="1"/>
  <c r="R31" i="107"/>
  <c r="L31" i="107"/>
  <c r="N31" i="107" s="1"/>
  <c r="B31" i="107"/>
  <c r="Z30" i="107"/>
  <c r="X30" i="107"/>
  <c r="L30" i="107"/>
  <c r="N30" i="107" s="1"/>
  <c r="J30" i="107"/>
  <c r="B30" i="107"/>
  <c r="Z29" i="107"/>
  <c r="X29" i="107"/>
  <c r="L29" i="107"/>
  <c r="N29" i="107" s="1"/>
  <c r="B29" i="107"/>
  <c r="Z28" i="107"/>
  <c r="X28" i="107"/>
  <c r="N28" i="107"/>
  <c r="L28" i="107"/>
  <c r="B28" i="107"/>
  <c r="X27" i="107"/>
  <c r="Z27" i="107" s="1"/>
  <c r="R27" i="107"/>
  <c r="L27" i="107"/>
  <c r="N27" i="107" s="1"/>
  <c r="B27" i="107"/>
  <c r="Z26" i="107"/>
  <c r="X26" i="107"/>
  <c r="L26" i="107"/>
  <c r="N26" i="107" s="1"/>
  <c r="B26" i="107"/>
  <c r="Z25" i="107"/>
  <c r="X25" i="107"/>
  <c r="L25" i="107"/>
  <c r="N25" i="107" s="1"/>
  <c r="B25" i="107"/>
  <c r="Z24" i="107"/>
  <c r="X24" i="107"/>
  <c r="T24" i="107"/>
  <c r="P24" i="107"/>
  <c r="H24" i="107"/>
  <c r="D24" i="107"/>
  <c r="L24" i="107" s="1"/>
  <c r="N24" i="107" s="1"/>
  <c r="B24" i="107"/>
  <c r="X23" i="107"/>
  <c r="Z23" i="107" s="1"/>
  <c r="T23" i="107"/>
  <c r="P23" i="107"/>
  <c r="H23" i="107"/>
  <c r="D23" i="107"/>
  <c r="L23" i="107" s="1"/>
  <c r="D21" i="107"/>
  <c r="X19" i="107"/>
  <c r="Z19" i="107" s="1"/>
  <c r="L19" i="107"/>
  <c r="N19" i="107" s="1"/>
  <c r="B19" i="107"/>
  <c r="Z18" i="107"/>
  <c r="X18" i="107"/>
  <c r="V18" i="107"/>
  <c r="N18" i="107"/>
  <c r="L18" i="107"/>
  <c r="B18" i="107"/>
  <c r="T17" i="107"/>
  <c r="P17" i="107"/>
  <c r="X17" i="107" s="1"/>
  <c r="L17" i="107"/>
  <c r="N17" i="107" s="1"/>
  <c r="H17" i="107"/>
  <c r="D17" i="107"/>
  <c r="T15" i="107"/>
  <c r="Z15" i="107" s="1"/>
  <c r="P15" i="107"/>
  <c r="X15" i="107" s="1"/>
  <c r="L15" i="107"/>
  <c r="H15" i="107"/>
  <c r="N15" i="107" s="1"/>
  <c r="D15" i="107"/>
  <c r="B15" i="107"/>
  <c r="T14" i="107"/>
  <c r="P14" i="107"/>
  <c r="X14" i="107" s="1"/>
  <c r="H14" i="107"/>
  <c r="H12" i="107" s="1"/>
  <c r="D14" i="107"/>
  <c r="L14" i="107" s="1"/>
  <c r="B14" i="107"/>
  <c r="X13" i="107"/>
  <c r="Z13" i="107" s="1"/>
  <c r="T13" i="107"/>
  <c r="P13" i="107"/>
  <c r="L13" i="107"/>
  <c r="H13" i="107"/>
  <c r="N13" i="107" s="1"/>
  <c r="D13" i="107"/>
  <c r="D12" i="107" s="1"/>
  <c r="F35" i="107" s="1"/>
  <c r="B13" i="107"/>
  <c r="T12" i="107"/>
  <c r="P12" i="107"/>
  <c r="R77" i="107" s="1"/>
  <c r="D6" i="107"/>
  <c r="D4" i="107"/>
  <c r="Z91" i="105"/>
  <c r="X91" i="105"/>
  <c r="N91" i="105"/>
  <c r="L91" i="105"/>
  <c r="T87" i="105"/>
  <c r="Z87" i="105" s="1"/>
  <c r="P87" i="105"/>
  <c r="X87" i="105" s="1"/>
  <c r="N87" i="105"/>
  <c r="H87" i="105"/>
  <c r="D87" i="105"/>
  <c r="L87" i="105" s="1"/>
  <c r="Z85" i="105"/>
  <c r="X85" i="105"/>
  <c r="N85" i="105"/>
  <c r="L85" i="105"/>
  <c r="B85" i="105"/>
  <c r="T84" i="105"/>
  <c r="Z84" i="105" s="1"/>
  <c r="P84" i="105"/>
  <c r="X84" i="105" s="1"/>
  <c r="N84" i="105"/>
  <c r="H84" i="105"/>
  <c r="D84" i="105"/>
  <c r="L84" i="105" s="1"/>
  <c r="B84" i="105"/>
  <c r="Z83" i="105"/>
  <c r="X83" i="105"/>
  <c r="L83" i="105"/>
  <c r="N83" i="105" s="1"/>
  <c r="B83" i="105"/>
  <c r="X82" i="105"/>
  <c r="T82" i="105"/>
  <c r="Z82" i="105" s="1"/>
  <c r="P82" i="105"/>
  <c r="L82" i="105"/>
  <c r="H82" i="105"/>
  <c r="D82" i="105"/>
  <c r="B82" i="105"/>
  <c r="Z81" i="105"/>
  <c r="X81" i="105"/>
  <c r="N81" i="105"/>
  <c r="L81" i="105"/>
  <c r="B81" i="105"/>
  <c r="T80" i="105"/>
  <c r="P80" i="105"/>
  <c r="H80" i="105"/>
  <c r="D80" i="105"/>
  <c r="B80" i="105"/>
  <c r="Z79" i="105"/>
  <c r="X79" i="105"/>
  <c r="N79" i="105"/>
  <c r="L79" i="105"/>
  <c r="B79" i="105"/>
  <c r="Z78" i="105"/>
  <c r="X78" i="105"/>
  <c r="N78" i="105"/>
  <c r="L78" i="105"/>
  <c r="B78" i="105"/>
  <c r="Z77" i="105"/>
  <c r="X77" i="105"/>
  <c r="N77" i="105"/>
  <c r="L77" i="105"/>
  <c r="B77" i="105"/>
  <c r="X76" i="105"/>
  <c r="Z76" i="105" s="1"/>
  <c r="L76" i="105"/>
  <c r="N76" i="105" s="1"/>
  <c r="B76" i="105"/>
  <c r="Z75" i="105"/>
  <c r="X75" i="105"/>
  <c r="N75" i="105"/>
  <c r="L75" i="105"/>
  <c r="B75" i="105"/>
  <c r="X74" i="105"/>
  <c r="Z74" i="105" s="1"/>
  <c r="L74" i="105"/>
  <c r="N74" i="105" s="1"/>
  <c r="B74" i="105"/>
  <c r="Z73" i="105"/>
  <c r="X73" i="105"/>
  <c r="N73" i="105"/>
  <c r="L73" i="105"/>
  <c r="B73" i="105"/>
  <c r="Z72" i="105"/>
  <c r="X72" i="105"/>
  <c r="N72" i="105"/>
  <c r="L72" i="105"/>
  <c r="B72" i="105"/>
  <c r="Z71" i="105"/>
  <c r="X71" i="105"/>
  <c r="N71" i="105"/>
  <c r="L71" i="105"/>
  <c r="B71" i="105"/>
  <c r="Z70" i="105"/>
  <c r="X70" i="105"/>
  <c r="T70" i="105"/>
  <c r="P70" i="105"/>
  <c r="H70" i="105"/>
  <c r="D70" i="105"/>
  <c r="L70" i="105" s="1"/>
  <c r="B70" i="105"/>
  <c r="Z69" i="105"/>
  <c r="X69" i="105"/>
  <c r="N69" i="105"/>
  <c r="L69" i="105"/>
  <c r="B69" i="105"/>
  <c r="X68" i="105"/>
  <c r="T68" i="105"/>
  <c r="Z68" i="105" s="1"/>
  <c r="P68" i="105"/>
  <c r="L68" i="105"/>
  <c r="H68" i="105"/>
  <c r="N68" i="105" s="1"/>
  <c r="D68" i="105"/>
  <c r="B68" i="105"/>
  <c r="X67" i="105"/>
  <c r="Z67" i="105" s="1"/>
  <c r="N67" i="105"/>
  <c r="L67" i="105"/>
  <c r="B67" i="105"/>
  <c r="X66" i="105"/>
  <c r="Z66" i="105" s="1"/>
  <c r="N66" i="105"/>
  <c r="L66" i="105"/>
  <c r="B66" i="105"/>
  <c r="Z65" i="105"/>
  <c r="X65" i="105"/>
  <c r="N65" i="105"/>
  <c r="L65" i="105"/>
  <c r="B65" i="105"/>
  <c r="Z64" i="105"/>
  <c r="X64" i="105"/>
  <c r="N64" i="105"/>
  <c r="L64" i="105"/>
  <c r="B64" i="105"/>
  <c r="X63" i="105"/>
  <c r="Z63" i="105" s="1"/>
  <c r="T63" i="105"/>
  <c r="P63" i="105"/>
  <c r="H63" i="105"/>
  <c r="D63" i="105"/>
  <c r="L63" i="105" s="1"/>
  <c r="N63" i="105" s="1"/>
  <c r="B63" i="105"/>
  <c r="Z62" i="105"/>
  <c r="X62" i="105"/>
  <c r="N62" i="105"/>
  <c r="L62" i="105"/>
  <c r="B62" i="105"/>
  <c r="Z61" i="105"/>
  <c r="X61" i="105"/>
  <c r="N61" i="105"/>
  <c r="L61" i="105"/>
  <c r="B61" i="105"/>
  <c r="X60" i="105"/>
  <c r="Z60" i="105" s="1"/>
  <c r="N60" i="105"/>
  <c r="L60" i="105"/>
  <c r="B60" i="105"/>
  <c r="Z59" i="105"/>
  <c r="T59" i="105"/>
  <c r="P59" i="105"/>
  <c r="X59" i="105" s="1"/>
  <c r="L59" i="105"/>
  <c r="H59" i="105"/>
  <c r="N59" i="105" s="1"/>
  <c r="D59" i="105"/>
  <c r="B59" i="105"/>
  <c r="X58" i="105"/>
  <c r="Z58" i="105" s="1"/>
  <c r="R58" i="105"/>
  <c r="L58" i="105"/>
  <c r="N58" i="105" s="1"/>
  <c r="B58" i="105"/>
  <c r="X57" i="105"/>
  <c r="Z57" i="105" s="1"/>
  <c r="T57" i="105"/>
  <c r="P57" i="105"/>
  <c r="H57" i="105"/>
  <c r="D57" i="105"/>
  <c r="B57" i="105"/>
  <c r="X56" i="105"/>
  <c r="Z56" i="105" s="1"/>
  <c r="L56" i="105"/>
  <c r="N56" i="105" s="1"/>
  <c r="B56" i="105"/>
  <c r="X55" i="105"/>
  <c r="Z55" i="105" s="1"/>
  <c r="T55" i="105"/>
  <c r="P55" i="105"/>
  <c r="N55" i="105"/>
  <c r="H55" i="105"/>
  <c r="D55" i="105"/>
  <c r="L55" i="105" s="1"/>
  <c r="B55" i="105"/>
  <c r="X54" i="105"/>
  <c r="Z54" i="105" s="1"/>
  <c r="L54" i="105"/>
  <c r="N54" i="105" s="1"/>
  <c r="B54" i="105"/>
  <c r="T53" i="105"/>
  <c r="P53" i="105"/>
  <c r="X53" i="105" s="1"/>
  <c r="Z53" i="105" s="1"/>
  <c r="N53" i="105"/>
  <c r="H53" i="105"/>
  <c r="D53" i="105"/>
  <c r="L53" i="105" s="1"/>
  <c r="B53" i="105"/>
  <c r="Z52" i="105"/>
  <c r="X52" i="105"/>
  <c r="L52" i="105"/>
  <c r="N52" i="105" s="1"/>
  <c r="B52" i="105"/>
  <c r="T51" i="105"/>
  <c r="P51" i="105"/>
  <c r="X51" i="105" s="1"/>
  <c r="Z51" i="105" s="1"/>
  <c r="L51" i="105"/>
  <c r="N51" i="105" s="1"/>
  <c r="H51" i="105"/>
  <c r="D51" i="105"/>
  <c r="B51" i="105"/>
  <c r="X50" i="105"/>
  <c r="Z50" i="105" s="1"/>
  <c r="L50" i="105"/>
  <c r="N50" i="105" s="1"/>
  <c r="B50" i="105"/>
  <c r="T49" i="105"/>
  <c r="P49" i="105"/>
  <c r="H49" i="105"/>
  <c r="L49" i="105" s="1"/>
  <c r="N49" i="105" s="1"/>
  <c r="D49" i="105"/>
  <c r="B49" i="105"/>
  <c r="Z48" i="105"/>
  <c r="X48" i="105"/>
  <c r="N48" i="105"/>
  <c r="L48" i="105"/>
  <c r="B48" i="105"/>
  <c r="T47" i="105"/>
  <c r="Z47" i="105" s="1"/>
  <c r="P47" i="105"/>
  <c r="X47" i="105" s="1"/>
  <c r="N47" i="105"/>
  <c r="L47" i="105"/>
  <c r="H47" i="105"/>
  <c r="D47" i="105"/>
  <c r="B47" i="105"/>
  <c r="X46" i="105"/>
  <c r="Z46" i="105" s="1"/>
  <c r="L46" i="105"/>
  <c r="N46" i="105" s="1"/>
  <c r="B46" i="105"/>
  <c r="T45" i="105"/>
  <c r="P45" i="105"/>
  <c r="X45" i="105" s="1"/>
  <c r="H45" i="105"/>
  <c r="D45" i="105"/>
  <c r="B45" i="105"/>
  <c r="X44" i="105"/>
  <c r="Z44" i="105" s="1"/>
  <c r="N44" i="105"/>
  <c r="L44" i="105"/>
  <c r="B44" i="105"/>
  <c r="T43" i="105"/>
  <c r="P43" i="105"/>
  <c r="X43" i="105" s="1"/>
  <c r="Z43" i="105" s="1"/>
  <c r="H43" i="105"/>
  <c r="N43" i="105" s="1"/>
  <c r="D43" i="105"/>
  <c r="L43" i="105" s="1"/>
  <c r="B43" i="105"/>
  <c r="X42" i="105"/>
  <c r="Z42" i="105" s="1"/>
  <c r="N42" i="105"/>
  <c r="L42" i="105"/>
  <c r="B42" i="105"/>
  <c r="X41" i="105"/>
  <c r="Z41" i="105" s="1"/>
  <c r="T41" i="105"/>
  <c r="P41" i="105"/>
  <c r="L41" i="105"/>
  <c r="N41" i="105" s="1"/>
  <c r="H41" i="105"/>
  <c r="D41" i="105"/>
  <c r="B41" i="105"/>
  <c r="Z40" i="105"/>
  <c r="X40" i="105"/>
  <c r="L40" i="105"/>
  <c r="N40" i="105" s="1"/>
  <c r="B40" i="105"/>
  <c r="X39" i="105"/>
  <c r="Z39" i="105" s="1"/>
  <c r="R39" i="105"/>
  <c r="N39" i="105"/>
  <c r="L39" i="105"/>
  <c r="B39" i="105"/>
  <c r="Z38" i="105"/>
  <c r="X38" i="105"/>
  <c r="L38" i="105"/>
  <c r="N38" i="105" s="1"/>
  <c r="B38" i="105"/>
  <c r="Z37" i="105"/>
  <c r="X37" i="105"/>
  <c r="L37" i="105"/>
  <c r="N37" i="105" s="1"/>
  <c r="B37" i="105"/>
  <c r="Z36" i="105"/>
  <c r="X36" i="105"/>
  <c r="L36" i="105"/>
  <c r="N36" i="105" s="1"/>
  <c r="B36" i="105"/>
  <c r="X35" i="105"/>
  <c r="Z35" i="105" s="1"/>
  <c r="N35" i="105"/>
  <c r="L35" i="105"/>
  <c r="B35" i="105"/>
  <c r="T34" i="105"/>
  <c r="P34" i="105"/>
  <c r="X34" i="105" s="1"/>
  <c r="Z34" i="105" s="1"/>
  <c r="N34" i="105"/>
  <c r="L34" i="105"/>
  <c r="H34" i="105"/>
  <c r="D34" i="105"/>
  <c r="B34" i="105"/>
  <c r="X33" i="105"/>
  <c r="Z33" i="105" s="1"/>
  <c r="L33" i="105"/>
  <c r="N33" i="105" s="1"/>
  <c r="B33" i="105"/>
  <c r="X32" i="105"/>
  <c r="Z32" i="105" s="1"/>
  <c r="N32" i="105"/>
  <c r="L32" i="105"/>
  <c r="B32" i="105"/>
  <c r="Z31" i="105"/>
  <c r="X31" i="105"/>
  <c r="L31" i="105"/>
  <c r="N31" i="105" s="1"/>
  <c r="B31" i="105"/>
  <c r="X30" i="105"/>
  <c r="Z30" i="105" s="1"/>
  <c r="L30" i="105"/>
  <c r="N30" i="105" s="1"/>
  <c r="B30" i="105"/>
  <c r="X29" i="105"/>
  <c r="Z29" i="105" s="1"/>
  <c r="L29" i="105"/>
  <c r="N29" i="105" s="1"/>
  <c r="B29" i="105"/>
  <c r="X28" i="105"/>
  <c r="Z28" i="105" s="1"/>
  <c r="N28" i="105"/>
  <c r="L28" i="105"/>
  <c r="B28" i="105"/>
  <c r="Z27" i="105"/>
  <c r="X27" i="105"/>
  <c r="L27" i="105"/>
  <c r="N27" i="105" s="1"/>
  <c r="B27" i="105"/>
  <c r="X26" i="105"/>
  <c r="Z26" i="105" s="1"/>
  <c r="L26" i="105"/>
  <c r="N26" i="105" s="1"/>
  <c r="B26" i="105"/>
  <c r="X25" i="105"/>
  <c r="Z25" i="105" s="1"/>
  <c r="L25" i="105"/>
  <c r="N25" i="105" s="1"/>
  <c r="B25" i="105"/>
  <c r="X24" i="105"/>
  <c r="T24" i="105"/>
  <c r="Z24" i="105" s="1"/>
  <c r="P24" i="105"/>
  <c r="H24" i="105"/>
  <c r="D24" i="105"/>
  <c r="B24" i="105"/>
  <c r="T23" i="105"/>
  <c r="P23" i="105"/>
  <c r="X23" i="105" s="1"/>
  <c r="H23" i="105"/>
  <c r="D23" i="105"/>
  <c r="L23" i="105" s="1"/>
  <c r="X19" i="105"/>
  <c r="Z19" i="105" s="1"/>
  <c r="L19" i="105"/>
  <c r="N19" i="105" s="1"/>
  <c r="B19" i="105"/>
  <c r="Z18" i="105"/>
  <c r="X18" i="105"/>
  <c r="N18" i="105"/>
  <c r="L18" i="105"/>
  <c r="B18" i="105"/>
  <c r="X17" i="105"/>
  <c r="T17" i="105"/>
  <c r="Z17" i="105" s="1"/>
  <c r="P17" i="105"/>
  <c r="H17" i="105"/>
  <c r="D17" i="105"/>
  <c r="L17" i="105" s="1"/>
  <c r="X15" i="105"/>
  <c r="T15" i="105"/>
  <c r="Z15" i="105" s="1"/>
  <c r="P15" i="105"/>
  <c r="H15" i="105"/>
  <c r="D15" i="105"/>
  <c r="L15" i="105" s="1"/>
  <c r="N15" i="105" s="1"/>
  <c r="B15" i="105"/>
  <c r="T14" i="105"/>
  <c r="T12" i="105" s="1"/>
  <c r="V67" i="105" s="1"/>
  <c r="P14" i="105"/>
  <c r="X14" i="105" s="1"/>
  <c r="N14" i="105"/>
  <c r="L14" i="105"/>
  <c r="H14" i="105"/>
  <c r="D14" i="105"/>
  <c r="B14" i="105"/>
  <c r="T13" i="105"/>
  <c r="P13" i="105"/>
  <c r="P12" i="105" s="1"/>
  <c r="H13" i="105"/>
  <c r="H12" i="105" s="1"/>
  <c r="D13" i="105"/>
  <c r="B13" i="105"/>
  <c r="D6" i="105"/>
  <c r="D4" i="105"/>
  <c r="Z53" i="104"/>
  <c r="X53" i="104"/>
  <c r="L53" i="104"/>
  <c r="N53" i="104" s="1"/>
  <c r="T49" i="104"/>
  <c r="Z49" i="104" s="1"/>
  <c r="P49" i="104"/>
  <c r="X49" i="104" s="1"/>
  <c r="N49" i="104"/>
  <c r="L49" i="104"/>
  <c r="H49" i="104"/>
  <c r="D49" i="104"/>
  <c r="Z47" i="104"/>
  <c r="X47" i="104"/>
  <c r="N47" i="104"/>
  <c r="L47" i="104"/>
  <c r="B47" i="104"/>
  <c r="T46" i="104"/>
  <c r="P46" i="104"/>
  <c r="X46" i="104" s="1"/>
  <c r="L46" i="104"/>
  <c r="N46" i="104" s="1"/>
  <c r="H46" i="104"/>
  <c r="D46" i="104"/>
  <c r="B46" i="104"/>
  <c r="Z45" i="104"/>
  <c r="X45" i="104"/>
  <c r="N45" i="104"/>
  <c r="L45" i="104"/>
  <c r="B45" i="104"/>
  <c r="Z44" i="104"/>
  <c r="X44" i="104"/>
  <c r="N44" i="104"/>
  <c r="L44" i="104"/>
  <c r="B44" i="104"/>
  <c r="Z43" i="104"/>
  <c r="X43" i="104"/>
  <c r="N43" i="104"/>
  <c r="L43" i="104"/>
  <c r="B43" i="104"/>
  <c r="T42" i="104"/>
  <c r="P42" i="104"/>
  <c r="N42" i="104"/>
  <c r="H42" i="104"/>
  <c r="D42" i="104"/>
  <c r="L42" i="104" s="1"/>
  <c r="B42" i="104"/>
  <c r="X41" i="104"/>
  <c r="Z41" i="104" s="1"/>
  <c r="N41" i="104"/>
  <c r="L41" i="104"/>
  <c r="B41" i="104"/>
  <c r="T40" i="104"/>
  <c r="P40" i="104"/>
  <c r="X40" i="104" s="1"/>
  <c r="N40" i="104"/>
  <c r="L40" i="104"/>
  <c r="H40" i="104"/>
  <c r="D40" i="104"/>
  <c r="B40" i="104"/>
  <c r="Z39" i="104"/>
  <c r="X39" i="104"/>
  <c r="N39" i="104"/>
  <c r="L39" i="104"/>
  <c r="B39" i="104"/>
  <c r="T38" i="104"/>
  <c r="P38" i="104"/>
  <c r="X38" i="104" s="1"/>
  <c r="N38" i="104"/>
  <c r="L38" i="104"/>
  <c r="H38" i="104"/>
  <c r="D38" i="104"/>
  <c r="B38" i="104"/>
  <c r="Z37" i="104"/>
  <c r="X37" i="104"/>
  <c r="L37" i="104"/>
  <c r="N37" i="104" s="1"/>
  <c r="B37" i="104"/>
  <c r="T36" i="104"/>
  <c r="P36" i="104"/>
  <c r="X36" i="104" s="1"/>
  <c r="H36" i="104"/>
  <c r="D36" i="104"/>
  <c r="B36" i="104"/>
  <c r="X35" i="104"/>
  <c r="Z35" i="104" s="1"/>
  <c r="N35" i="104"/>
  <c r="L35" i="104"/>
  <c r="B35" i="104"/>
  <c r="Z34" i="104"/>
  <c r="X34" i="104"/>
  <c r="T34" i="104"/>
  <c r="P34" i="104"/>
  <c r="H34" i="104"/>
  <c r="N34" i="104" s="1"/>
  <c r="D34" i="104"/>
  <c r="L34" i="104" s="1"/>
  <c r="B34" i="104"/>
  <c r="Z33" i="104"/>
  <c r="X33" i="104"/>
  <c r="N33" i="104"/>
  <c r="L33" i="104"/>
  <c r="B33" i="104"/>
  <c r="X32" i="104"/>
  <c r="Z32" i="104" s="1"/>
  <c r="T32" i="104"/>
  <c r="P32" i="104"/>
  <c r="H32" i="104"/>
  <c r="N32" i="104" s="1"/>
  <c r="D32" i="104"/>
  <c r="L32" i="104" s="1"/>
  <c r="B32" i="104"/>
  <c r="Z31" i="104"/>
  <c r="X31" i="104"/>
  <c r="N31" i="104"/>
  <c r="L31" i="104"/>
  <c r="B31" i="104"/>
  <c r="X30" i="104"/>
  <c r="Z30" i="104" s="1"/>
  <c r="N30" i="104"/>
  <c r="L30" i="104"/>
  <c r="B30" i="104"/>
  <c r="Z29" i="104"/>
  <c r="X29" i="104"/>
  <c r="N29" i="104"/>
  <c r="L29" i="104"/>
  <c r="F29" i="104"/>
  <c r="B29" i="104"/>
  <c r="T28" i="104"/>
  <c r="P28" i="104"/>
  <c r="X28" i="104" s="1"/>
  <c r="Z28" i="104" s="1"/>
  <c r="H28" i="104"/>
  <c r="N28" i="104" s="1"/>
  <c r="D28" i="104"/>
  <c r="B28" i="104"/>
  <c r="X27" i="104"/>
  <c r="Z27" i="104" s="1"/>
  <c r="N27" i="104"/>
  <c r="L27" i="104"/>
  <c r="B27" i="104"/>
  <c r="Z26" i="104"/>
  <c r="X26" i="104"/>
  <c r="L26" i="104"/>
  <c r="N26" i="104" s="1"/>
  <c r="B26" i="104"/>
  <c r="X25" i="104"/>
  <c r="Z25" i="104" s="1"/>
  <c r="N25" i="104"/>
  <c r="L25" i="104"/>
  <c r="B25" i="104"/>
  <c r="T24" i="104"/>
  <c r="P24" i="104"/>
  <c r="X24" i="104" s="1"/>
  <c r="N24" i="104"/>
  <c r="L24" i="104"/>
  <c r="H24" i="104"/>
  <c r="D24" i="104"/>
  <c r="B24" i="104"/>
  <c r="T23" i="104"/>
  <c r="P23" i="104"/>
  <c r="H23" i="104"/>
  <c r="D23" i="104"/>
  <c r="L23" i="104" s="1"/>
  <c r="T21" i="104"/>
  <c r="Z19" i="104"/>
  <c r="X19" i="104"/>
  <c r="N19" i="104"/>
  <c r="L19" i="104"/>
  <c r="B19" i="104"/>
  <c r="X18" i="104"/>
  <c r="Z18" i="104" s="1"/>
  <c r="N18" i="104"/>
  <c r="L18" i="104"/>
  <c r="J18" i="104"/>
  <c r="F18" i="104"/>
  <c r="B18" i="104"/>
  <c r="Z17" i="104"/>
  <c r="X17" i="104"/>
  <c r="T17" i="104"/>
  <c r="P17" i="104"/>
  <c r="H17" i="104"/>
  <c r="N17" i="104" s="1"/>
  <c r="F17" i="104"/>
  <c r="D17" i="104"/>
  <c r="Z15" i="104"/>
  <c r="X15" i="104"/>
  <c r="T15" i="104"/>
  <c r="P15" i="104"/>
  <c r="H15" i="104"/>
  <c r="N15" i="104" s="1"/>
  <c r="D15" i="104"/>
  <c r="B15" i="104"/>
  <c r="T14" i="104"/>
  <c r="P14" i="104"/>
  <c r="N14" i="104"/>
  <c r="H14" i="104"/>
  <c r="D14" i="104"/>
  <c r="L14" i="104" s="1"/>
  <c r="B14" i="104"/>
  <c r="T13" i="104"/>
  <c r="T12" i="104" s="1"/>
  <c r="V41" i="104" s="1"/>
  <c r="P13" i="104"/>
  <c r="N13" i="104"/>
  <c r="L13" i="104"/>
  <c r="H13" i="104"/>
  <c r="D13" i="104"/>
  <c r="B13" i="104"/>
  <c r="H12" i="104"/>
  <c r="J29" i="104" s="1"/>
  <c r="D12" i="104"/>
  <c r="D6" i="104"/>
  <c r="D4" i="104"/>
  <c r="Z87" i="103"/>
  <c r="X87" i="103"/>
  <c r="L87" i="103"/>
  <c r="N87" i="103" s="1"/>
  <c r="Z83" i="103"/>
  <c r="X83" i="103"/>
  <c r="T83" i="103"/>
  <c r="P83" i="103"/>
  <c r="H83" i="103"/>
  <c r="N83" i="103" s="1"/>
  <c r="D83" i="103"/>
  <c r="L83" i="103" s="1"/>
  <c r="X81" i="103"/>
  <c r="Z81" i="103" s="1"/>
  <c r="N81" i="103"/>
  <c r="L81" i="103"/>
  <c r="B81" i="103"/>
  <c r="T80" i="103"/>
  <c r="P80" i="103"/>
  <c r="X80" i="103" s="1"/>
  <c r="N80" i="103"/>
  <c r="L80" i="103"/>
  <c r="H80" i="103"/>
  <c r="D80" i="103"/>
  <c r="B80" i="103"/>
  <c r="X79" i="103"/>
  <c r="Z79" i="103" s="1"/>
  <c r="N79" i="103"/>
  <c r="L79" i="103"/>
  <c r="B79" i="103"/>
  <c r="T78" i="103"/>
  <c r="P78" i="103"/>
  <c r="X78" i="103" s="1"/>
  <c r="Z78" i="103" s="1"/>
  <c r="N78" i="103"/>
  <c r="L78" i="103"/>
  <c r="H78" i="103"/>
  <c r="D78" i="103"/>
  <c r="B78" i="103"/>
  <c r="X77" i="103"/>
  <c r="Z77" i="103" s="1"/>
  <c r="N77" i="103"/>
  <c r="L77" i="103"/>
  <c r="B77" i="103"/>
  <c r="X76" i="103"/>
  <c r="T76" i="103"/>
  <c r="Z76" i="103" s="1"/>
  <c r="P76" i="103"/>
  <c r="L76" i="103"/>
  <c r="H76" i="103"/>
  <c r="D76" i="103"/>
  <c r="B76" i="103"/>
  <c r="X75" i="103"/>
  <c r="Z75" i="103" s="1"/>
  <c r="L75" i="103"/>
  <c r="N75" i="103" s="1"/>
  <c r="B75" i="103"/>
  <c r="Z74" i="103"/>
  <c r="X74" i="103"/>
  <c r="N74" i="103"/>
  <c r="L74" i="103"/>
  <c r="B74" i="103"/>
  <c r="Z73" i="103"/>
  <c r="X73" i="103"/>
  <c r="N73" i="103"/>
  <c r="L73" i="103"/>
  <c r="B73" i="103"/>
  <c r="Z72" i="103"/>
  <c r="X72" i="103"/>
  <c r="L72" i="103"/>
  <c r="N72" i="103" s="1"/>
  <c r="B72" i="103"/>
  <c r="X71" i="103"/>
  <c r="Z71" i="103" s="1"/>
  <c r="L71" i="103"/>
  <c r="N71" i="103" s="1"/>
  <c r="B71" i="103"/>
  <c r="Z70" i="103"/>
  <c r="X70" i="103"/>
  <c r="N70" i="103"/>
  <c r="L70" i="103"/>
  <c r="B70" i="103"/>
  <c r="Z69" i="103"/>
  <c r="X69" i="103"/>
  <c r="N69" i="103"/>
  <c r="L69" i="103"/>
  <c r="B69" i="103"/>
  <c r="Z68" i="103"/>
  <c r="X68" i="103"/>
  <c r="N68" i="103"/>
  <c r="L68" i="103"/>
  <c r="B68" i="103"/>
  <c r="T67" i="103"/>
  <c r="Z67" i="103" s="1"/>
  <c r="P67" i="103"/>
  <c r="X67" i="103" s="1"/>
  <c r="H67" i="103"/>
  <c r="D67" i="103"/>
  <c r="B67" i="103"/>
  <c r="Z66" i="103"/>
  <c r="X66" i="103"/>
  <c r="L66" i="103"/>
  <c r="N66" i="103" s="1"/>
  <c r="B66" i="103"/>
  <c r="Z65" i="103"/>
  <c r="X65" i="103"/>
  <c r="L65" i="103"/>
  <c r="N65" i="103" s="1"/>
  <c r="B65" i="103"/>
  <c r="Z64" i="103"/>
  <c r="X64" i="103"/>
  <c r="N64" i="103"/>
  <c r="L64" i="103"/>
  <c r="B64" i="103"/>
  <c r="T63" i="103"/>
  <c r="P63" i="103"/>
  <c r="X63" i="103" s="1"/>
  <c r="N63" i="103"/>
  <c r="H63" i="103"/>
  <c r="D63" i="103"/>
  <c r="L63" i="103" s="1"/>
  <c r="B63" i="103"/>
  <c r="Z62" i="103"/>
  <c r="X62" i="103"/>
  <c r="N62" i="103"/>
  <c r="L62" i="103"/>
  <c r="B62" i="103"/>
  <c r="X61" i="103"/>
  <c r="Z61" i="103" s="1"/>
  <c r="N61" i="103"/>
  <c r="L61" i="103"/>
  <c r="B61" i="103"/>
  <c r="X60" i="103"/>
  <c r="Z60" i="103" s="1"/>
  <c r="N60" i="103"/>
  <c r="L60" i="103"/>
  <c r="B60" i="103"/>
  <c r="T59" i="103"/>
  <c r="P59" i="103"/>
  <c r="X59" i="103" s="1"/>
  <c r="Z59" i="103" s="1"/>
  <c r="H59" i="103"/>
  <c r="N59" i="103" s="1"/>
  <c r="D59" i="103"/>
  <c r="L59" i="103" s="1"/>
  <c r="B59" i="103"/>
  <c r="Z58" i="103"/>
  <c r="X58" i="103"/>
  <c r="N58" i="103"/>
  <c r="L58" i="103"/>
  <c r="B58" i="103"/>
  <c r="T57" i="103"/>
  <c r="P57" i="103"/>
  <c r="L57" i="103"/>
  <c r="H57" i="103"/>
  <c r="D57" i="103"/>
  <c r="B57" i="103"/>
  <c r="Z56" i="103"/>
  <c r="X56" i="103"/>
  <c r="L56" i="103"/>
  <c r="N56" i="103" s="1"/>
  <c r="B56" i="103"/>
  <c r="X55" i="103"/>
  <c r="T55" i="103"/>
  <c r="P55" i="103"/>
  <c r="N55" i="103"/>
  <c r="H55" i="103"/>
  <c r="D55" i="103"/>
  <c r="L55" i="103" s="1"/>
  <c r="B55" i="103"/>
  <c r="Z54" i="103"/>
  <c r="X54" i="103"/>
  <c r="N54" i="103"/>
  <c r="L54" i="103"/>
  <c r="B54" i="103"/>
  <c r="T53" i="103"/>
  <c r="P53" i="103"/>
  <c r="X53" i="103" s="1"/>
  <c r="N53" i="103"/>
  <c r="L53" i="103"/>
  <c r="H53" i="103"/>
  <c r="D53" i="103"/>
  <c r="B53" i="103"/>
  <c r="Z52" i="103"/>
  <c r="X52" i="103"/>
  <c r="L52" i="103"/>
  <c r="N52" i="103" s="1"/>
  <c r="B52" i="103"/>
  <c r="T51" i="103"/>
  <c r="P51" i="103"/>
  <c r="X51" i="103" s="1"/>
  <c r="H51" i="103"/>
  <c r="D51" i="103"/>
  <c r="B51" i="103"/>
  <c r="Z50" i="103"/>
  <c r="X50" i="103"/>
  <c r="N50" i="103"/>
  <c r="L50" i="103"/>
  <c r="B50" i="103"/>
  <c r="T49" i="103"/>
  <c r="P49" i="103"/>
  <c r="H49" i="103"/>
  <c r="D49" i="103"/>
  <c r="L49" i="103" s="1"/>
  <c r="B49" i="103"/>
  <c r="Z48" i="103"/>
  <c r="X48" i="103"/>
  <c r="N48" i="103"/>
  <c r="L48" i="103"/>
  <c r="B48" i="103"/>
  <c r="T47" i="103"/>
  <c r="Z47" i="103" s="1"/>
  <c r="R47" i="103"/>
  <c r="P47" i="103"/>
  <c r="X47" i="103" s="1"/>
  <c r="N47" i="103"/>
  <c r="L47" i="103"/>
  <c r="H47" i="103"/>
  <c r="D47" i="103"/>
  <c r="B47" i="103"/>
  <c r="Z46" i="103"/>
  <c r="X46" i="103"/>
  <c r="N46" i="103"/>
  <c r="L46" i="103"/>
  <c r="B46" i="103"/>
  <c r="T45" i="103"/>
  <c r="P45" i="103"/>
  <c r="X45" i="103" s="1"/>
  <c r="H45" i="103"/>
  <c r="D45" i="103"/>
  <c r="L45" i="103" s="1"/>
  <c r="B45" i="103"/>
  <c r="Z44" i="103"/>
  <c r="X44" i="103"/>
  <c r="N44" i="103"/>
  <c r="L44" i="103"/>
  <c r="B44" i="103"/>
  <c r="X43" i="103"/>
  <c r="T43" i="103"/>
  <c r="P43" i="103"/>
  <c r="L43" i="103"/>
  <c r="H43" i="103"/>
  <c r="N43" i="103" s="1"/>
  <c r="D43" i="103"/>
  <c r="B43" i="103"/>
  <c r="Z42" i="103"/>
  <c r="X42" i="103"/>
  <c r="L42" i="103"/>
  <c r="N42" i="103" s="1"/>
  <c r="B42" i="103"/>
  <c r="T41" i="103"/>
  <c r="P41" i="103"/>
  <c r="H41" i="103"/>
  <c r="D41" i="103"/>
  <c r="L41" i="103" s="1"/>
  <c r="N41" i="103" s="1"/>
  <c r="B41" i="103"/>
  <c r="Z40" i="103"/>
  <c r="X40" i="103"/>
  <c r="L40" i="103"/>
  <c r="N40" i="103" s="1"/>
  <c r="B40" i="103"/>
  <c r="Z39" i="103"/>
  <c r="X39" i="103"/>
  <c r="L39" i="103"/>
  <c r="N39" i="103" s="1"/>
  <c r="B39" i="103"/>
  <c r="Z38" i="103"/>
  <c r="X38" i="103"/>
  <c r="N38" i="103"/>
  <c r="L38" i="103"/>
  <c r="B38" i="103"/>
  <c r="X37" i="103"/>
  <c r="Z37" i="103" s="1"/>
  <c r="N37" i="103"/>
  <c r="L37" i="103"/>
  <c r="B37" i="103"/>
  <c r="X36" i="103"/>
  <c r="Z36" i="103" s="1"/>
  <c r="N36" i="103"/>
  <c r="L36" i="103"/>
  <c r="B36" i="103"/>
  <c r="X35" i="103"/>
  <c r="Z35" i="103" s="1"/>
  <c r="L35" i="103"/>
  <c r="N35" i="103" s="1"/>
  <c r="F35" i="103"/>
  <c r="B35" i="103"/>
  <c r="X34" i="103"/>
  <c r="Z34" i="103" s="1"/>
  <c r="T34" i="103"/>
  <c r="P34" i="103"/>
  <c r="H34" i="103"/>
  <c r="D34" i="103"/>
  <c r="L34" i="103" s="1"/>
  <c r="B34" i="103"/>
  <c r="Z33" i="103"/>
  <c r="X33" i="103"/>
  <c r="N33" i="103"/>
  <c r="L33" i="103"/>
  <c r="B33" i="103"/>
  <c r="Z32" i="103"/>
  <c r="X32" i="103"/>
  <c r="N32" i="103"/>
  <c r="L32" i="103"/>
  <c r="B32" i="103"/>
  <c r="X31" i="103"/>
  <c r="Z31" i="103" s="1"/>
  <c r="R31" i="103"/>
  <c r="N31" i="103"/>
  <c r="L31" i="103"/>
  <c r="B31" i="103"/>
  <c r="X30" i="103"/>
  <c r="Z30" i="103" s="1"/>
  <c r="L30" i="103"/>
  <c r="N30" i="103" s="1"/>
  <c r="B30" i="103"/>
  <c r="Z29" i="103"/>
  <c r="X29" i="103"/>
  <c r="N29" i="103"/>
  <c r="L29" i="103"/>
  <c r="B29" i="103"/>
  <c r="Z28" i="103"/>
  <c r="X28" i="103"/>
  <c r="N28" i="103"/>
  <c r="L28" i="103"/>
  <c r="B28" i="103"/>
  <c r="X27" i="103"/>
  <c r="Z27" i="103" s="1"/>
  <c r="R27" i="103"/>
  <c r="N27" i="103"/>
  <c r="L27" i="103"/>
  <c r="B27" i="103"/>
  <c r="X26" i="103"/>
  <c r="Z26" i="103" s="1"/>
  <c r="L26" i="103"/>
  <c r="N26" i="103" s="1"/>
  <c r="B26" i="103"/>
  <c r="Z25" i="103"/>
  <c r="X25" i="103"/>
  <c r="N25" i="103"/>
  <c r="L25" i="103"/>
  <c r="B25" i="103"/>
  <c r="Z24" i="103"/>
  <c r="X24" i="103"/>
  <c r="T24" i="103"/>
  <c r="P24" i="103"/>
  <c r="L24" i="103"/>
  <c r="H24" i="103"/>
  <c r="N24" i="103" s="1"/>
  <c r="D24" i="103"/>
  <c r="B24" i="103"/>
  <c r="T23" i="103"/>
  <c r="P23" i="103"/>
  <c r="H23" i="103"/>
  <c r="D23" i="103"/>
  <c r="Z19" i="103"/>
  <c r="X19" i="103"/>
  <c r="L19" i="103"/>
  <c r="N19" i="103" s="1"/>
  <c r="B19" i="103"/>
  <c r="Z18" i="103"/>
  <c r="X18" i="103"/>
  <c r="L18" i="103"/>
  <c r="N18" i="103" s="1"/>
  <c r="B18" i="103"/>
  <c r="T17" i="103"/>
  <c r="P17" i="103"/>
  <c r="X17" i="103" s="1"/>
  <c r="N17" i="103"/>
  <c r="L17" i="103"/>
  <c r="H17" i="103"/>
  <c r="D17" i="103"/>
  <c r="T15" i="103"/>
  <c r="P15" i="103"/>
  <c r="X15" i="103" s="1"/>
  <c r="Z15" i="103" s="1"/>
  <c r="L15" i="103"/>
  <c r="H15" i="103"/>
  <c r="D15" i="103"/>
  <c r="B15" i="103"/>
  <c r="T14" i="103"/>
  <c r="P14" i="103"/>
  <c r="X14" i="103" s="1"/>
  <c r="H14" i="103"/>
  <c r="N14" i="103" s="1"/>
  <c r="D14" i="103"/>
  <c r="L14" i="103" s="1"/>
  <c r="B14" i="103"/>
  <c r="T13" i="103"/>
  <c r="X13" i="103" s="1"/>
  <c r="Z13" i="103" s="1"/>
  <c r="P13" i="103"/>
  <c r="L13" i="103"/>
  <c r="H13" i="103"/>
  <c r="H12" i="103" s="1"/>
  <c r="J30" i="103" s="1"/>
  <c r="D13" i="103"/>
  <c r="D12" i="103" s="1"/>
  <c r="B13" i="103"/>
  <c r="T12" i="103"/>
  <c r="P12" i="103"/>
  <c r="R68" i="103" s="1"/>
  <c r="D6" i="103"/>
  <c r="D4" i="103"/>
  <c r="R53" i="102"/>
  <c r="R50" i="102"/>
  <c r="Z48" i="102"/>
  <c r="X48" i="102"/>
  <c r="N48" i="102"/>
  <c r="L48" i="102"/>
  <c r="J46" i="102"/>
  <c r="T44" i="102"/>
  <c r="Z44" i="102" s="1"/>
  <c r="P44" i="102"/>
  <c r="X44" i="102" s="1"/>
  <c r="J44" i="102"/>
  <c r="H44" i="102"/>
  <c r="N44" i="102" s="1"/>
  <c r="D44" i="102"/>
  <c r="L44" i="102" s="1"/>
  <c r="Z42" i="102"/>
  <c r="X42" i="102"/>
  <c r="L42" i="102"/>
  <c r="N42" i="102" s="1"/>
  <c r="B42" i="102"/>
  <c r="T41" i="102"/>
  <c r="P41" i="102"/>
  <c r="X41" i="102" s="1"/>
  <c r="Z41" i="102" s="1"/>
  <c r="H41" i="102"/>
  <c r="D41" i="102"/>
  <c r="L41" i="102" s="1"/>
  <c r="N41" i="102" s="1"/>
  <c r="B41" i="102"/>
  <c r="X40" i="102"/>
  <c r="Z40" i="102" s="1"/>
  <c r="N40" i="102"/>
  <c r="L40" i="102"/>
  <c r="B40" i="102"/>
  <c r="X39" i="102"/>
  <c r="V39" i="102"/>
  <c r="T39" i="102"/>
  <c r="P39" i="102"/>
  <c r="H39" i="102"/>
  <c r="N39" i="102" s="1"/>
  <c r="D39" i="102"/>
  <c r="L39" i="102" s="1"/>
  <c r="B39" i="102"/>
  <c r="Z38" i="102"/>
  <c r="X38" i="102"/>
  <c r="N38" i="102"/>
  <c r="L38" i="102"/>
  <c r="B38" i="102"/>
  <c r="T37" i="102"/>
  <c r="P37" i="102"/>
  <c r="H37" i="102"/>
  <c r="D37" i="102"/>
  <c r="L37" i="102" s="1"/>
  <c r="N37" i="102" s="1"/>
  <c r="B37" i="102"/>
  <c r="Z36" i="102"/>
  <c r="X36" i="102"/>
  <c r="V36" i="102"/>
  <c r="L36" i="102"/>
  <c r="N36" i="102" s="1"/>
  <c r="B36" i="102"/>
  <c r="Z35" i="102"/>
  <c r="X35" i="102"/>
  <c r="N35" i="102"/>
  <c r="L35" i="102"/>
  <c r="J35" i="102"/>
  <c r="B35" i="102"/>
  <c r="T34" i="102"/>
  <c r="Z34" i="102" s="1"/>
  <c r="P34" i="102"/>
  <c r="X34" i="102" s="1"/>
  <c r="J34" i="102"/>
  <c r="H34" i="102"/>
  <c r="N34" i="102" s="1"/>
  <c r="D34" i="102"/>
  <c r="L34" i="102" s="1"/>
  <c r="B34" i="102"/>
  <c r="X33" i="102"/>
  <c r="Z33" i="102" s="1"/>
  <c r="N33" i="102"/>
  <c r="L33" i="102"/>
  <c r="F33" i="102"/>
  <c r="B33" i="102"/>
  <c r="X32" i="102"/>
  <c r="Z32" i="102" s="1"/>
  <c r="T32" i="102"/>
  <c r="P32" i="102"/>
  <c r="H32" i="102"/>
  <c r="N32" i="102" s="1"/>
  <c r="F32" i="102"/>
  <c r="D32" i="102"/>
  <c r="L32" i="102" s="1"/>
  <c r="B32" i="102"/>
  <c r="Z31" i="102"/>
  <c r="X31" i="102"/>
  <c r="N31" i="102"/>
  <c r="L31" i="102"/>
  <c r="B31" i="102"/>
  <c r="Z30" i="102"/>
  <c r="X30" i="102"/>
  <c r="T30" i="102"/>
  <c r="P30" i="102"/>
  <c r="N30" i="102"/>
  <c r="L30" i="102"/>
  <c r="H30" i="102"/>
  <c r="D30" i="102"/>
  <c r="B30" i="102"/>
  <c r="Z29" i="102"/>
  <c r="X29" i="102"/>
  <c r="L29" i="102"/>
  <c r="N29" i="102" s="1"/>
  <c r="B29" i="102"/>
  <c r="V28" i="102"/>
  <c r="T28" i="102"/>
  <c r="P28" i="102"/>
  <c r="X28" i="102" s="1"/>
  <c r="H28" i="102"/>
  <c r="N28" i="102" s="1"/>
  <c r="D28" i="102"/>
  <c r="L28" i="102" s="1"/>
  <c r="B28" i="102"/>
  <c r="X27" i="102"/>
  <c r="Z27" i="102" s="1"/>
  <c r="V27" i="102"/>
  <c r="N27" i="102"/>
  <c r="L27" i="102"/>
  <c r="B27" i="102"/>
  <c r="X26" i="102"/>
  <c r="Z26" i="102" s="1"/>
  <c r="N26" i="102"/>
  <c r="L26" i="102"/>
  <c r="B26" i="102"/>
  <c r="X25" i="102"/>
  <c r="Z25" i="102" s="1"/>
  <c r="L25" i="102"/>
  <c r="N25" i="102" s="1"/>
  <c r="F25" i="102"/>
  <c r="B25" i="102"/>
  <c r="X24" i="102"/>
  <c r="Z24" i="102" s="1"/>
  <c r="L24" i="102"/>
  <c r="N24" i="102" s="1"/>
  <c r="B24" i="102"/>
  <c r="X23" i="102"/>
  <c r="Z23" i="102" s="1"/>
  <c r="V23" i="102"/>
  <c r="N23" i="102"/>
  <c r="L23" i="102"/>
  <c r="B23" i="102"/>
  <c r="X22" i="102"/>
  <c r="Z22" i="102" s="1"/>
  <c r="N22" i="102"/>
  <c r="L22" i="102"/>
  <c r="B22" i="102"/>
  <c r="X21" i="102"/>
  <c r="Z21" i="102" s="1"/>
  <c r="L21" i="102"/>
  <c r="N21" i="102" s="1"/>
  <c r="F21" i="102"/>
  <c r="B21" i="102"/>
  <c r="X20" i="102"/>
  <c r="Z20" i="102" s="1"/>
  <c r="L20" i="102"/>
  <c r="N20" i="102" s="1"/>
  <c r="B20" i="102"/>
  <c r="X19" i="102"/>
  <c r="V19" i="102"/>
  <c r="T19" i="102"/>
  <c r="P19" i="102"/>
  <c r="J19" i="102"/>
  <c r="H19" i="102"/>
  <c r="N19" i="102" s="1"/>
  <c r="D19" i="102"/>
  <c r="L19" i="102" s="1"/>
  <c r="B19" i="102"/>
  <c r="X18" i="102"/>
  <c r="Z18" i="102" s="1"/>
  <c r="T18" i="102"/>
  <c r="P18" i="102"/>
  <c r="H18" i="102"/>
  <c r="D18" i="102"/>
  <c r="Z14" i="102"/>
  <c r="X14" i="102"/>
  <c r="T14" i="102"/>
  <c r="T16" i="102" s="1"/>
  <c r="T46" i="102" s="1"/>
  <c r="P14" i="102"/>
  <c r="H14" i="102"/>
  <c r="N14" i="102" s="1"/>
  <c r="D14" i="102"/>
  <c r="L14" i="102" s="1"/>
  <c r="Z12" i="102"/>
  <c r="X12" i="102"/>
  <c r="T12" i="102"/>
  <c r="V40" i="102" s="1"/>
  <c r="P12" i="102"/>
  <c r="R30" i="102" s="1"/>
  <c r="N12" i="102"/>
  <c r="H12" i="102"/>
  <c r="J53" i="102" s="1"/>
  <c r="D12" i="102"/>
  <c r="F36" i="102" s="1"/>
  <c r="D6" i="102"/>
  <c r="D4" i="102"/>
  <c r="X82" i="101"/>
  <c r="Z82" i="101" s="1"/>
  <c r="L82" i="101"/>
  <c r="N82" i="101" s="1"/>
  <c r="T78" i="101"/>
  <c r="Z78" i="101" s="1"/>
  <c r="P78" i="101"/>
  <c r="X78" i="101" s="1"/>
  <c r="N78" i="101"/>
  <c r="L78" i="101"/>
  <c r="H78" i="101"/>
  <c r="H77" i="101" s="1"/>
  <c r="N77" i="101" s="1"/>
  <c r="D78" i="101"/>
  <c r="D77" i="101" s="1"/>
  <c r="L77" i="101" s="1"/>
  <c r="B78" i="101"/>
  <c r="P77" i="101"/>
  <c r="Z75" i="101"/>
  <c r="X75" i="101"/>
  <c r="N75" i="101"/>
  <c r="L75" i="101"/>
  <c r="B75" i="101"/>
  <c r="T74" i="101"/>
  <c r="Z74" i="101" s="1"/>
  <c r="P74" i="101"/>
  <c r="X74" i="101" s="1"/>
  <c r="H74" i="101"/>
  <c r="N74" i="101" s="1"/>
  <c r="D74" i="101"/>
  <c r="L74" i="101" s="1"/>
  <c r="B74" i="101"/>
  <c r="Z73" i="101"/>
  <c r="X73" i="101"/>
  <c r="N73" i="101"/>
  <c r="L73" i="101"/>
  <c r="B73" i="101"/>
  <c r="X72" i="101"/>
  <c r="T72" i="101"/>
  <c r="Z72" i="101" s="1"/>
  <c r="P72" i="101"/>
  <c r="H72" i="101"/>
  <c r="N72" i="101" s="1"/>
  <c r="D72" i="101"/>
  <c r="L72" i="101" s="1"/>
  <c r="B72" i="101"/>
  <c r="Z71" i="101"/>
  <c r="X71" i="101"/>
  <c r="N71" i="101"/>
  <c r="L71" i="101"/>
  <c r="B71" i="101"/>
  <c r="Z70" i="101"/>
  <c r="X70" i="101"/>
  <c r="N70" i="101"/>
  <c r="L70" i="101"/>
  <c r="B70" i="101"/>
  <c r="Z69" i="101"/>
  <c r="X69" i="101"/>
  <c r="N69" i="101"/>
  <c r="L69" i="101"/>
  <c r="B69" i="101"/>
  <c r="X68" i="101"/>
  <c r="Z68" i="101" s="1"/>
  <c r="N68" i="101"/>
  <c r="L68" i="101"/>
  <c r="B68" i="101"/>
  <c r="Z67" i="101"/>
  <c r="X67" i="101"/>
  <c r="N67" i="101"/>
  <c r="L67" i="101"/>
  <c r="B67" i="101"/>
  <c r="X66" i="101"/>
  <c r="Z66" i="101" s="1"/>
  <c r="L66" i="101"/>
  <c r="N66" i="101" s="1"/>
  <c r="B66" i="101"/>
  <c r="Z65" i="101"/>
  <c r="X65" i="101"/>
  <c r="N65" i="101"/>
  <c r="L65" i="101"/>
  <c r="B65" i="101"/>
  <c r="T64" i="101"/>
  <c r="P64" i="101"/>
  <c r="X64" i="101" s="1"/>
  <c r="L64" i="101"/>
  <c r="N64" i="101" s="1"/>
  <c r="H64" i="101"/>
  <c r="D64" i="101"/>
  <c r="B64" i="101"/>
  <c r="Z63" i="101"/>
  <c r="X63" i="101"/>
  <c r="L63" i="101"/>
  <c r="N63" i="101" s="1"/>
  <c r="B63" i="101"/>
  <c r="X62" i="101"/>
  <c r="Z62" i="101" s="1"/>
  <c r="L62" i="101"/>
  <c r="N62" i="101" s="1"/>
  <c r="B62" i="101"/>
  <c r="Z61" i="101"/>
  <c r="T61" i="101"/>
  <c r="P61" i="101"/>
  <c r="X61" i="101" s="1"/>
  <c r="H61" i="101"/>
  <c r="D61" i="101"/>
  <c r="L61" i="101" s="1"/>
  <c r="N61" i="101" s="1"/>
  <c r="B61" i="101"/>
  <c r="X60" i="101"/>
  <c r="Z60" i="101" s="1"/>
  <c r="N60" i="101"/>
  <c r="L60" i="101"/>
  <c r="B60" i="101"/>
  <c r="X59" i="101"/>
  <c r="Z59" i="101" s="1"/>
  <c r="T59" i="101"/>
  <c r="P59" i="101"/>
  <c r="N59" i="101"/>
  <c r="L59" i="101"/>
  <c r="H59" i="101"/>
  <c r="D59" i="101"/>
  <c r="B59" i="101"/>
  <c r="X58" i="101"/>
  <c r="Z58" i="101" s="1"/>
  <c r="N58" i="101"/>
  <c r="L58" i="101"/>
  <c r="B58" i="101"/>
  <c r="Z57" i="101"/>
  <c r="X57" i="101"/>
  <c r="N57" i="101"/>
  <c r="L57" i="101"/>
  <c r="B57" i="101"/>
  <c r="Z56" i="101"/>
  <c r="X56" i="101"/>
  <c r="N56" i="101"/>
  <c r="L56" i="101"/>
  <c r="B56" i="101"/>
  <c r="T55" i="101"/>
  <c r="P55" i="101"/>
  <c r="X55" i="101" s="1"/>
  <c r="Z55" i="101" s="1"/>
  <c r="H55" i="101"/>
  <c r="N55" i="101" s="1"/>
  <c r="D55" i="101"/>
  <c r="L55" i="101" s="1"/>
  <c r="B55" i="101"/>
  <c r="X54" i="101"/>
  <c r="Z54" i="101" s="1"/>
  <c r="L54" i="101"/>
  <c r="N54" i="101" s="1"/>
  <c r="B54" i="101"/>
  <c r="Z53" i="101"/>
  <c r="X53" i="101"/>
  <c r="T53" i="101"/>
  <c r="P53" i="101"/>
  <c r="H53" i="101"/>
  <c r="D53" i="101"/>
  <c r="L53" i="101" s="1"/>
  <c r="B53" i="101"/>
  <c r="X52" i="101"/>
  <c r="Z52" i="101" s="1"/>
  <c r="N52" i="101"/>
  <c r="L52" i="101"/>
  <c r="B52" i="101"/>
  <c r="X51" i="101"/>
  <c r="Z51" i="101" s="1"/>
  <c r="T51" i="101"/>
  <c r="P51" i="101"/>
  <c r="N51" i="101"/>
  <c r="L51" i="101"/>
  <c r="H51" i="101"/>
  <c r="D51" i="101"/>
  <c r="B51" i="101"/>
  <c r="Z50" i="101"/>
  <c r="X50" i="101"/>
  <c r="N50" i="101"/>
  <c r="L50" i="101"/>
  <c r="B50" i="101"/>
  <c r="T49" i="101"/>
  <c r="P49" i="101"/>
  <c r="N49" i="101"/>
  <c r="H49" i="101"/>
  <c r="D49" i="101"/>
  <c r="L49" i="101" s="1"/>
  <c r="B49" i="101"/>
  <c r="X48" i="101"/>
  <c r="Z48" i="101" s="1"/>
  <c r="L48" i="101"/>
  <c r="N48" i="101" s="1"/>
  <c r="B48" i="101"/>
  <c r="T47" i="101"/>
  <c r="P47" i="101"/>
  <c r="X47" i="101" s="1"/>
  <c r="N47" i="101"/>
  <c r="L47" i="101"/>
  <c r="H47" i="101"/>
  <c r="D47" i="101"/>
  <c r="B47" i="101"/>
  <c r="X46" i="101"/>
  <c r="Z46" i="101" s="1"/>
  <c r="N46" i="101"/>
  <c r="L46" i="101"/>
  <c r="B46" i="101"/>
  <c r="X45" i="101"/>
  <c r="Z45" i="101" s="1"/>
  <c r="T45" i="101"/>
  <c r="P45" i="101"/>
  <c r="L45" i="101"/>
  <c r="N45" i="101" s="1"/>
  <c r="H45" i="101"/>
  <c r="D45" i="101"/>
  <c r="B45" i="101"/>
  <c r="Z44" i="101"/>
  <c r="X44" i="101"/>
  <c r="L44" i="101"/>
  <c r="N44" i="101" s="1"/>
  <c r="B44" i="101"/>
  <c r="T43" i="101"/>
  <c r="P43" i="101"/>
  <c r="X43" i="101" s="1"/>
  <c r="Z43" i="101" s="1"/>
  <c r="H43" i="101"/>
  <c r="D43" i="101"/>
  <c r="L43" i="101" s="1"/>
  <c r="B43" i="101"/>
  <c r="X42" i="101"/>
  <c r="Z42" i="101" s="1"/>
  <c r="L42" i="101"/>
  <c r="N42" i="101" s="1"/>
  <c r="B42" i="101"/>
  <c r="Z41" i="101"/>
  <c r="X41" i="101"/>
  <c r="T41" i="101"/>
  <c r="P41" i="101"/>
  <c r="H41" i="101"/>
  <c r="N41" i="101" s="1"/>
  <c r="D41" i="101"/>
  <c r="L41" i="101" s="1"/>
  <c r="B41" i="101"/>
  <c r="X40" i="101"/>
  <c r="Z40" i="101" s="1"/>
  <c r="N40" i="101"/>
  <c r="L40" i="101"/>
  <c r="B40" i="101"/>
  <c r="X39" i="101"/>
  <c r="Z39" i="101" s="1"/>
  <c r="N39" i="101"/>
  <c r="L39" i="101"/>
  <c r="B39" i="101"/>
  <c r="X38" i="101"/>
  <c r="Z38" i="101" s="1"/>
  <c r="N38" i="101"/>
  <c r="L38" i="101"/>
  <c r="B38" i="101"/>
  <c r="X37" i="101"/>
  <c r="Z37" i="101" s="1"/>
  <c r="N37" i="101"/>
  <c r="L37" i="101"/>
  <c r="B37" i="101"/>
  <c r="X36" i="101"/>
  <c r="Z36" i="101" s="1"/>
  <c r="N36" i="101"/>
  <c r="L36" i="101"/>
  <c r="B36" i="101"/>
  <c r="X35" i="101"/>
  <c r="Z35" i="101" s="1"/>
  <c r="N35" i="101"/>
  <c r="L35" i="101"/>
  <c r="B35" i="101"/>
  <c r="T34" i="101"/>
  <c r="P34" i="101"/>
  <c r="X34" i="101" s="1"/>
  <c r="L34" i="101"/>
  <c r="N34" i="101" s="1"/>
  <c r="H34" i="101"/>
  <c r="D34" i="101"/>
  <c r="B34" i="101"/>
  <c r="X33" i="101"/>
  <c r="Z33" i="101" s="1"/>
  <c r="N33" i="101"/>
  <c r="L33" i="101"/>
  <c r="B33" i="101"/>
  <c r="Z32" i="101"/>
  <c r="X32" i="101"/>
  <c r="L32" i="101"/>
  <c r="N32" i="101" s="1"/>
  <c r="B32" i="101"/>
  <c r="Z31" i="101"/>
  <c r="X31" i="101"/>
  <c r="L31" i="101"/>
  <c r="N31" i="101" s="1"/>
  <c r="B31" i="101"/>
  <c r="Z30" i="101"/>
  <c r="X30" i="101"/>
  <c r="L30" i="101"/>
  <c r="N30" i="101" s="1"/>
  <c r="B30" i="101"/>
  <c r="X29" i="101"/>
  <c r="Z29" i="101" s="1"/>
  <c r="N29" i="101"/>
  <c r="L29" i="101"/>
  <c r="B29" i="101"/>
  <c r="Z28" i="101"/>
  <c r="X28" i="101"/>
  <c r="L28" i="101"/>
  <c r="N28" i="101" s="1"/>
  <c r="B28" i="101"/>
  <c r="Z27" i="101"/>
  <c r="X27" i="101"/>
  <c r="L27" i="101"/>
  <c r="N27" i="101" s="1"/>
  <c r="B27" i="101"/>
  <c r="X26" i="101"/>
  <c r="Z26" i="101" s="1"/>
  <c r="L26" i="101"/>
  <c r="N26" i="101" s="1"/>
  <c r="B26" i="101"/>
  <c r="X25" i="101"/>
  <c r="Z25" i="101" s="1"/>
  <c r="N25" i="101"/>
  <c r="L25" i="101"/>
  <c r="B25" i="101"/>
  <c r="T24" i="101"/>
  <c r="P24" i="101"/>
  <c r="X24" i="101" s="1"/>
  <c r="Z24" i="101" s="1"/>
  <c r="H24" i="101"/>
  <c r="N24" i="101" s="1"/>
  <c r="D24" i="101"/>
  <c r="L24" i="101" s="1"/>
  <c r="B24" i="101"/>
  <c r="T23" i="101"/>
  <c r="P23" i="101"/>
  <c r="H23" i="101"/>
  <c r="D23" i="101"/>
  <c r="L23" i="101" s="1"/>
  <c r="N23" i="101" s="1"/>
  <c r="X19" i="101"/>
  <c r="Z19" i="101" s="1"/>
  <c r="N19" i="101"/>
  <c r="L19" i="101"/>
  <c r="B19" i="101"/>
  <c r="Z18" i="101"/>
  <c r="X18" i="101"/>
  <c r="N18" i="101"/>
  <c r="L18" i="101"/>
  <c r="B18" i="101"/>
  <c r="T17" i="101"/>
  <c r="P17" i="101"/>
  <c r="X17" i="101" s="1"/>
  <c r="Z17" i="101" s="1"/>
  <c r="L17" i="101"/>
  <c r="H17" i="101"/>
  <c r="D17" i="101"/>
  <c r="X15" i="101"/>
  <c r="Z15" i="101" s="1"/>
  <c r="T15" i="101"/>
  <c r="P15" i="101"/>
  <c r="H15" i="101"/>
  <c r="N15" i="101" s="1"/>
  <c r="D15" i="101"/>
  <c r="L15" i="101" s="1"/>
  <c r="B15" i="101"/>
  <c r="T14" i="101"/>
  <c r="P14" i="101"/>
  <c r="X14" i="101" s="1"/>
  <c r="H14" i="101"/>
  <c r="L14" i="101" s="1"/>
  <c r="N14" i="101" s="1"/>
  <c r="D14" i="101"/>
  <c r="B14" i="101"/>
  <c r="Z13" i="101"/>
  <c r="X13" i="101"/>
  <c r="T13" i="101"/>
  <c r="T12" i="101" s="1"/>
  <c r="P13" i="101"/>
  <c r="H13" i="101"/>
  <c r="H12" i="101" s="1"/>
  <c r="D13" i="101"/>
  <c r="D12" i="101" s="1"/>
  <c r="B13" i="101"/>
  <c r="P12" i="101"/>
  <c r="R65" i="101" s="1"/>
  <c r="D6" i="101"/>
  <c r="D4" i="101"/>
  <c r="Z63" i="100"/>
  <c r="X63" i="100"/>
  <c r="L63" i="100"/>
  <c r="N63" i="100" s="1"/>
  <c r="T59" i="100"/>
  <c r="Z59" i="100" s="1"/>
  <c r="P59" i="100"/>
  <c r="X59" i="100" s="1"/>
  <c r="H59" i="100"/>
  <c r="H58" i="100" s="1"/>
  <c r="N58" i="100" s="1"/>
  <c r="D59" i="100"/>
  <c r="D58" i="100" s="1"/>
  <c r="B59" i="100"/>
  <c r="X56" i="100"/>
  <c r="Z56" i="100" s="1"/>
  <c r="N56" i="100"/>
  <c r="L56" i="100"/>
  <c r="B56" i="100"/>
  <c r="T55" i="100"/>
  <c r="P55" i="100"/>
  <c r="X55" i="100" s="1"/>
  <c r="Z55" i="100" s="1"/>
  <c r="H55" i="100"/>
  <c r="D55" i="100"/>
  <c r="L55" i="100" s="1"/>
  <c r="N55" i="100" s="1"/>
  <c r="B55" i="100"/>
  <c r="Z54" i="100"/>
  <c r="X54" i="100"/>
  <c r="N54" i="100"/>
  <c r="L54" i="100"/>
  <c r="B54" i="100"/>
  <c r="X53" i="100"/>
  <c r="Z53" i="100" s="1"/>
  <c r="L53" i="100"/>
  <c r="N53" i="100" s="1"/>
  <c r="B53" i="100"/>
  <c r="Z52" i="100"/>
  <c r="X52" i="100"/>
  <c r="N52" i="100"/>
  <c r="L52" i="100"/>
  <c r="B52" i="100"/>
  <c r="X51" i="100"/>
  <c r="Z51" i="100" s="1"/>
  <c r="N51" i="100"/>
  <c r="L51" i="100"/>
  <c r="B51" i="100"/>
  <c r="T50" i="100"/>
  <c r="P50" i="100"/>
  <c r="X50" i="100" s="1"/>
  <c r="Z50" i="100" s="1"/>
  <c r="H50" i="100"/>
  <c r="D50" i="100"/>
  <c r="L50" i="100" s="1"/>
  <c r="N50" i="100" s="1"/>
  <c r="B50" i="100"/>
  <c r="X49" i="100"/>
  <c r="Z49" i="100" s="1"/>
  <c r="N49" i="100"/>
  <c r="L49" i="100"/>
  <c r="B49" i="100"/>
  <c r="Z48" i="100"/>
  <c r="X48" i="100"/>
  <c r="T48" i="100"/>
  <c r="P48" i="100"/>
  <c r="N48" i="100"/>
  <c r="L48" i="100"/>
  <c r="H48" i="100"/>
  <c r="D48" i="100"/>
  <c r="B48" i="100"/>
  <c r="Z47" i="100"/>
  <c r="X47" i="100"/>
  <c r="N47" i="100"/>
  <c r="L47" i="100"/>
  <c r="B47" i="100"/>
  <c r="T46" i="100"/>
  <c r="P46" i="100"/>
  <c r="X46" i="100" s="1"/>
  <c r="H46" i="100"/>
  <c r="N46" i="100" s="1"/>
  <c r="D46" i="100"/>
  <c r="L46" i="100" s="1"/>
  <c r="B46" i="100"/>
  <c r="X45" i="100"/>
  <c r="Z45" i="100" s="1"/>
  <c r="N45" i="100"/>
  <c r="L45" i="100"/>
  <c r="B45" i="100"/>
  <c r="X44" i="100"/>
  <c r="Z44" i="100" s="1"/>
  <c r="N44" i="100"/>
  <c r="L44" i="100"/>
  <c r="B44" i="100"/>
  <c r="X43" i="100"/>
  <c r="T43" i="100"/>
  <c r="Z43" i="100" s="1"/>
  <c r="P43" i="100"/>
  <c r="L43" i="100"/>
  <c r="H43" i="100"/>
  <c r="N43" i="100" s="1"/>
  <c r="D43" i="100"/>
  <c r="B43" i="100"/>
  <c r="X42" i="100"/>
  <c r="Z42" i="100" s="1"/>
  <c r="N42" i="100"/>
  <c r="L42" i="100"/>
  <c r="B42" i="100"/>
  <c r="T41" i="100"/>
  <c r="P41" i="100"/>
  <c r="H41" i="100"/>
  <c r="D41" i="100"/>
  <c r="B41" i="100"/>
  <c r="Z40" i="100"/>
  <c r="X40" i="100"/>
  <c r="L40" i="100"/>
  <c r="N40" i="100" s="1"/>
  <c r="B40" i="100"/>
  <c r="T39" i="100"/>
  <c r="Z39" i="100" s="1"/>
  <c r="P39" i="100"/>
  <c r="X39" i="100" s="1"/>
  <c r="H39" i="100"/>
  <c r="D39" i="100"/>
  <c r="L39" i="100" s="1"/>
  <c r="N39" i="100" s="1"/>
  <c r="B39" i="100"/>
  <c r="Z38" i="100"/>
  <c r="X38" i="100"/>
  <c r="N38" i="100"/>
  <c r="L38" i="100"/>
  <c r="B38" i="100"/>
  <c r="X37" i="100"/>
  <c r="T37" i="100"/>
  <c r="Z37" i="100" s="1"/>
  <c r="P37" i="100"/>
  <c r="L37" i="100"/>
  <c r="H37" i="100"/>
  <c r="N37" i="100" s="1"/>
  <c r="D37" i="100"/>
  <c r="B37" i="100"/>
  <c r="Z36" i="100"/>
  <c r="X36" i="100"/>
  <c r="N36" i="100"/>
  <c r="L36" i="100"/>
  <c r="B36" i="100"/>
  <c r="T35" i="100"/>
  <c r="P35" i="100"/>
  <c r="H35" i="100"/>
  <c r="N35" i="100" s="1"/>
  <c r="D35" i="100"/>
  <c r="B35" i="100"/>
  <c r="Z34" i="100"/>
  <c r="X34" i="100"/>
  <c r="N34" i="100"/>
  <c r="L34" i="100"/>
  <c r="B34" i="100"/>
  <c r="T33" i="100"/>
  <c r="P33" i="100"/>
  <c r="X33" i="100" s="1"/>
  <c r="Z33" i="100" s="1"/>
  <c r="H33" i="100"/>
  <c r="N33" i="100" s="1"/>
  <c r="D33" i="100"/>
  <c r="L33" i="100" s="1"/>
  <c r="B33" i="100"/>
  <c r="X32" i="100"/>
  <c r="Z32" i="100" s="1"/>
  <c r="N32" i="100"/>
  <c r="L32" i="100"/>
  <c r="B32" i="100"/>
  <c r="X31" i="100"/>
  <c r="T31" i="100"/>
  <c r="Z31" i="100" s="1"/>
  <c r="P31" i="100"/>
  <c r="L31" i="100"/>
  <c r="H31" i="100"/>
  <c r="N31" i="100" s="1"/>
  <c r="D31" i="100"/>
  <c r="B31" i="100"/>
  <c r="X30" i="100"/>
  <c r="Z30" i="100" s="1"/>
  <c r="N30" i="100"/>
  <c r="L30" i="100"/>
  <c r="B30" i="100"/>
  <c r="X29" i="100"/>
  <c r="Z29" i="100" s="1"/>
  <c r="N29" i="100"/>
  <c r="L29" i="100"/>
  <c r="B29" i="100"/>
  <c r="Z28" i="100"/>
  <c r="X28" i="100"/>
  <c r="N28" i="100"/>
  <c r="L28" i="100"/>
  <c r="B28" i="100"/>
  <c r="X27" i="100"/>
  <c r="Z27" i="100" s="1"/>
  <c r="L27" i="100"/>
  <c r="N27" i="100" s="1"/>
  <c r="B27" i="100"/>
  <c r="X26" i="100"/>
  <c r="Z26" i="100" s="1"/>
  <c r="N26" i="100"/>
  <c r="L26" i="100"/>
  <c r="B26" i="100"/>
  <c r="T25" i="100"/>
  <c r="P25" i="100"/>
  <c r="H25" i="100"/>
  <c r="D25" i="100"/>
  <c r="B25" i="100"/>
  <c r="Z24" i="100"/>
  <c r="X24" i="100"/>
  <c r="N24" i="100"/>
  <c r="L24" i="100"/>
  <c r="B24" i="100"/>
  <c r="X23" i="100"/>
  <c r="Z23" i="100" s="1"/>
  <c r="L23" i="100"/>
  <c r="N23" i="100" s="1"/>
  <c r="B23" i="100"/>
  <c r="T22" i="100"/>
  <c r="P22" i="100"/>
  <c r="X22" i="100" s="1"/>
  <c r="Z22" i="100" s="1"/>
  <c r="H22" i="100"/>
  <c r="N22" i="100" s="1"/>
  <c r="D22" i="100"/>
  <c r="L22" i="100" s="1"/>
  <c r="B22" i="100"/>
  <c r="T21" i="100"/>
  <c r="P21" i="100"/>
  <c r="X21" i="100" s="1"/>
  <c r="H21" i="100"/>
  <c r="D21" i="100"/>
  <c r="L21" i="100" s="1"/>
  <c r="X17" i="100"/>
  <c r="Z17" i="100" s="1"/>
  <c r="L17" i="100"/>
  <c r="N17" i="100" s="1"/>
  <c r="B17" i="100"/>
  <c r="Z16" i="100"/>
  <c r="X16" i="100"/>
  <c r="N16" i="100"/>
  <c r="L16" i="100"/>
  <c r="B16" i="100"/>
  <c r="T15" i="100"/>
  <c r="Z15" i="100" s="1"/>
  <c r="P15" i="100"/>
  <c r="X15" i="100" s="1"/>
  <c r="H15" i="100"/>
  <c r="D15" i="100"/>
  <c r="L15" i="100" s="1"/>
  <c r="T13" i="100"/>
  <c r="P13" i="100"/>
  <c r="P12" i="100" s="1"/>
  <c r="N13" i="100"/>
  <c r="L13" i="100"/>
  <c r="H13" i="100"/>
  <c r="D13" i="100"/>
  <c r="D12" i="100" s="1"/>
  <c r="B13" i="100"/>
  <c r="T12" i="100"/>
  <c r="V35" i="100" s="1"/>
  <c r="H12" i="100"/>
  <c r="J61" i="100" s="1"/>
  <c r="D6" i="100"/>
  <c r="D4" i="100"/>
  <c r="Z45" i="99"/>
  <c r="X45" i="99"/>
  <c r="N45" i="99"/>
  <c r="L45" i="99"/>
  <c r="T41" i="99"/>
  <c r="P41" i="99"/>
  <c r="X41" i="99" s="1"/>
  <c r="Z41" i="99" s="1"/>
  <c r="H41" i="99"/>
  <c r="D41" i="99"/>
  <c r="L41" i="99" s="1"/>
  <c r="N41" i="99" s="1"/>
  <c r="B41" i="99"/>
  <c r="X40" i="99"/>
  <c r="T40" i="99"/>
  <c r="Z40" i="99" s="1"/>
  <c r="P40" i="99"/>
  <c r="H40" i="99"/>
  <c r="N40" i="99" s="1"/>
  <c r="D40" i="99"/>
  <c r="L40" i="99" s="1"/>
  <c r="X38" i="99"/>
  <c r="Z38" i="99" s="1"/>
  <c r="L38" i="99"/>
  <c r="N38" i="99" s="1"/>
  <c r="B38" i="99"/>
  <c r="X37" i="99"/>
  <c r="Z37" i="99" s="1"/>
  <c r="T37" i="99"/>
  <c r="P37" i="99"/>
  <c r="H37" i="99"/>
  <c r="D37" i="99"/>
  <c r="L37" i="99" s="1"/>
  <c r="N37" i="99" s="1"/>
  <c r="B37" i="99"/>
  <c r="X36" i="99"/>
  <c r="Z36" i="99" s="1"/>
  <c r="L36" i="99"/>
  <c r="N36" i="99" s="1"/>
  <c r="B36" i="99"/>
  <c r="T35" i="99"/>
  <c r="P35" i="99"/>
  <c r="N35" i="99"/>
  <c r="L35" i="99"/>
  <c r="H35" i="99"/>
  <c r="D35" i="99"/>
  <c r="B35" i="99"/>
  <c r="X34" i="99"/>
  <c r="Z34" i="99" s="1"/>
  <c r="N34" i="99"/>
  <c r="L34" i="99"/>
  <c r="B34" i="99"/>
  <c r="T33" i="99"/>
  <c r="P33" i="99"/>
  <c r="X33" i="99" s="1"/>
  <c r="Z33" i="99" s="1"/>
  <c r="N33" i="99"/>
  <c r="H33" i="99"/>
  <c r="D33" i="99"/>
  <c r="L33" i="99" s="1"/>
  <c r="B33" i="99"/>
  <c r="X32" i="99"/>
  <c r="Z32" i="99" s="1"/>
  <c r="N32" i="99"/>
  <c r="L32" i="99"/>
  <c r="B32" i="99"/>
  <c r="X31" i="99"/>
  <c r="T31" i="99"/>
  <c r="Z31" i="99" s="1"/>
  <c r="P31" i="99"/>
  <c r="N31" i="99"/>
  <c r="L31" i="99"/>
  <c r="H31" i="99"/>
  <c r="D31" i="99"/>
  <c r="B31" i="99"/>
  <c r="X30" i="99"/>
  <c r="Z30" i="99" s="1"/>
  <c r="L30" i="99"/>
  <c r="N30" i="99" s="1"/>
  <c r="B30" i="99"/>
  <c r="T29" i="99"/>
  <c r="X29" i="99" s="1"/>
  <c r="Z29" i="99" s="1"/>
  <c r="P29" i="99"/>
  <c r="H29" i="99"/>
  <c r="N29" i="99" s="1"/>
  <c r="D29" i="99"/>
  <c r="L29" i="99" s="1"/>
  <c r="B29" i="99"/>
  <c r="Z28" i="99"/>
  <c r="X28" i="99"/>
  <c r="L28" i="99"/>
  <c r="N28" i="99" s="1"/>
  <c r="B28" i="99"/>
  <c r="Z27" i="99"/>
  <c r="X27" i="99"/>
  <c r="L27" i="99"/>
  <c r="N27" i="99" s="1"/>
  <c r="B27" i="99"/>
  <c r="X26" i="99"/>
  <c r="Z26" i="99" s="1"/>
  <c r="L26" i="99"/>
  <c r="N26" i="99" s="1"/>
  <c r="B26" i="99"/>
  <c r="Z25" i="99"/>
  <c r="X25" i="99"/>
  <c r="L25" i="99"/>
  <c r="N25" i="99" s="1"/>
  <c r="B25" i="99"/>
  <c r="Z24" i="99"/>
  <c r="X24" i="99"/>
  <c r="L24" i="99"/>
  <c r="N24" i="99" s="1"/>
  <c r="B24" i="99"/>
  <c r="Z23" i="99"/>
  <c r="X23" i="99"/>
  <c r="L23" i="99"/>
  <c r="N23" i="99" s="1"/>
  <c r="B23" i="99"/>
  <c r="X22" i="99"/>
  <c r="Z22" i="99" s="1"/>
  <c r="L22" i="99"/>
  <c r="N22" i="99" s="1"/>
  <c r="B22" i="99"/>
  <c r="Z21" i="99"/>
  <c r="X21" i="99"/>
  <c r="L21" i="99"/>
  <c r="N21" i="99" s="1"/>
  <c r="B21" i="99"/>
  <c r="T20" i="99"/>
  <c r="Z20" i="99" s="1"/>
  <c r="P20" i="99"/>
  <c r="X20" i="99" s="1"/>
  <c r="H20" i="99"/>
  <c r="D20" i="99"/>
  <c r="L20" i="99" s="1"/>
  <c r="B20" i="99"/>
  <c r="T19" i="99"/>
  <c r="R19" i="99"/>
  <c r="P19" i="99"/>
  <c r="X19" i="99" s="1"/>
  <c r="H19" i="99"/>
  <c r="F19" i="99"/>
  <c r="D19" i="99"/>
  <c r="R17" i="99"/>
  <c r="P17" i="99"/>
  <c r="H17" i="99"/>
  <c r="H43" i="99" s="1"/>
  <c r="F17" i="99"/>
  <c r="X15" i="99"/>
  <c r="Z15" i="99" s="1"/>
  <c r="R15" i="99"/>
  <c r="N15" i="99"/>
  <c r="L15" i="99"/>
  <c r="B15" i="99"/>
  <c r="X14" i="99"/>
  <c r="Z14" i="99" s="1"/>
  <c r="T14" i="99"/>
  <c r="R14" i="99"/>
  <c r="P14" i="99"/>
  <c r="N14" i="99"/>
  <c r="H14" i="99"/>
  <c r="D14" i="99"/>
  <c r="L14" i="99" s="1"/>
  <c r="Z12" i="99"/>
  <c r="X12" i="99"/>
  <c r="T12" i="99"/>
  <c r="V40" i="99" s="1"/>
  <c r="P12" i="99"/>
  <c r="R27" i="99" s="1"/>
  <c r="H12" i="99"/>
  <c r="J34" i="99" s="1"/>
  <c r="D12" i="99"/>
  <c r="D17" i="99" s="1"/>
  <c r="D6" i="99"/>
  <c r="D4" i="99"/>
  <c r="Z52" i="98"/>
  <c r="X52" i="98"/>
  <c r="N52" i="98"/>
  <c r="L52" i="98"/>
  <c r="T48" i="98"/>
  <c r="Z48" i="98" s="1"/>
  <c r="P48" i="98"/>
  <c r="X48" i="98" s="1"/>
  <c r="N48" i="98"/>
  <c r="L48" i="98"/>
  <c r="H48" i="98"/>
  <c r="D48" i="98"/>
  <c r="X46" i="98"/>
  <c r="Z46" i="98" s="1"/>
  <c r="N46" i="98"/>
  <c r="L46" i="98"/>
  <c r="B46" i="98"/>
  <c r="T45" i="98"/>
  <c r="P45" i="98"/>
  <c r="X45" i="98" s="1"/>
  <c r="H45" i="98"/>
  <c r="N45" i="98" s="1"/>
  <c r="D45" i="98"/>
  <c r="L45" i="98" s="1"/>
  <c r="B45" i="98"/>
  <c r="X44" i="98"/>
  <c r="Z44" i="98" s="1"/>
  <c r="N44" i="98"/>
  <c r="L44" i="98"/>
  <c r="B44" i="98"/>
  <c r="Z43" i="98"/>
  <c r="X43" i="98"/>
  <c r="N43" i="98"/>
  <c r="L43" i="98"/>
  <c r="B43" i="98"/>
  <c r="T42" i="98"/>
  <c r="Z42" i="98" s="1"/>
  <c r="P42" i="98"/>
  <c r="X42" i="98" s="1"/>
  <c r="H42" i="98"/>
  <c r="N42" i="98" s="1"/>
  <c r="D42" i="98"/>
  <c r="L42" i="98" s="1"/>
  <c r="B42" i="98"/>
  <c r="X41" i="98"/>
  <c r="Z41" i="98" s="1"/>
  <c r="N41" i="98"/>
  <c r="L41" i="98"/>
  <c r="B41" i="98"/>
  <c r="T40" i="98"/>
  <c r="Z40" i="98" s="1"/>
  <c r="P40" i="98"/>
  <c r="X40" i="98" s="1"/>
  <c r="N40" i="98"/>
  <c r="H40" i="98"/>
  <c r="D40" i="98"/>
  <c r="L40" i="98" s="1"/>
  <c r="B40" i="98"/>
  <c r="Z39" i="98"/>
  <c r="X39" i="98"/>
  <c r="N39" i="98"/>
  <c r="L39" i="98"/>
  <c r="B39" i="98"/>
  <c r="T38" i="98"/>
  <c r="P38" i="98"/>
  <c r="N38" i="98"/>
  <c r="L38" i="98"/>
  <c r="H38" i="98"/>
  <c r="D38" i="98"/>
  <c r="B38" i="98"/>
  <c r="Z37" i="98"/>
  <c r="X37" i="98"/>
  <c r="L37" i="98"/>
  <c r="N37" i="98" s="1"/>
  <c r="B37" i="98"/>
  <c r="T36" i="98"/>
  <c r="P36" i="98"/>
  <c r="X36" i="98" s="1"/>
  <c r="H36" i="98"/>
  <c r="N36" i="98" s="1"/>
  <c r="D36" i="98"/>
  <c r="L36" i="98" s="1"/>
  <c r="B36" i="98"/>
  <c r="Z35" i="98"/>
  <c r="X35" i="98"/>
  <c r="N35" i="98"/>
  <c r="L35" i="98"/>
  <c r="B35" i="98"/>
  <c r="X34" i="98"/>
  <c r="Z34" i="98" s="1"/>
  <c r="L34" i="98"/>
  <c r="N34" i="98" s="1"/>
  <c r="B34" i="98"/>
  <c r="X33" i="98"/>
  <c r="Z33" i="98" s="1"/>
  <c r="N33" i="98"/>
  <c r="L33" i="98"/>
  <c r="B33" i="98"/>
  <c r="X32" i="98"/>
  <c r="Z32" i="98" s="1"/>
  <c r="L32" i="98"/>
  <c r="N32" i="98" s="1"/>
  <c r="B32" i="98"/>
  <c r="T31" i="98"/>
  <c r="Z31" i="98" s="1"/>
  <c r="P31" i="98"/>
  <c r="X31" i="98" s="1"/>
  <c r="L31" i="98"/>
  <c r="H31" i="98"/>
  <c r="N31" i="98" s="1"/>
  <c r="D31" i="98"/>
  <c r="B31" i="98"/>
  <c r="X30" i="98"/>
  <c r="Z30" i="98" s="1"/>
  <c r="N30" i="98"/>
  <c r="L30" i="98"/>
  <c r="B30" i="98"/>
  <c r="X29" i="98"/>
  <c r="Z29" i="98" s="1"/>
  <c r="N29" i="98"/>
  <c r="L29" i="98"/>
  <c r="B29" i="98"/>
  <c r="X28" i="98"/>
  <c r="Z28" i="98" s="1"/>
  <c r="N28" i="98"/>
  <c r="L28" i="98"/>
  <c r="B28" i="98"/>
  <c r="X27" i="98"/>
  <c r="Z27" i="98" s="1"/>
  <c r="N27" i="98"/>
  <c r="L27" i="98"/>
  <c r="B27" i="98"/>
  <c r="X26" i="98"/>
  <c r="Z26" i="98" s="1"/>
  <c r="N26" i="98"/>
  <c r="L26" i="98"/>
  <c r="B26" i="98"/>
  <c r="X25" i="98"/>
  <c r="Z25" i="98" s="1"/>
  <c r="N25" i="98"/>
  <c r="L25" i="98"/>
  <c r="B25" i="98"/>
  <c r="X24" i="98"/>
  <c r="Z24" i="98" s="1"/>
  <c r="L24" i="98"/>
  <c r="N24" i="98" s="1"/>
  <c r="B24" i="98"/>
  <c r="X23" i="98"/>
  <c r="Z23" i="98" s="1"/>
  <c r="N23" i="98"/>
  <c r="L23" i="98"/>
  <c r="B23" i="98"/>
  <c r="T22" i="98"/>
  <c r="P22" i="98"/>
  <c r="X22" i="98" s="1"/>
  <c r="H22" i="98"/>
  <c r="D22" i="98"/>
  <c r="L22" i="98" s="1"/>
  <c r="N22" i="98" s="1"/>
  <c r="B22" i="98"/>
  <c r="T21" i="98"/>
  <c r="P21" i="98"/>
  <c r="X21" i="98" s="1"/>
  <c r="H21" i="98"/>
  <c r="D21" i="98"/>
  <c r="L21" i="98" s="1"/>
  <c r="X17" i="98"/>
  <c r="Z17" i="98" s="1"/>
  <c r="L17" i="98"/>
  <c r="N17" i="98" s="1"/>
  <c r="B17" i="98"/>
  <c r="Z16" i="98"/>
  <c r="X16" i="98"/>
  <c r="T16" i="98"/>
  <c r="P16" i="98"/>
  <c r="J16" i="98"/>
  <c r="H16" i="98"/>
  <c r="D16" i="98"/>
  <c r="L16" i="98" s="1"/>
  <c r="N16" i="98" s="1"/>
  <c r="Z14" i="98"/>
  <c r="X14" i="98"/>
  <c r="T14" i="98"/>
  <c r="P14" i="98"/>
  <c r="H14" i="98"/>
  <c r="D14" i="98"/>
  <c r="B14" i="98"/>
  <c r="T13" i="98"/>
  <c r="P13" i="98"/>
  <c r="N13" i="98"/>
  <c r="L13" i="98"/>
  <c r="H13" i="98"/>
  <c r="D13" i="98"/>
  <c r="B13" i="98"/>
  <c r="T12" i="98"/>
  <c r="H12" i="98"/>
  <c r="D12" i="98"/>
  <c r="F37" i="98" s="1"/>
  <c r="D6" i="98"/>
  <c r="D4" i="98"/>
  <c r="X88" i="97"/>
  <c r="Z88" i="97" s="1"/>
  <c r="L88" i="97"/>
  <c r="N88" i="97" s="1"/>
  <c r="Z84" i="97"/>
  <c r="T84" i="97"/>
  <c r="P84" i="97"/>
  <c r="N84" i="97"/>
  <c r="L84" i="97"/>
  <c r="H84" i="97"/>
  <c r="H83" i="97" s="1"/>
  <c r="D84" i="97"/>
  <c r="B84" i="97"/>
  <c r="T83" i="97"/>
  <c r="Z83" i="97" s="1"/>
  <c r="D83" i="97"/>
  <c r="X81" i="97"/>
  <c r="Z81" i="97" s="1"/>
  <c r="N81" i="97"/>
  <c r="L81" i="97"/>
  <c r="B81" i="97"/>
  <c r="T80" i="97"/>
  <c r="P80" i="97"/>
  <c r="X80" i="97" s="1"/>
  <c r="L80" i="97"/>
  <c r="H80" i="97"/>
  <c r="N80" i="97" s="1"/>
  <c r="D80" i="97"/>
  <c r="B80" i="97"/>
  <c r="X79" i="97"/>
  <c r="Z79" i="97" s="1"/>
  <c r="L79" i="97"/>
  <c r="N79" i="97" s="1"/>
  <c r="J79" i="97"/>
  <c r="B79" i="97"/>
  <c r="Z78" i="97"/>
  <c r="X78" i="97"/>
  <c r="T78" i="97"/>
  <c r="P78" i="97"/>
  <c r="H78" i="97"/>
  <c r="D78" i="97"/>
  <c r="L78" i="97" s="1"/>
  <c r="B78" i="97"/>
  <c r="Z77" i="97"/>
  <c r="X77" i="97"/>
  <c r="N77" i="97"/>
  <c r="L77" i="97"/>
  <c r="B77" i="97"/>
  <c r="X76" i="97"/>
  <c r="Z76" i="97" s="1"/>
  <c r="N76" i="97"/>
  <c r="L76" i="97"/>
  <c r="B76" i="97"/>
  <c r="X75" i="97"/>
  <c r="Z75" i="97" s="1"/>
  <c r="N75" i="97"/>
  <c r="L75" i="97"/>
  <c r="B75" i="97"/>
  <c r="Z74" i="97"/>
  <c r="X74" i="97"/>
  <c r="L74" i="97"/>
  <c r="N74" i="97" s="1"/>
  <c r="B74" i="97"/>
  <c r="Z73" i="97"/>
  <c r="X73" i="97"/>
  <c r="L73" i="97"/>
  <c r="N73" i="97" s="1"/>
  <c r="B73" i="97"/>
  <c r="X72" i="97"/>
  <c r="Z72" i="97" s="1"/>
  <c r="N72" i="97"/>
  <c r="L72" i="97"/>
  <c r="B72" i="97"/>
  <c r="X71" i="97"/>
  <c r="Z71" i="97" s="1"/>
  <c r="L71" i="97"/>
  <c r="N71" i="97" s="1"/>
  <c r="B71" i="97"/>
  <c r="T70" i="97"/>
  <c r="P70" i="97"/>
  <c r="X70" i="97" s="1"/>
  <c r="Z70" i="97" s="1"/>
  <c r="L70" i="97"/>
  <c r="N70" i="97" s="1"/>
  <c r="H70" i="97"/>
  <c r="D70" i="97"/>
  <c r="B70" i="97"/>
  <c r="X69" i="97"/>
  <c r="Z69" i="97" s="1"/>
  <c r="N69" i="97"/>
  <c r="L69" i="97"/>
  <c r="B69" i="97"/>
  <c r="X68" i="97"/>
  <c r="Z68" i="97" s="1"/>
  <c r="N68" i="97"/>
  <c r="L68" i="97"/>
  <c r="F68" i="97"/>
  <c r="B68" i="97"/>
  <c r="X67" i="97"/>
  <c r="Z67" i="97" s="1"/>
  <c r="T67" i="97"/>
  <c r="P67" i="97"/>
  <c r="H67" i="97"/>
  <c r="N67" i="97" s="1"/>
  <c r="F67" i="97"/>
  <c r="D67" i="97"/>
  <c r="L67" i="97" s="1"/>
  <c r="B67" i="97"/>
  <c r="Z66" i="97"/>
  <c r="X66" i="97"/>
  <c r="N66" i="97"/>
  <c r="L66" i="97"/>
  <c r="B66" i="97"/>
  <c r="Z65" i="97"/>
  <c r="X65" i="97"/>
  <c r="N65" i="97"/>
  <c r="L65" i="97"/>
  <c r="B65" i="97"/>
  <c r="Z64" i="97"/>
  <c r="X64" i="97"/>
  <c r="R64" i="97"/>
  <c r="N64" i="97"/>
  <c r="L64" i="97"/>
  <c r="B64" i="97"/>
  <c r="X63" i="97"/>
  <c r="T63" i="97"/>
  <c r="Z63" i="97" s="1"/>
  <c r="P63" i="97"/>
  <c r="N63" i="97"/>
  <c r="L63" i="97"/>
  <c r="H63" i="97"/>
  <c r="D63" i="97"/>
  <c r="B63" i="97"/>
  <c r="Z62" i="97"/>
  <c r="X62" i="97"/>
  <c r="L62" i="97"/>
  <c r="N62" i="97" s="1"/>
  <c r="B62" i="97"/>
  <c r="Z61" i="97"/>
  <c r="X61" i="97"/>
  <c r="N61" i="97"/>
  <c r="L61" i="97"/>
  <c r="B61" i="97"/>
  <c r="Z60" i="97"/>
  <c r="X60" i="97"/>
  <c r="N60" i="97"/>
  <c r="L60" i="97"/>
  <c r="B60" i="97"/>
  <c r="T59" i="97"/>
  <c r="P59" i="97"/>
  <c r="X59" i="97" s="1"/>
  <c r="H59" i="97"/>
  <c r="N59" i="97" s="1"/>
  <c r="D59" i="97"/>
  <c r="L59" i="97" s="1"/>
  <c r="B59" i="97"/>
  <c r="X58" i="97"/>
  <c r="Z58" i="97" s="1"/>
  <c r="N58" i="97"/>
  <c r="L58" i="97"/>
  <c r="B58" i="97"/>
  <c r="X57" i="97"/>
  <c r="Z57" i="97" s="1"/>
  <c r="N57" i="97"/>
  <c r="L57" i="97"/>
  <c r="B57" i="97"/>
  <c r="T56" i="97"/>
  <c r="P56" i="97"/>
  <c r="X56" i="97" s="1"/>
  <c r="L56" i="97"/>
  <c r="H56" i="97"/>
  <c r="N56" i="97" s="1"/>
  <c r="D56" i="97"/>
  <c r="B56" i="97"/>
  <c r="X55" i="97"/>
  <c r="Z55" i="97" s="1"/>
  <c r="N55" i="97"/>
  <c r="L55" i="97"/>
  <c r="J55" i="97"/>
  <c r="B55" i="97"/>
  <c r="T54" i="97"/>
  <c r="P54" i="97"/>
  <c r="X54" i="97" s="1"/>
  <c r="Z54" i="97" s="1"/>
  <c r="H54" i="97"/>
  <c r="D54" i="97"/>
  <c r="B54" i="97"/>
  <c r="Z53" i="97"/>
  <c r="X53" i="97"/>
  <c r="N53" i="97"/>
  <c r="L53" i="97"/>
  <c r="B53" i="97"/>
  <c r="Z52" i="97"/>
  <c r="X52" i="97"/>
  <c r="T52" i="97"/>
  <c r="P52" i="97"/>
  <c r="N52" i="97"/>
  <c r="H52" i="97"/>
  <c r="D52" i="97"/>
  <c r="L52" i="97" s="1"/>
  <c r="B52" i="97"/>
  <c r="X51" i="97"/>
  <c r="Z51" i="97" s="1"/>
  <c r="N51" i="97"/>
  <c r="L51" i="97"/>
  <c r="B51" i="97"/>
  <c r="X50" i="97"/>
  <c r="T50" i="97"/>
  <c r="P50" i="97"/>
  <c r="H50" i="97"/>
  <c r="N50" i="97" s="1"/>
  <c r="D50" i="97"/>
  <c r="L50" i="97" s="1"/>
  <c r="B50" i="97"/>
  <c r="Z49" i="97"/>
  <c r="X49" i="97"/>
  <c r="N49" i="97"/>
  <c r="L49" i="97"/>
  <c r="B49" i="97"/>
  <c r="T48" i="97"/>
  <c r="P48" i="97"/>
  <c r="H48" i="97"/>
  <c r="D48" i="97"/>
  <c r="L48" i="97" s="1"/>
  <c r="N48" i="97" s="1"/>
  <c r="B48" i="97"/>
  <c r="Z47" i="97"/>
  <c r="X47" i="97"/>
  <c r="L47" i="97"/>
  <c r="N47" i="97" s="1"/>
  <c r="B47" i="97"/>
  <c r="Z46" i="97"/>
  <c r="X46" i="97"/>
  <c r="L46" i="97"/>
  <c r="N46" i="97" s="1"/>
  <c r="B46" i="97"/>
  <c r="T45" i="97"/>
  <c r="P45" i="97"/>
  <c r="X45" i="97" s="1"/>
  <c r="J45" i="97"/>
  <c r="H45" i="97"/>
  <c r="N45" i="97" s="1"/>
  <c r="D45" i="97"/>
  <c r="L45" i="97" s="1"/>
  <c r="B45" i="97"/>
  <c r="X44" i="97"/>
  <c r="Z44" i="97" s="1"/>
  <c r="L44" i="97"/>
  <c r="N44" i="97" s="1"/>
  <c r="F44" i="97"/>
  <c r="B44" i="97"/>
  <c r="X43" i="97"/>
  <c r="Z43" i="97" s="1"/>
  <c r="T43" i="97"/>
  <c r="P43" i="97"/>
  <c r="H43" i="97"/>
  <c r="F43" i="97"/>
  <c r="D43" i="97"/>
  <c r="L43" i="97" s="1"/>
  <c r="N43" i="97" s="1"/>
  <c r="B43" i="97"/>
  <c r="Z42" i="97"/>
  <c r="X42" i="97"/>
  <c r="N42" i="97"/>
  <c r="L42" i="97"/>
  <c r="B42" i="97"/>
  <c r="Z41" i="97"/>
  <c r="X41" i="97"/>
  <c r="T41" i="97"/>
  <c r="P41" i="97"/>
  <c r="L41" i="97"/>
  <c r="H41" i="97"/>
  <c r="N41" i="97" s="1"/>
  <c r="D41" i="97"/>
  <c r="B41" i="97"/>
  <c r="Z40" i="97"/>
  <c r="X40" i="97"/>
  <c r="L40" i="97"/>
  <c r="N40" i="97" s="1"/>
  <c r="B40" i="97"/>
  <c r="T39" i="97"/>
  <c r="Z39" i="97" s="1"/>
  <c r="P39" i="97"/>
  <c r="X39" i="97" s="1"/>
  <c r="H39" i="97"/>
  <c r="D39" i="97"/>
  <c r="L39" i="97" s="1"/>
  <c r="B39" i="97"/>
  <c r="X38" i="97"/>
  <c r="Z38" i="97" s="1"/>
  <c r="N38" i="97"/>
  <c r="L38" i="97"/>
  <c r="B38" i="97"/>
  <c r="X37" i="97"/>
  <c r="Z37" i="97" s="1"/>
  <c r="N37" i="97"/>
  <c r="L37" i="97"/>
  <c r="B37" i="97"/>
  <c r="X36" i="97"/>
  <c r="Z36" i="97" s="1"/>
  <c r="N36" i="97"/>
  <c r="L36" i="97"/>
  <c r="F36" i="97"/>
  <c r="B36" i="97"/>
  <c r="X35" i="97"/>
  <c r="Z35" i="97" s="1"/>
  <c r="L35" i="97"/>
  <c r="N35" i="97" s="1"/>
  <c r="B35" i="97"/>
  <c r="X34" i="97"/>
  <c r="Z34" i="97" s="1"/>
  <c r="N34" i="97"/>
  <c r="L34" i="97"/>
  <c r="B34" i="97"/>
  <c r="X33" i="97"/>
  <c r="Z33" i="97" s="1"/>
  <c r="N33" i="97"/>
  <c r="L33" i="97"/>
  <c r="B33" i="97"/>
  <c r="T32" i="97"/>
  <c r="P32" i="97"/>
  <c r="X32" i="97" s="1"/>
  <c r="L32" i="97"/>
  <c r="H32" i="97"/>
  <c r="D32" i="97"/>
  <c r="B32" i="97"/>
  <c r="X31" i="97"/>
  <c r="Z31" i="97" s="1"/>
  <c r="N31" i="97"/>
  <c r="L31" i="97"/>
  <c r="J31" i="97"/>
  <c r="F31" i="97"/>
  <c r="B31" i="97"/>
  <c r="Z30" i="97"/>
  <c r="X30" i="97"/>
  <c r="N30" i="97"/>
  <c r="L30" i="97"/>
  <c r="B30" i="97"/>
  <c r="Z29" i="97"/>
  <c r="X29" i="97"/>
  <c r="N29" i="97"/>
  <c r="L29" i="97"/>
  <c r="B29" i="97"/>
  <c r="X28" i="97"/>
  <c r="Z28" i="97" s="1"/>
  <c r="R28" i="97"/>
  <c r="N28" i="97"/>
  <c r="L28" i="97"/>
  <c r="B28" i="97"/>
  <c r="X27" i="97"/>
  <c r="Z27" i="97" s="1"/>
  <c r="N27" i="97"/>
  <c r="L27" i="97"/>
  <c r="J27" i="97"/>
  <c r="F27" i="97"/>
  <c r="B27" i="97"/>
  <c r="Z26" i="97"/>
  <c r="X26" i="97"/>
  <c r="N26" i="97"/>
  <c r="L26" i="97"/>
  <c r="B26" i="97"/>
  <c r="Z25" i="97"/>
  <c r="X25" i="97"/>
  <c r="N25" i="97"/>
  <c r="L25" i="97"/>
  <c r="B25" i="97"/>
  <c r="X24" i="97"/>
  <c r="Z24" i="97" s="1"/>
  <c r="N24" i="97"/>
  <c r="L24" i="97"/>
  <c r="B24" i="97"/>
  <c r="X23" i="97"/>
  <c r="T23" i="97"/>
  <c r="Z23" i="97" s="1"/>
  <c r="P23" i="97"/>
  <c r="N23" i="97"/>
  <c r="L23" i="97"/>
  <c r="H23" i="97"/>
  <c r="D23" i="97"/>
  <c r="B23" i="97"/>
  <c r="T22" i="97"/>
  <c r="P22" i="97"/>
  <c r="X22" i="97" s="1"/>
  <c r="H22" i="97"/>
  <c r="N22" i="97" s="1"/>
  <c r="D22" i="97"/>
  <c r="L22" i="97" s="1"/>
  <c r="P20" i="97"/>
  <c r="Z18" i="97"/>
  <c r="X18" i="97"/>
  <c r="L18" i="97"/>
  <c r="N18" i="97" s="1"/>
  <c r="B18" i="97"/>
  <c r="Z17" i="97"/>
  <c r="X17" i="97"/>
  <c r="N17" i="97"/>
  <c r="L17" i="97"/>
  <c r="B17" i="97"/>
  <c r="Z16" i="97"/>
  <c r="X16" i="97"/>
  <c r="T16" i="97"/>
  <c r="P16" i="97"/>
  <c r="H16" i="97"/>
  <c r="D16" i="97"/>
  <c r="L16" i="97" s="1"/>
  <c r="Z14" i="97"/>
  <c r="X14" i="97"/>
  <c r="T14" i="97"/>
  <c r="P14" i="97"/>
  <c r="L14" i="97"/>
  <c r="H14" i="97"/>
  <c r="N14" i="97" s="1"/>
  <c r="D14" i="97"/>
  <c r="B14" i="97"/>
  <c r="T13" i="97"/>
  <c r="P13" i="97"/>
  <c r="P12" i="97" s="1"/>
  <c r="R24" i="97" s="1"/>
  <c r="N13" i="97"/>
  <c r="L13" i="97"/>
  <c r="H13" i="97"/>
  <c r="D13" i="97"/>
  <c r="B13" i="97"/>
  <c r="L12" i="97"/>
  <c r="H12" i="97"/>
  <c r="J88" i="97" s="1"/>
  <c r="D12" i="97"/>
  <c r="F81" i="97" s="1"/>
  <c r="D6" i="97"/>
  <c r="D4" i="97"/>
  <c r="X92" i="95"/>
  <c r="Z92" i="95" s="1"/>
  <c r="L92" i="95"/>
  <c r="N92" i="95" s="1"/>
  <c r="T88" i="95"/>
  <c r="P88" i="95"/>
  <c r="N88" i="95"/>
  <c r="H88" i="95"/>
  <c r="H87" i="95" s="1"/>
  <c r="D88" i="95"/>
  <c r="B88" i="95"/>
  <c r="D87" i="95"/>
  <c r="X85" i="95"/>
  <c r="Z85" i="95" s="1"/>
  <c r="N85" i="95"/>
  <c r="L85" i="95"/>
  <c r="B85" i="95"/>
  <c r="T84" i="95"/>
  <c r="P84" i="95"/>
  <c r="X84" i="95" s="1"/>
  <c r="L84" i="95"/>
  <c r="H84" i="95"/>
  <c r="D84" i="95"/>
  <c r="B84" i="95"/>
  <c r="X83" i="95"/>
  <c r="Z83" i="95" s="1"/>
  <c r="N83" i="95"/>
  <c r="L83" i="95"/>
  <c r="B83" i="95"/>
  <c r="X82" i="95"/>
  <c r="Z82" i="95" s="1"/>
  <c r="T82" i="95"/>
  <c r="P82" i="95"/>
  <c r="H82" i="95"/>
  <c r="D82" i="95"/>
  <c r="B82" i="95"/>
  <c r="Z81" i="95"/>
  <c r="X81" i="95"/>
  <c r="N81" i="95"/>
  <c r="L81" i="95"/>
  <c r="B81" i="95"/>
  <c r="T80" i="95"/>
  <c r="X80" i="95" s="1"/>
  <c r="Z80" i="95" s="1"/>
  <c r="P80" i="95"/>
  <c r="H80" i="95"/>
  <c r="D80" i="95"/>
  <c r="L80" i="95" s="1"/>
  <c r="B80" i="95"/>
  <c r="Z79" i="95"/>
  <c r="X79" i="95"/>
  <c r="N79" i="95"/>
  <c r="L79" i="95"/>
  <c r="B79" i="95"/>
  <c r="X78" i="95"/>
  <c r="Z78" i="95" s="1"/>
  <c r="L78" i="95"/>
  <c r="N78" i="95" s="1"/>
  <c r="B78" i="95"/>
  <c r="X77" i="95"/>
  <c r="Z77" i="95" s="1"/>
  <c r="N77" i="95"/>
  <c r="L77" i="95"/>
  <c r="B77" i="95"/>
  <c r="X76" i="95"/>
  <c r="Z76" i="95" s="1"/>
  <c r="L76" i="95"/>
  <c r="N76" i="95" s="1"/>
  <c r="B76" i="95"/>
  <c r="Z75" i="95"/>
  <c r="X75" i="95"/>
  <c r="N75" i="95"/>
  <c r="L75" i="95"/>
  <c r="B75" i="95"/>
  <c r="X74" i="95"/>
  <c r="Z74" i="95" s="1"/>
  <c r="L74" i="95"/>
  <c r="N74" i="95" s="1"/>
  <c r="B74" i="95"/>
  <c r="Z73" i="95"/>
  <c r="X73" i="95"/>
  <c r="N73" i="95"/>
  <c r="L73" i="95"/>
  <c r="B73" i="95"/>
  <c r="X72" i="95"/>
  <c r="Z72" i="95" s="1"/>
  <c r="L72" i="95"/>
  <c r="N72" i="95" s="1"/>
  <c r="B72" i="95"/>
  <c r="T71" i="95"/>
  <c r="P71" i="95"/>
  <c r="X71" i="95" s="1"/>
  <c r="Z71" i="95" s="1"/>
  <c r="H71" i="95"/>
  <c r="N71" i="95" s="1"/>
  <c r="D71" i="95"/>
  <c r="L71" i="95" s="1"/>
  <c r="B71" i="95"/>
  <c r="X70" i="95"/>
  <c r="Z70" i="95" s="1"/>
  <c r="N70" i="95"/>
  <c r="L70" i="95"/>
  <c r="B70" i="95"/>
  <c r="Z69" i="95"/>
  <c r="X69" i="95"/>
  <c r="N69" i="95"/>
  <c r="L69" i="95"/>
  <c r="B69" i="95"/>
  <c r="T68" i="95"/>
  <c r="P68" i="95"/>
  <c r="L68" i="95"/>
  <c r="N68" i="95" s="1"/>
  <c r="H68" i="95"/>
  <c r="D68" i="95"/>
  <c r="B68" i="95"/>
  <c r="Z67" i="95"/>
  <c r="X67" i="95"/>
  <c r="N67" i="95"/>
  <c r="L67" i="95"/>
  <c r="B67" i="95"/>
  <c r="Z66" i="95"/>
  <c r="X66" i="95"/>
  <c r="L66" i="95"/>
  <c r="N66" i="95" s="1"/>
  <c r="B66" i="95"/>
  <c r="Z65" i="95"/>
  <c r="X65" i="95"/>
  <c r="N65" i="95"/>
  <c r="L65" i="95"/>
  <c r="B65" i="95"/>
  <c r="Z64" i="95"/>
  <c r="X64" i="95"/>
  <c r="N64" i="95"/>
  <c r="L64" i="95"/>
  <c r="B64" i="95"/>
  <c r="Z63" i="95"/>
  <c r="X63" i="95"/>
  <c r="N63" i="95"/>
  <c r="L63" i="95"/>
  <c r="B63" i="95"/>
  <c r="T62" i="95"/>
  <c r="Z62" i="95" s="1"/>
  <c r="P62" i="95"/>
  <c r="X62" i="95" s="1"/>
  <c r="N62" i="95"/>
  <c r="H62" i="95"/>
  <c r="L62" i="95" s="1"/>
  <c r="D62" i="95"/>
  <c r="B62" i="95"/>
  <c r="X61" i="95"/>
  <c r="Z61" i="95" s="1"/>
  <c r="N61" i="95"/>
  <c r="L61" i="95"/>
  <c r="B61" i="95"/>
  <c r="X60" i="95"/>
  <c r="Z60" i="95" s="1"/>
  <c r="N60" i="95"/>
  <c r="L60" i="95"/>
  <c r="B60" i="95"/>
  <c r="Z59" i="95"/>
  <c r="X59" i="95"/>
  <c r="L59" i="95"/>
  <c r="N59" i="95" s="1"/>
  <c r="B59" i="95"/>
  <c r="X58" i="95"/>
  <c r="Z58" i="95" s="1"/>
  <c r="N58" i="95"/>
  <c r="L58" i="95"/>
  <c r="B58" i="95"/>
  <c r="T57" i="95"/>
  <c r="P57" i="95"/>
  <c r="X57" i="95" s="1"/>
  <c r="H57" i="95"/>
  <c r="D57" i="95"/>
  <c r="L57" i="95" s="1"/>
  <c r="N57" i="95" s="1"/>
  <c r="B57" i="95"/>
  <c r="X56" i="95"/>
  <c r="Z56" i="95" s="1"/>
  <c r="N56" i="95"/>
  <c r="L56" i="95"/>
  <c r="B56" i="95"/>
  <c r="X55" i="95"/>
  <c r="T55" i="95"/>
  <c r="Z55" i="95" s="1"/>
  <c r="P55" i="95"/>
  <c r="N55" i="95"/>
  <c r="L55" i="95"/>
  <c r="H55" i="95"/>
  <c r="D55" i="95"/>
  <c r="B55" i="95"/>
  <c r="Z54" i="95"/>
  <c r="X54" i="95"/>
  <c r="L54" i="95"/>
  <c r="N54" i="95" s="1"/>
  <c r="B54" i="95"/>
  <c r="T53" i="95"/>
  <c r="Z53" i="95" s="1"/>
  <c r="P53" i="95"/>
  <c r="X53" i="95" s="1"/>
  <c r="H53" i="95"/>
  <c r="D53" i="95"/>
  <c r="B53" i="95"/>
  <c r="X52" i="95"/>
  <c r="Z52" i="95" s="1"/>
  <c r="L52" i="95"/>
  <c r="N52" i="95" s="1"/>
  <c r="B52" i="95"/>
  <c r="T51" i="95"/>
  <c r="P51" i="95"/>
  <c r="X51" i="95" s="1"/>
  <c r="Z51" i="95" s="1"/>
  <c r="H51" i="95"/>
  <c r="N51" i="95" s="1"/>
  <c r="D51" i="95"/>
  <c r="L51" i="95" s="1"/>
  <c r="B51" i="95"/>
  <c r="X50" i="95"/>
  <c r="Z50" i="95" s="1"/>
  <c r="N50" i="95"/>
  <c r="L50" i="95"/>
  <c r="B50" i="95"/>
  <c r="X49" i="95"/>
  <c r="Z49" i="95" s="1"/>
  <c r="T49" i="95"/>
  <c r="P49" i="95"/>
  <c r="L49" i="95"/>
  <c r="H49" i="95"/>
  <c r="N49" i="95" s="1"/>
  <c r="D49" i="95"/>
  <c r="B49" i="95"/>
  <c r="Z48" i="95"/>
  <c r="X48" i="95"/>
  <c r="N48" i="95"/>
  <c r="L48" i="95"/>
  <c r="B48" i="95"/>
  <c r="T47" i="95"/>
  <c r="Z47" i="95" s="1"/>
  <c r="P47" i="95"/>
  <c r="X47" i="95" s="1"/>
  <c r="H47" i="95"/>
  <c r="N47" i="95" s="1"/>
  <c r="D47" i="95"/>
  <c r="L47" i="95" s="1"/>
  <c r="B47" i="95"/>
  <c r="X46" i="95"/>
  <c r="Z46" i="95" s="1"/>
  <c r="L46" i="95"/>
  <c r="N46" i="95" s="1"/>
  <c r="B46" i="95"/>
  <c r="X45" i="95"/>
  <c r="Z45" i="95" s="1"/>
  <c r="L45" i="95"/>
  <c r="N45" i="95" s="1"/>
  <c r="B45" i="95"/>
  <c r="T44" i="95"/>
  <c r="Z44" i="95" s="1"/>
  <c r="P44" i="95"/>
  <c r="X44" i="95" s="1"/>
  <c r="H44" i="95"/>
  <c r="D44" i="95"/>
  <c r="L44" i="95" s="1"/>
  <c r="B44" i="95"/>
  <c r="X43" i="95"/>
  <c r="Z43" i="95" s="1"/>
  <c r="N43" i="95"/>
  <c r="L43" i="95"/>
  <c r="B43" i="95"/>
  <c r="Z42" i="95"/>
  <c r="X42" i="95"/>
  <c r="T42" i="95"/>
  <c r="P42" i="95"/>
  <c r="N42" i="95"/>
  <c r="L42" i="95"/>
  <c r="H42" i="95"/>
  <c r="D42" i="95"/>
  <c r="B42" i="95"/>
  <c r="Z41" i="95"/>
  <c r="X41" i="95"/>
  <c r="L41" i="95"/>
  <c r="N41" i="95" s="1"/>
  <c r="B41" i="95"/>
  <c r="T40" i="95"/>
  <c r="P40" i="95"/>
  <c r="H40" i="95"/>
  <c r="D40" i="95"/>
  <c r="B40" i="95"/>
  <c r="X39" i="95"/>
  <c r="Z39" i="95" s="1"/>
  <c r="L39" i="95"/>
  <c r="N39" i="95" s="1"/>
  <c r="B39" i="95"/>
  <c r="T38" i="95"/>
  <c r="P38" i="95"/>
  <c r="X38" i="95" s="1"/>
  <c r="Z38" i="95" s="1"/>
  <c r="H38" i="95"/>
  <c r="N38" i="95" s="1"/>
  <c r="D38" i="95"/>
  <c r="L38" i="95" s="1"/>
  <c r="B38" i="95"/>
  <c r="Z37" i="95"/>
  <c r="X37" i="95"/>
  <c r="N37" i="95"/>
  <c r="L37" i="95"/>
  <c r="B37" i="95"/>
  <c r="Z36" i="95"/>
  <c r="X36" i="95"/>
  <c r="N36" i="95"/>
  <c r="L36" i="95"/>
  <c r="B36" i="95"/>
  <c r="X35" i="95"/>
  <c r="Z35" i="95" s="1"/>
  <c r="L35" i="95"/>
  <c r="N35" i="95" s="1"/>
  <c r="B35" i="95"/>
  <c r="X34" i="95"/>
  <c r="Z34" i="95" s="1"/>
  <c r="L34" i="95"/>
  <c r="N34" i="95" s="1"/>
  <c r="B34" i="95"/>
  <c r="Z33" i="95"/>
  <c r="X33" i="95"/>
  <c r="N33" i="95"/>
  <c r="L33" i="95"/>
  <c r="B33" i="95"/>
  <c r="Z32" i="95"/>
  <c r="X32" i="95"/>
  <c r="T32" i="95"/>
  <c r="P32" i="95"/>
  <c r="L32" i="95"/>
  <c r="N32" i="95" s="1"/>
  <c r="H32" i="95"/>
  <c r="D32" i="95"/>
  <c r="B32" i="95"/>
  <c r="X31" i="95"/>
  <c r="Z31" i="95" s="1"/>
  <c r="L31" i="95"/>
  <c r="N31" i="95" s="1"/>
  <c r="B31" i="95"/>
  <c r="X30" i="95"/>
  <c r="Z30" i="95" s="1"/>
  <c r="N30" i="95"/>
  <c r="L30" i="95"/>
  <c r="B30" i="95"/>
  <c r="Z29" i="95"/>
  <c r="X29" i="95"/>
  <c r="L29" i="95"/>
  <c r="N29" i="95" s="1"/>
  <c r="B29" i="95"/>
  <c r="X28" i="95"/>
  <c r="Z28" i="95" s="1"/>
  <c r="N28" i="95"/>
  <c r="L28" i="95"/>
  <c r="B28" i="95"/>
  <c r="X27" i="95"/>
  <c r="Z27" i="95" s="1"/>
  <c r="L27" i="95"/>
  <c r="N27" i="95" s="1"/>
  <c r="B27" i="95"/>
  <c r="X26" i="95"/>
  <c r="Z26" i="95" s="1"/>
  <c r="N26" i="95"/>
  <c r="L26" i="95"/>
  <c r="B26" i="95"/>
  <c r="Z25" i="95"/>
  <c r="X25" i="95"/>
  <c r="L25" i="95"/>
  <c r="N25" i="95" s="1"/>
  <c r="B25" i="95"/>
  <c r="X24" i="95"/>
  <c r="Z24" i="95" s="1"/>
  <c r="N24" i="95"/>
  <c r="L24" i="95"/>
  <c r="B24" i="95"/>
  <c r="X23" i="95"/>
  <c r="Z23" i="95" s="1"/>
  <c r="T23" i="95"/>
  <c r="P23" i="95"/>
  <c r="H23" i="95"/>
  <c r="D23" i="95"/>
  <c r="L23" i="95" s="1"/>
  <c r="N23" i="95" s="1"/>
  <c r="B23" i="95"/>
  <c r="T22" i="95"/>
  <c r="P22" i="95"/>
  <c r="X22" i="95" s="1"/>
  <c r="Z22" i="95" s="1"/>
  <c r="H22" i="95"/>
  <c r="D22" i="95"/>
  <c r="L22" i="95" s="1"/>
  <c r="Z18" i="95"/>
  <c r="X18" i="95"/>
  <c r="L18" i="95"/>
  <c r="N18" i="95" s="1"/>
  <c r="B18" i="95"/>
  <c r="Z17" i="95"/>
  <c r="X17" i="95"/>
  <c r="N17" i="95"/>
  <c r="L17" i="95"/>
  <c r="B17" i="95"/>
  <c r="T16" i="95"/>
  <c r="Z16" i="95" s="1"/>
  <c r="P16" i="95"/>
  <c r="X16" i="95" s="1"/>
  <c r="H16" i="95"/>
  <c r="D16" i="95"/>
  <c r="L16" i="95" s="1"/>
  <c r="N16" i="95" s="1"/>
  <c r="T14" i="95"/>
  <c r="P14" i="95"/>
  <c r="P12" i="95" s="1"/>
  <c r="L14" i="95"/>
  <c r="N14" i="95" s="1"/>
  <c r="H14" i="95"/>
  <c r="D14" i="95"/>
  <c r="B14" i="95"/>
  <c r="T13" i="95"/>
  <c r="T12" i="95" s="1"/>
  <c r="P13" i="95"/>
  <c r="H13" i="95"/>
  <c r="H12" i="95" s="1"/>
  <c r="D13" i="95"/>
  <c r="D12" i="95" s="1"/>
  <c r="B13" i="95"/>
  <c r="D6" i="95"/>
  <c r="D4" i="95"/>
  <c r="X78" i="94"/>
  <c r="Z78" i="94" s="1"/>
  <c r="L78" i="94"/>
  <c r="N78" i="94" s="1"/>
  <c r="T74" i="94"/>
  <c r="Z74" i="94" s="1"/>
  <c r="P74" i="94"/>
  <c r="X74" i="94" s="1"/>
  <c r="H74" i="94"/>
  <c r="N74" i="94" s="1"/>
  <c r="D74" i="94"/>
  <c r="L74" i="94" s="1"/>
  <c r="X72" i="94"/>
  <c r="Z72" i="94" s="1"/>
  <c r="N72" i="94"/>
  <c r="L72" i="94"/>
  <c r="B72" i="94"/>
  <c r="T71" i="94"/>
  <c r="P71" i="94"/>
  <c r="X71" i="94" s="1"/>
  <c r="Z71" i="94" s="1"/>
  <c r="N71" i="94"/>
  <c r="L71" i="94"/>
  <c r="H71" i="94"/>
  <c r="D71" i="94"/>
  <c r="B71" i="94"/>
  <c r="X70" i="94"/>
  <c r="Z70" i="94" s="1"/>
  <c r="N70" i="94"/>
  <c r="L70" i="94"/>
  <c r="B70" i="94"/>
  <c r="T69" i="94"/>
  <c r="P69" i="94"/>
  <c r="X69" i="94" s="1"/>
  <c r="H69" i="94"/>
  <c r="N69" i="94" s="1"/>
  <c r="D69" i="94"/>
  <c r="L69" i="94" s="1"/>
  <c r="B69" i="94"/>
  <c r="X68" i="94"/>
  <c r="Z68" i="94" s="1"/>
  <c r="N68" i="94"/>
  <c r="L68" i="94"/>
  <c r="B68" i="94"/>
  <c r="Z67" i="94"/>
  <c r="X67" i="94"/>
  <c r="N67" i="94"/>
  <c r="L67" i="94"/>
  <c r="B67" i="94"/>
  <c r="X66" i="94"/>
  <c r="Z66" i="94" s="1"/>
  <c r="N66" i="94"/>
  <c r="L66" i="94"/>
  <c r="B66" i="94"/>
  <c r="Z65" i="94"/>
  <c r="X65" i="94"/>
  <c r="N65" i="94"/>
  <c r="L65" i="94"/>
  <c r="B65" i="94"/>
  <c r="X64" i="94"/>
  <c r="Z64" i="94" s="1"/>
  <c r="L64" i="94"/>
  <c r="N64" i="94" s="1"/>
  <c r="B64" i="94"/>
  <c r="Z63" i="94"/>
  <c r="X63" i="94"/>
  <c r="N63" i="94"/>
  <c r="L63" i="94"/>
  <c r="B63" i="94"/>
  <c r="X62" i="94"/>
  <c r="Z62" i="94" s="1"/>
  <c r="N62" i="94"/>
  <c r="L62" i="94"/>
  <c r="B62" i="94"/>
  <c r="T61" i="94"/>
  <c r="P61" i="94"/>
  <c r="X61" i="94" s="1"/>
  <c r="Z61" i="94" s="1"/>
  <c r="H61" i="94"/>
  <c r="D61" i="94"/>
  <c r="L61" i="94" s="1"/>
  <c r="N61" i="94" s="1"/>
  <c r="B61" i="94"/>
  <c r="X60" i="94"/>
  <c r="Z60" i="94" s="1"/>
  <c r="L60" i="94"/>
  <c r="N60" i="94" s="1"/>
  <c r="B60" i="94"/>
  <c r="X59" i="94"/>
  <c r="Z59" i="94" s="1"/>
  <c r="T59" i="94"/>
  <c r="P59" i="94"/>
  <c r="N59" i="94"/>
  <c r="L59" i="94"/>
  <c r="H59" i="94"/>
  <c r="D59" i="94"/>
  <c r="B59" i="94"/>
  <c r="X58" i="94"/>
  <c r="Z58" i="94" s="1"/>
  <c r="L58" i="94"/>
  <c r="N58" i="94" s="1"/>
  <c r="B58" i="94"/>
  <c r="T57" i="94"/>
  <c r="P57" i="94"/>
  <c r="H57" i="94"/>
  <c r="N57" i="94" s="1"/>
  <c r="D57" i="94"/>
  <c r="L57" i="94" s="1"/>
  <c r="B57" i="94"/>
  <c r="X56" i="94"/>
  <c r="Z56" i="94" s="1"/>
  <c r="N56" i="94"/>
  <c r="L56" i="94"/>
  <c r="B56" i="94"/>
  <c r="T55" i="94"/>
  <c r="P55" i="94"/>
  <c r="X55" i="94" s="1"/>
  <c r="Z55" i="94" s="1"/>
  <c r="H55" i="94"/>
  <c r="D55" i="94"/>
  <c r="L55" i="94" s="1"/>
  <c r="N55" i="94" s="1"/>
  <c r="B55" i="94"/>
  <c r="Z54" i="94"/>
  <c r="X54" i="94"/>
  <c r="L54" i="94"/>
  <c r="N54" i="94" s="1"/>
  <c r="B54" i="94"/>
  <c r="Z53" i="94"/>
  <c r="X53" i="94"/>
  <c r="N53" i="94"/>
  <c r="L53" i="94"/>
  <c r="B53" i="94"/>
  <c r="T52" i="94"/>
  <c r="P52" i="94"/>
  <c r="X52" i="94" s="1"/>
  <c r="H52" i="94"/>
  <c r="D52" i="94"/>
  <c r="L52" i="94" s="1"/>
  <c r="B52" i="94"/>
  <c r="X51" i="94"/>
  <c r="Z51" i="94" s="1"/>
  <c r="N51" i="94"/>
  <c r="L51" i="94"/>
  <c r="B51" i="94"/>
  <c r="X50" i="94"/>
  <c r="Z50" i="94" s="1"/>
  <c r="T50" i="94"/>
  <c r="P50" i="94"/>
  <c r="L50" i="94"/>
  <c r="N50" i="94" s="1"/>
  <c r="H50" i="94"/>
  <c r="D50" i="94"/>
  <c r="B50" i="94"/>
  <c r="Z49" i="94"/>
  <c r="X49" i="94"/>
  <c r="N49" i="94"/>
  <c r="L49" i="94"/>
  <c r="B49" i="94"/>
  <c r="T48" i="94"/>
  <c r="P48" i="94"/>
  <c r="H48" i="94"/>
  <c r="D48" i="94"/>
  <c r="B48" i="94"/>
  <c r="Z47" i="94"/>
  <c r="X47" i="94"/>
  <c r="L47" i="94"/>
  <c r="N47" i="94" s="1"/>
  <c r="B47" i="94"/>
  <c r="T46" i="94"/>
  <c r="Z46" i="94" s="1"/>
  <c r="P46" i="94"/>
  <c r="X46" i="94" s="1"/>
  <c r="H46" i="94"/>
  <c r="N46" i="94" s="1"/>
  <c r="D46" i="94"/>
  <c r="L46" i="94" s="1"/>
  <c r="B46" i="94"/>
  <c r="X45" i="94"/>
  <c r="Z45" i="94" s="1"/>
  <c r="N45" i="94"/>
  <c r="L45" i="94"/>
  <c r="B45" i="94"/>
  <c r="X44" i="94"/>
  <c r="Z44" i="94" s="1"/>
  <c r="T44" i="94"/>
  <c r="P44" i="94"/>
  <c r="H44" i="94"/>
  <c r="D44" i="94"/>
  <c r="L44" i="94" s="1"/>
  <c r="N44" i="94" s="1"/>
  <c r="B44" i="94"/>
  <c r="Z43" i="94"/>
  <c r="X43" i="94"/>
  <c r="N43" i="94"/>
  <c r="L43" i="94"/>
  <c r="B43" i="94"/>
  <c r="T42" i="94"/>
  <c r="P42" i="94"/>
  <c r="H42" i="94"/>
  <c r="D42" i="94"/>
  <c r="B42" i="94"/>
  <c r="Z41" i="94"/>
  <c r="X41" i="94"/>
  <c r="N41" i="94"/>
  <c r="L41" i="94"/>
  <c r="B41" i="94"/>
  <c r="T40" i="94"/>
  <c r="P40" i="94"/>
  <c r="X40" i="94" s="1"/>
  <c r="H40" i="94"/>
  <c r="D40" i="94"/>
  <c r="L40" i="94" s="1"/>
  <c r="B40" i="94"/>
  <c r="Z39" i="94"/>
  <c r="X39" i="94"/>
  <c r="N39" i="94"/>
  <c r="L39" i="94"/>
  <c r="B39" i="94"/>
  <c r="T38" i="94"/>
  <c r="P38" i="94"/>
  <c r="X38" i="94" s="1"/>
  <c r="Z38" i="94" s="1"/>
  <c r="L38" i="94"/>
  <c r="N38" i="94" s="1"/>
  <c r="H38" i="94"/>
  <c r="D38" i="94"/>
  <c r="B38" i="94"/>
  <c r="Z37" i="94"/>
  <c r="X37" i="94"/>
  <c r="N37" i="94"/>
  <c r="L37" i="94"/>
  <c r="B37" i="94"/>
  <c r="X36" i="94"/>
  <c r="Z36" i="94" s="1"/>
  <c r="N36" i="94"/>
  <c r="L36" i="94"/>
  <c r="B36" i="94"/>
  <c r="Z35" i="94"/>
  <c r="X35" i="94"/>
  <c r="N35" i="94"/>
  <c r="L35" i="94"/>
  <c r="B35" i="94"/>
  <c r="X34" i="94"/>
  <c r="Z34" i="94" s="1"/>
  <c r="N34" i="94"/>
  <c r="L34" i="94"/>
  <c r="B34" i="94"/>
  <c r="Z33" i="94"/>
  <c r="X33" i="94"/>
  <c r="N33" i="94"/>
  <c r="L33" i="94"/>
  <c r="B33" i="94"/>
  <c r="T32" i="94"/>
  <c r="P32" i="94"/>
  <c r="L32" i="94"/>
  <c r="H32" i="94"/>
  <c r="N32" i="94" s="1"/>
  <c r="D32" i="94"/>
  <c r="B32" i="94"/>
  <c r="Z31" i="94"/>
  <c r="X31" i="94"/>
  <c r="N31" i="94"/>
  <c r="L31" i="94"/>
  <c r="B31" i="94"/>
  <c r="X30" i="94"/>
  <c r="Z30" i="94" s="1"/>
  <c r="L30" i="94"/>
  <c r="N30" i="94" s="1"/>
  <c r="B30" i="94"/>
  <c r="Z29" i="94"/>
  <c r="X29" i="94"/>
  <c r="N29" i="94"/>
  <c r="L29" i="94"/>
  <c r="B29" i="94"/>
  <c r="X28" i="94"/>
  <c r="Z28" i="94" s="1"/>
  <c r="L28" i="94"/>
  <c r="N28" i="94" s="1"/>
  <c r="B28" i="94"/>
  <c r="X27" i="94"/>
  <c r="Z27" i="94" s="1"/>
  <c r="L27" i="94"/>
  <c r="N27" i="94" s="1"/>
  <c r="B27" i="94"/>
  <c r="X26" i="94"/>
  <c r="Z26" i="94" s="1"/>
  <c r="L26" i="94"/>
  <c r="N26" i="94" s="1"/>
  <c r="B26" i="94"/>
  <c r="Z25" i="94"/>
  <c r="X25" i="94"/>
  <c r="L25" i="94"/>
  <c r="N25" i="94" s="1"/>
  <c r="B25" i="94"/>
  <c r="X24" i="94"/>
  <c r="Z24" i="94" s="1"/>
  <c r="L24" i="94"/>
  <c r="N24" i="94" s="1"/>
  <c r="B24" i="94"/>
  <c r="X23" i="94"/>
  <c r="Z23" i="94" s="1"/>
  <c r="T23" i="94"/>
  <c r="P23" i="94"/>
  <c r="N23" i="94"/>
  <c r="L23" i="94"/>
  <c r="H23" i="94"/>
  <c r="D23" i="94"/>
  <c r="B23" i="94"/>
  <c r="T22" i="94"/>
  <c r="P22" i="94"/>
  <c r="H22" i="94"/>
  <c r="D22" i="94"/>
  <c r="X18" i="94"/>
  <c r="Z18" i="94" s="1"/>
  <c r="L18" i="94"/>
  <c r="N18" i="94" s="1"/>
  <c r="B18" i="94"/>
  <c r="Z17" i="94"/>
  <c r="X17" i="94"/>
  <c r="N17" i="94"/>
  <c r="L17" i="94"/>
  <c r="B17" i="94"/>
  <c r="X16" i="94"/>
  <c r="T16" i="94"/>
  <c r="Z16" i="94" s="1"/>
  <c r="P16" i="94"/>
  <c r="H16" i="94"/>
  <c r="D16" i="94"/>
  <c r="L16" i="94" s="1"/>
  <c r="X14" i="94"/>
  <c r="T14" i="94"/>
  <c r="Z14" i="94" s="1"/>
  <c r="P14" i="94"/>
  <c r="P12" i="94" s="1"/>
  <c r="L14" i="94"/>
  <c r="H14" i="94"/>
  <c r="N14" i="94" s="1"/>
  <c r="D14" i="94"/>
  <c r="B14" i="94"/>
  <c r="T13" i="94"/>
  <c r="T12" i="94" s="1"/>
  <c r="P13" i="94"/>
  <c r="X13" i="94" s="1"/>
  <c r="H13" i="94"/>
  <c r="H12" i="94" s="1"/>
  <c r="D13" i="94"/>
  <c r="B13" i="94"/>
  <c r="D12" i="94"/>
  <c r="F72" i="94" s="1"/>
  <c r="D6" i="94"/>
  <c r="D4" i="94"/>
  <c r="X70" i="93"/>
  <c r="Z70" i="93" s="1"/>
  <c r="L70" i="93"/>
  <c r="N70" i="93" s="1"/>
  <c r="T66" i="93"/>
  <c r="T65" i="93" s="1"/>
  <c r="P66" i="93"/>
  <c r="P65" i="93" s="1"/>
  <c r="X65" i="93" s="1"/>
  <c r="H66" i="93"/>
  <c r="N66" i="93" s="1"/>
  <c r="D66" i="93"/>
  <c r="L66" i="93" s="1"/>
  <c r="B66" i="93"/>
  <c r="Z63" i="93"/>
  <c r="X63" i="93"/>
  <c r="N63" i="93"/>
  <c r="L63" i="93"/>
  <c r="B63" i="93"/>
  <c r="X62" i="93"/>
  <c r="T62" i="93"/>
  <c r="Z62" i="93" s="1"/>
  <c r="P62" i="93"/>
  <c r="L62" i="93"/>
  <c r="H62" i="93"/>
  <c r="N62" i="93" s="1"/>
  <c r="D62" i="93"/>
  <c r="B62" i="93"/>
  <c r="Z61" i="93"/>
  <c r="X61" i="93"/>
  <c r="N61" i="93"/>
  <c r="L61" i="93"/>
  <c r="B61" i="93"/>
  <c r="X60" i="93"/>
  <c r="Z60" i="93" s="1"/>
  <c r="N60" i="93"/>
  <c r="L60" i="93"/>
  <c r="B60" i="93"/>
  <c r="Z59" i="93"/>
  <c r="X59" i="93"/>
  <c r="N59" i="93"/>
  <c r="L59" i="93"/>
  <c r="B59" i="93"/>
  <c r="X58" i="93"/>
  <c r="Z58" i="93" s="1"/>
  <c r="L58" i="93"/>
  <c r="N58" i="93" s="1"/>
  <c r="B58" i="93"/>
  <c r="Z57" i="93"/>
  <c r="X57" i="93"/>
  <c r="N57" i="93"/>
  <c r="L57" i="93"/>
  <c r="B57" i="93"/>
  <c r="X56" i="93"/>
  <c r="Z56" i="93" s="1"/>
  <c r="N56" i="93"/>
  <c r="L56" i="93"/>
  <c r="B56" i="93"/>
  <c r="T55" i="93"/>
  <c r="P55" i="93"/>
  <c r="X55" i="93" s="1"/>
  <c r="Z55" i="93" s="1"/>
  <c r="H55" i="93"/>
  <c r="D55" i="93"/>
  <c r="L55" i="93" s="1"/>
  <c r="N55" i="93" s="1"/>
  <c r="B55" i="93"/>
  <c r="X54" i="93"/>
  <c r="Z54" i="93" s="1"/>
  <c r="L54" i="93"/>
  <c r="N54" i="93" s="1"/>
  <c r="B54" i="93"/>
  <c r="Z53" i="93"/>
  <c r="X53" i="93"/>
  <c r="N53" i="93"/>
  <c r="L53" i="93"/>
  <c r="B53" i="93"/>
  <c r="Z52" i="93"/>
  <c r="X52" i="93"/>
  <c r="N52" i="93"/>
  <c r="L52" i="93"/>
  <c r="B52" i="93"/>
  <c r="T51" i="93"/>
  <c r="P51" i="93"/>
  <c r="X51" i="93" s="1"/>
  <c r="Z51" i="93" s="1"/>
  <c r="H51" i="93"/>
  <c r="D51" i="93"/>
  <c r="L51" i="93" s="1"/>
  <c r="N51" i="93" s="1"/>
  <c r="B51" i="93"/>
  <c r="X50" i="93"/>
  <c r="Z50" i="93" s="1"/>
  <c r="N50" i="93"/>
  <c r="L50" i="93"/>
  <c r="B50" i="93"/>
  <c r="Z49" i="93"/>
  <c r="X49" i="93"/>
  <c r="N49" i="93"/>
  <c r="L49" i="93"/>
  <c r="B49" i="93"/>
  <c r="X48" i="93"/>
  <c r="Z48" i="93" s="1"/>
  <c r="N48" i="93"/>
  <c r="L48" i="93"/>
  <c r="B48" i="93"/>
  <c r="T47" i="93"/>
  <c r="P47" i="93"/>
  <c r="X47" i="93" s="1"/>
  <c r="Z47" i="93" s="1"/>
  <c r="N47" i="93"/>
  <c r="H47" i="93"/>
  <c r="D47" i="93"/>
  <c r="L47" i="93" s="1"/>
  <c r="B47" i="93"/>
  <c r="X46" i="93"/>
  <c r="Z46" i="93" s="1"/>
  <c r="L46" i="93"/>
  <c r="N46" i="93" s="1"/>
  <c r="B46" i="93"/>
  <c r="Z45" i="93"/>
  <c r="X45" i="93"/>
  <c r="T45" i="93"/>
  <c r="P45" i="93"/>
  <c r="N45" i="93"/>
  <c r="L45" i="93"/>
  <c r="H45" i="93"/>
  <c r="D45" i="93"/>
  <c r="B45" i="93"/>
  <c r="X44" i="93"/>
  <c r="Z44" i="93" s="1"/>
  <c r="L44" i="93"/>
  <c r="N44" i="93" s="1"/>
  <c r="B44" i="93"/>
  <c r="T43" i="93"/>
  <c r="P43" i="93"/>
  <c r="X43" i="93" s="1"/>
  <c r="Z43" i="93" s="1"/>
  <c r="H43" i="93"/>
  <c r="D43" i="93"/>
  <c r="L43" i="93" s="1"/>
  <c r="N43" i="93" s="1"/>
  <c r="B43" i="93"/>
  <c r="X42" i="93"/>
  <c r="Z42" i="93" s="1"/>
  <c r="L42" i="93"/>
  <c r="N42" i="93" s="1"/>
  <c r="B42" i="93"/>
  <c r="X41" i="93"/>
  <c r="Z41" i="93" s="1"/>
  <c r="T41" i="93"/>
  <c r="P41" i="93"/>
  <c r="H41" i="93"/>
  <c r="D41" i="93"/>
  <c r="L41" i="93" s="1"/>
  <c r="N41" i="93" s="1"/>
  <c r="B41" i="93"/>
  <c r="X40" i="93"/>
  <c r="Z40" i="93" s="1"/>
  <c r="L40" i="93"/>
  <c r="N40" i="93" s="1"/>
  <c r="B40" i="93"/>
  <c r="X39" i="93"/>
  <c r="T39" i="93"/>
  <c r="Z39" i="93" s="1"/>
  <c r="P39" i="93"/>
  <c r="H39" i="93"/>
  <c r="D39" i="93"/>
  <c r="L39" i="93" s="1"/>
  <c r="N39" i="93" s="1"/>
  <c r="B39" i="93"/>
  <c r="Z38" i="93"/>
  <c r="X38" i="93"/>
  <c r="L38" i="93"/>
  <c r="N38" i="93" s="1"/>
  <c r="B38" i="93"/>
  <c r="T37" i="93"/>
  <c r="P37" i="93"/>
  <c r="X37" i="93" s="1"/>
  <c r="H37" i="93"/>
  <c r="D37" i="93"/>
  <c r="L37" i="93" s="1"/>
  <c r="N37" i="93" s="1"/>
  <c r="B37" i="93"/>
  <c r="X36" i="93"/>
  <c r="Z36" i="93" s="1"/>
  <c r="L36" i="93"/>
  <c r="N36" i="93" s="1"/>
  <c r="B36" i="93"/>
  <c r="Z35" i="93"/>
  <c r="X35" i="93"/>
  <c r="L35" i="93"/>
  <c r="N35" i="93" s="1"/>
  <c r="B35" i="93"/>
  <c r="X34" i="93"/>
  <c r="Z34" i="93" s="1"/>
  <c r="L34" i="93"/>
  <c r="N34" i="93" s="1"/>
  <c r="B34" i="93"/>
  <c r="X33" i="93"/>
  <c r="Z33" i="93" s="1"/>
  <c r="N33" i="93"/>
  <c r="L33" i="93"/>
  <c r="B33" i="93"/>
  <c r="T32" i="93"/>
  <c r="Z32" i="93" s="1"/>
  <c r="P32" i="93"/>
  <c r="X32" i="93" s="1"/>
  <c r="L32" i="93"/>
  <c r="H32" i="93"/>
  <c r="N32" i="93" s="1"/>
  <c r="D32" i="93"/>
  <c r="B32" i="93"/>
  <c r="X31" i="93"/>
  <c r="Z31" i="93" s="1"/>
  <c r="N31" i="93"/>
  <c r="L31" i="93"/>
  <c r="B31" i="93"/>
  <c r="X30" i="93"/>
  <c r="Z30" i="93" s="1"/>
  <c r="N30" i="93"/>
  <c r="L30" i="93"/>
  <c r="B30" i="93"/>
  <c r="Z29" i="93"/>
  <c r="X29" i="93"/>
  <c r="N29" i="93"/>
  <c r="L29" i="93"/>
  <c r="B29" i="93"/>
  <c r="X28" i="93"/>
  <c r="Z28" i="93" s="1"/>
  <c r="L28" i="93"/>
  <c r="N28" i="93" s="1"/>
  <c r="B28" i="93"/>
  <c r="X27" i="93"/>
  <c r="Z27" i="93" s="1"/>
  <c r="N27" i="93"/>
  <c r="L27" i="93"/>
  <c r="B27" i="93"/>
  <c r="X26" i="93"/>
  <c r="Z26" i="93" s="1"/>
  <c r="L26" i="93"/>
  <c r="N26" i="93" s="1"/>
  <c r="B26" i="93"/>
  <c r="Z25" i="93"/>
  <c r="X25" i="93"/>
  <c r="N25" i="93"/>
  <c r="L25" i="93"/>
  <c r="B25" i="93"/>
  <c r="X24" i="93"/>
  <c r="Z24" i="93" s="1"/>
  <c r="L24" i="93"/>
  <c r="N24" i="93" s="1"/>
  <c r="B24" i="93"/>
  <c r="T23" i="93"/>
  <c r="Z23" i="93" s="1"/>
  <c r="P23" i="93"/>
  <c r="X23" i="93" s="1"/>
  <c r="H23" i="93"/>
  <c r="D23" i="93"/>
  <c r="L23" i="93" s="1"/>
  <c r="N23" i="93" s="1"/>
  <c r="B23" i="93"/>
  <c r="T22" i="93"/>
  <c r="P22" i="93"/>
  <c r="X22" i="93" s="1"/>
  <c r="H22" i="93"/>
  <c r="D22" i="93"/>
  <c r="L22" i="93" s="1"/>
  <c r="X18" i="93"/>
  <c r="Z18" i="93" s="1"/>
  <c r="N18" i="93"/>
  <c r="L18" i="93"/>
  <c r="B18" i="93"/>
  <c r="Z17" i="93"/>
  <c r="X17" i="93"/>
  <c r="L17" i="93"/>
  <c r="N17" i="93" s="1"/>
  <c r="B17" i="93"/>
  <c r="X16" i="93"/>
  <c r="T16" i="93"/>
  <c r="Z16" i="93" s="1"/>
  <c r="P16" i="93"/>
  <c r="H16" i="93"/>
  <c r="N16" i="93" s="1"/>
  <c r="D16" i="93"/>
  <c r="L16" i="93" s="1"/>
  <c r="X14" i="93"/>
  <c r="T14" i="93"/>
  <c r="T12" i="93" s="1"/>
  <c r="P14" i="93"/>
  <c r="P12" i="93" s="1"/>
  <c r="H14" i="93"/>
  <c r="N14" i="93" s="1"/>
  <c r="D14" i="93"/>
  <c r="L14" i="93" s="1"/>
  <c r="B14" i="93"/>
  <c r="T13" i="93"/>
  <c r="P13" i="93"/>
  <c r="X13" i="93" s="1"/>
  <c r="Z13" i="93" s="1"/>
  <c r="N13" i="93"/>
  <c r="L13" i="93"/>
  <c r="H13" i="93"/>
  <c r="H12" i="93" s="1"/>
  <c r="J23" i="93" s="1"/>
  <c r="D13" i="93"/>
  <c r="B13" i="93"/>
  <c r="D12" i="93"/>
  <c r="D6" i="93"/>
  <c r="D4" i="93"/>
  <c r="Z74" i="92"/>
  <c r="X74" i="92"/>
  <c r="N74" i="92"/>
  <c r="L74" i="92"/>
  <c r="X70" i="92"/>
  <c r="T70" i="92"/>
  <c r="Z70" i="92" s="1"/>
  <c r="P70" i="92"/>
  <c r="H70" i="92"/>
  <c r="N70" i="92" s="1"/>
  <c r="D70" i="92"/>
  <c r="L70" i="92" s="1"/>
  <c r="X68" i="92"/>
  <c r="Z68" i="92" s="1"/>
  <c r="N68" i="92"/>
  <c r="L68" i="92"/>
  <c r="B68" i="92"/>
  <c r="T67" i="92"/>
  <c r="P67" i="92"/>
  <c r="X67" i="92" s="1"/>
  <c r="Z67" i="92" s="1"/>
  <c r="N67" i="92"/>
  <c r="H67" i="92"/>
  <c r="D67" i="92"/>
  <c r="L67" i="92" s="1"/>
  <c r="B67" i="92"/>
  <c r="X66" i="92"/>
  <c r="Z66" i="92" s="1"/>
  <c r="R66" i="92"/>
  <c r="L66" i="92"/>
  <c r="N66" i="92" s="1"/>
  <c r="B66" i="92"/>
  <c r="X65" i="92"/>
  <c r="Z65" i="92" s="1"/>
  <c r="T65" i="92"/>
  <c r="P65" i="92"/>
  <c r="N65" i="92"/>
  <c r="L65" i="92"/>
  <c r="H65" i="92"/>
  <c r="D65" i="92"/>
  <c r="B65" i="92"/>
  <c r="X64" i="92"/>
  <c r="Z64" i="92" s="1"/>
  <c r="L64" i="92"/>
  <c r="N64" i="92" s="1"/>
  <c r="B64" i="92"/>
  <c r="X63" i="92"/>
  <c r="Z63" i="92" s="1"/>
  <c r="N63" i="92"/>
  <c r="L63" i="92"/>
  <c r="B63" i="92"/>
  <c r="X62" i="92"/>
  <c r="Z62" i="92" s="1"/>
  <c r="N62" i="92"/>
  <c r="L62" i="92"/>
  <c r="B62" i="92"/>
  <c r="Z61" i="92"/>
  <c r="X61" i="92"/>
  <c r="V61" i="92"/>
  <c r="N61" i="92"/>
  <c r="L61" i="92"/>
  <c r="B61" i="92"/>
  <c r="X60" i="92"/>
  <c r="Z60" i="92" s="1"/>
  <c r="L60" i="92"/>
  <c r="N60" i="92" s="1"/>
  <c r="B60" i="92"/>
  <c r="X59" i="92"/>
  <c r="Z59" i="92" s="1"/>
  <c r="N59" i="92"/>
  <c r="L59" i="92"/>
  <c r="B59" i="92"/>
  <c r="X58" i="92"/>
  <c r="Z58" i="92" s="1"/>
  <c r="T58" i="92"/>
  <c r="P58" i="92"/>
  <c r="H58" i="92"/>
  <c r="D58" i="92"/>
  <c r="L58" i="92" s="1"/>
  <c r="N58" i="92" s="1"/>
  <c r="B58" i="92"/>
  <c r="Z57" i="92"/>
  <c r="X57" i="92"/>
  <c r="L57" i="92"/>
  <c r="N57" i="92" s="1"/>
  <c r="B57" i="92"/>
  <c r="X56" i="92"/>
  <c r="Z56" i="92" s="1"/>
  <c r="N56" i="92"/>
  <c r="L56" i="92"/>
  <c r="B56" i="92"/>
  <c r="T55" i="92"/>
  <c r="P55" i="92"/>
  <c r="X55" i="92" s="1"/>
  <c r="Z55" i="92" s="1"/>
  <c r="H55" i="92"/>
  <c r="D55" i="92"/>
  <c r="L55" i="92" s="1"/>
  <c r="N55" i="92" s="1"/>
  <c r="B55" i="92"/>
  <c r="X54" i="92"/>
  <c r="Z54" i="92" s="1"/>
  <c r="N54" i="92"/>
  <c r="L54" i="92"/>
  <c r="B54" i="92"/>
  <c r="X53" i="92"/>
  <c r="Z53" i="92" s="1"/>
  <c r="N53" i="92"/>
  <c r="L53" i="92"/>
  <c r="B53" i="92"/>
  <c r="T52" i="92"/>
  <c r="P52" i="92"/>
  <c r="X52" i="92" s="1"/>
  <c r="Z52" i="92" s="1"/>
  <c r="H52" i="92"/>
  <c r="D52" i="92"/>
  <c r="B52" i="92"/>
  <c r="X51" i="92"/>
  <c r="Z51" i="92" s="1"/>
  <c r="N51" i="92"/>
  <c r="L51" i="92"/>
  <c r="B51" i="92"/>
  <c r="X50" i="92"/>
  <c r="Z50" i="92" s="1"/>
  <c r="T50" i="92"/>
  <c r="P50" i="92"/>
  <c r="H50" i="92"/>
  <c r="D50" i="92"/>
  <c r="L50" i="92" s="1"/>
  <c r="N50" i="92" s="1"/>
  <c r="B50" i="92"/>
  <c r="Z49" i="92"/>
  <c r="X49" i="92"/>
  <c r="L49" i="92"/>
  <c r="N49" i="92" s="1"/>
  <c r="B49" i="92"/>
  <c r="X48" i="92"/>
  <c r="T48" i="92"/>
  <c r="P48" i="92"/>
  <c r="H48" i="92"/>
  <c r="D48" i="92"/>
  <c r="L48" i="92" s="1"/>
  <c r="B48" i="92"/>
  <c r="Z47" i="92"/>
  <c r="X47" i="92"/>
  <c r="N47" i="92"/>
  <c r="L47" i="92"/>
  <c r="B47" i="92"/>
  <c r="T46" i="92"/>
  <c r="P46" i="92"/>
  <c r="N46" i="92"/>
  <c r="H46" i="92"/>
  <c r="D46" i="92"/>
  <c r="L46" i="92" s="1"/>
  <c r="B46" i="92"/>
  <c r="Z45" i="92"/>
  <c r="X45" i="92"/>
  <c r="V45" i="92"/>
  <c r="N45" i="92"/>
  <c r="L45" i="92"/>
  <c r="B45" i="92"/>
  <c r="T44" i="92"/>
  <c r="Z44" i="92" s="1"/>
  <c r="P44" i="92"/>
  <c r="X44" i="92" s="1"/>
  <c r="L44" i="92"/>
  <c r="N44" i="92" s="1"/>
  <c r="H44" i="92"/>
  <c r="D44" i="92"/>
  <c r="B44" i="92"/>
  <c r="Z43" i="92"/>
  <c r="X43" i="92"/>
  <c r="N43" i="92"/>
  <c r="L43" i="92"/>
  <c r="B43" i="92"/>
  <c r="T42" i="92"/>
  <c r="Z42" i="92" s="1"/>
  <c r="P42" i="92"/>
  <c r="X42" i="92" s="1"/>
  <c r="L42" i="92"/>
  <c r="H42" i="92"/>
  <c r="D42" i="92"/>
  <c r="B42" i="92"/>
  <c r="X41" i="92"/>
  <c r="Z41" i="92" s="1"/>
  <c r="N41" i="92"/>
  <c r="L41" i="92"/>
  <c r="B41" i="92"/>
  <c r="T40" i="92"/>
  <c r="P40" i="92"/>
  <c r="X40" i="92" s="1"/>
  <c r="Z40" i="92" s="1"/>
  <c r="H40" i="92"/>
  <c r="D40" i="92"/>
  <c r="B40" i="92"/>
  <c r="X39" i="92"/>
  <c r="Z39" i="92" s="1"/>
  <c r="N39" i="92"/>
  <c r="L39" i="92"/>
  <c r="B39" i="92"/>
  <c r="X38" i="92"/>
  <c r="Z38" i="92" s="1"/>
  <c r="T38" i="92"/>
  <c r="P38" i="92"/>
  <c r="H38" i="92"/>
  <c r="N38" i="92" s="1"/>
  <c r="D38" i="92"/>
  <c r="L38" i="92" s="1"/>
  <c r="B38" i="92"/>
  <c r="Z37" i="92"/>
  <c r="X37" i="92"/>
  <c r="N37" i="92"/>
  <c r="L37" i="92"/>
  <c r="B37" i="92"/>
  <c r="X36" i="92"/>
  <c r="Z36" i="92" s="1"/>
  <c r="N36" i="92"/>
  <c r="L36" i="92"/>
  <c r="B36" i="92"/>
  <c r="Z35" i="92"/>
  <c r="X35" i="92"/>
  <c r="N35" i="92"/>
  <c r="L35" i="92"/>
  <c r="B35" i="92"/>
  <c r="Z34" i="92"/>
  <c r="X34" i="92"/>
  <c r="L34" i="92"/>
  <c r="N34" i="92" s="1"/>
  <c r="B34" i="92"/>
  <c r="Z33" i="92"/>
  <c r="X33" i="92"/>
  <c r="L33" i="92"/>
  <c r="N33" i="92" s="1"/>
  <c r="B33" i="92"/>
  <c r="X32" i="92"/>
  <c r="Z32" i="92" s="1"/>
  <c r="N32" i="92"/>
  <c r="L32" i="92"/>
  <c r="B32" i="92"/>
  <c r="T31" i="92"/>
  <c r="R31" i="92"/>
  <c r="P31" i="92"/>
  <c r="X31" i="92" s="1"/>
  <c r="Z31" i="92" s="1"/>
  <c r="N31" i="92"/>
  <c r="L31" i="92"/>
  <c r="H31" i="92"/>
  <c r="D31" i="92"/>
  <c r="B31" i="92"/>
  <c r="X30" i="92"/>
  <c r="Z30" i="92" s="1"/>
  <c r="R30" i="92"/>
  <c r="L30" i="92"/>
  <c r="N30" i="92" s="1"/>
  <c r="B30" i="92"/>
  <c r="X29" i="92"/>
  <c r="Z29" i="92" s="1"/>
  <c r="N29" i="92"/>
  <c r="L29" i="92"/>
  <c r="B29" i="92"/>
  <c r="Z28" i="92"/>
  <c r="X28" i="92"/>
  <c r="L28" i="92"/>
  <c r="N28" i="92" s="1"/>
  <c r="B28" i="92"/>
  <c r="Z27" i="92"/>
  <c r="X27" i="92"/>
  <c r="L27" i="92"/>
  <c r="N27" i="92" s="1"/>
  <c r="B27" i="92"/>
  <c r="X26" i="92"/>
  <c r="Z26" i="92" s="1"/>
  <c r="R26" i="92"/>
  <c r="L26" i="92"/>
  <c r="N26" i="92" s="1"/>
  <c r="B26" i="92"/>
  <c r="X25" i="92"/>
  <c r="Z25" i="92" s="1"/>
  <c r="N25" i="92"/>
  <c r="L25" i="92"/>
  <c r="B25" i="92"/>
  <c r="Z24" i="92"/>
  <c r="X24" i="92"/>
  <c r="L24" i="92"/>
  <c r="N24" i="92" s="1"/>
  <c r="B24" i="92"/>
  <c r="Z23" i="92"/>
  <c r="X23" i="92"/>
  <c r="L23" i="92"/>
  <c r="N23" i="92" s="1"/>
  <c r="B23" i="92"/>
  <c r="T22" i="92"/>
  <c r="P22" i="92"/>
  <c r="H22" i="92"/>
  <c r="D22" i="92"/>
  <c r="L22" i="92" s="1"/>
  <c r="N22" i="92" s="1"/>
  <c r="B22" i="92"/>
  <c r="T21" i="92"/>
  <c r="V21" i="92" s="1"/>
  <c r="P21" i="92"/>
  <c r="X21" i="92" s="1"/>
  <c r="H21" i="92"/>
  <c r="D21" i="92"/>
  <c r="X17" i="92"/>
  <c r="Z17" i="92" s="1"/>
  <c r="V17" i="92"/>
  <c r="L17" i="92"/>
  <c r="N17" i="92" s="1"/>
  <c r="B17" i="92"/>
  <c r="T16" i="92"/>
  <c r="P16" i="92"/>
  <c r="X16" i="92" s="1"/>
  <c r="Z16" i="92" s="1"/>
  <c r="N16" i="92"/>
  <c r="L16" i="92"/>
  <c r="H16" i="92"/>
  <c r="D16" i="92"/>
  <c r="T14" i="92"/>
  <c r="X14" i="92" s="1"/>
  <c r="Z14" i="92" s="1"/>
  <c r="P14" i="92"/>
  <c r="L14" i="92"/>
  <c r="H14" i="92"/>
  <c r="H12" i="92" s="1"/>
  <c r="D14" i="92"/>
  <c r="D12" i="92" s="1"/>
  <c r="B14" i="92"/>
  <c r="T13" i="92"/>
  <c r="P13" i="92"/>
  <c r="P12" i="92" s="1"/>
  <c r="R55" i="92" s="1"/>
  <c r="L13" i="92"/>
  <c r="N13" i="92" s="1"/>
  <c r="H13" i="92"/>
  <c r="D13" i="92"/>
  <c r="B13" i="92"/>
  <c r="T12" i="92"/>
  <c r="V57" i="92" s="1"/>
  <c r="D6" i="92"/>
  <c r="D4" i="92"/>
  <c r="Z94" i="91"/>
  <c r="X94" i="91"/>
  <c r="N94" i="91"/>
  <c r="L94" i="91"/>
  <c r="T90" i="91"/>
  <c r="P90" i="91"/>
  <c r="X90" i="91" s="1"/>
  <c r="Z90" i="91" s="1"/>
  <c r="N90" i="91"/>
  <c r="L90" i="91"/>
  <c r="H90" i="91"/>
  <c r="D90" i="91"/>
  <c r="B90" i="91"/>
  <c r="T89" i="91"/>
  <c r="P89" i="91"/>
  <c r="X89" i="91" s="1"/>
  <c r="Z89" i="91" s="1"/>
  <c r="L89" i="91"/>
  <c r="N89" i="91" s="1"/>
  <c r="H89" i="91"/>
  <c r="D89" i="91"/>
  <c r="B89" i="91"/>
  <c r="T88" i="91"/>
  <c r="H88" i="91"/>
  <c r="D88" i="91"/>
  <c r="L88" i="91" s="1"/>
  <c r="N88" i="91" s="1"/>
  <c r="Z86" i="91"/>
  <c r="X86" i="91"/>
  <c r="N86" i="91"/>
  <c r="L86" i="91"/>
  <c r="B86" i="91"/>
  <c r="T85" i="91"/>
  <c r="P85" i="91"/>
  <c r="N85" i="91"/>
  <c r="H85" i="91"/>
  <c r="L85" i="91" s="1"/>
  <c r="D85" i="91"/>
  <c r="B85" i="91"/>
  <c r="X84" i="91"/>
  <c r="Z84" i="91" s="1"/>
  <c r="L84" i="91"/>
  <c r="N84" i="91" s="1"/>
  <c r="B84" i="91"/>
  <c r="X83" i="91"/>
  <c r="Z83" i="91" s="1"/>
  <c r="N83" i="91"/>
  <c r="L83" i="91"/>
  <c r="B83" i="91"/>
  <c r="Z82" i="91"/>
  <c r="X82" i="91"/>
  <c r="N82" i="91"/>
  <c r="L82" i="91"/>
  <c r="B82" i="91"/>
  <c r="V81" i="91"/>
  <c r="T81" i="91"/>
  <c r="Z81" i="91" s="1"/>
  <c r="P81" i="91"/>
  <c r="X81" i="91" s="1"/>
  <c r="H81" i="91"/>
  <c r="N81" i="91" s="1"/>
  <c r="D81" i="91"/>
  <c r="L81" i="91" s="1"/>
  <c r="B81" i="91"/>
  <c r="X80" i="91"/>
  <c r="Z80" i="91" s="1"/>
  <c r="N80" i="91"/>
  <c r="L80" i="91"/>
  <c r="B80" i="91"/>
  <c r="T79" i="91"/>
  <c r="P79" i="91"/>
  <c r="X79" i="91" s="1"/>
  <c r="Z79" i="91" s="1"/>
  <c r="L79" i="91"/>
  <c r="H79" i="91"/>
  <c r="N79" i="91" s="1"/>
  <c r="D79" i="91"/>
  <c r="B79" i="91"/>
  <c r="X78" i="91"/>
  <c r="Z78" i="91" s="1"/>
  <c r="N78" i="91"/>
  <c r="L78" i="91"/>
  <c r="B78" i="91"/>
  <c r="T77" i="91"/>
  <c r="P77" i="91"/>
  <c r="N77" i="91"/>
  <c r="H77" i="91"/>
  <c r="D77" i="91"/>
  <c r="L77" i="91" s="1"/>
  <c r="B77" i="91"/>
  <c r="Z76" i="91"/>
  <c r="X76" i="91"/>
  <c r="N76" i="91"/>
  <c r="L76" i="91"/>
  <c r="B76" i="91"/>
  <c r="X75" i="91"/>
  <c r="Z75" i="91" s="1"/>
  <c r="L75" i="91"/>
  <c r="N75" i="91" s="1"/>
  <c r="B75" i="91"/>
  <c r="Z74" i="91"/>
  <c r="X74" i="91"/>
  <c r="N74" i="91"/>
  <c r="L74" i="91"/>
  <c r="B74" i="91"/>
  <c r="Z73" i="91"/>
  <c r="X73" i="91"/>
  <c r="V73" i="91"/>
  <c r="L73" i="91"/>
  <c r="N73" i="91" s="1"/>
  <c r="B73" i="91"/>
  <c r="Z72" i="91"/>
  <c r="X72" i="91"/>
  <c r="L72" i="91"/>
  <c r="N72" i="91" s="1"/>
  <c r="B72" i="91"/>
  <c r="Z71" i="91"/>
  <c r="X71" i="91"/>
  <c r="N71" i="91"/>
  <c r="L71" i="91"/>
  <c r="B71" i="91"/>
  <c r="Z70" i="91"/>
  <c r="X70" i="91"/>
  <c r="N70" i="91"/>
  <c r="L70" i="91"/>
  <c r="B70" i="91"/>
  <c r="V69" i="91"/>
  <c r="T69" i="91"/>
  <c r="P69" i="91"/>
  <c r="X69" i="91" s="1"/>
  <c r="L69" i="91"/>
  <c r="H69" i="91"/>
  <c r="N69" i="91" s="1"/>
  <c r="D69" i="91"/>
  <c r="B69" i="91"/>
  <c r="X68" i="91"/>
  <c r="Z68" i="91" s="1"/>
  <c r="N68" i="91"/>
  <c r="L68" i="91"/>
  <c r="B68" i="91"/>
  <c r="X67" i="91"/>
  <c r="T67" i="91"/>
  <c r="Z67" i="91" s="1"/>
  <c r="P67" i="91"/>
  <c r="L67" i="91"/>
  <c r="H67" i="91"/>
  <c r="N67" i="91" s="1"/>
  <c r="D67" i="91"/>
  <c r="B67" i="91"/>
  <c r="Z66" i="91"/>
  <c r="X66" i="91"/>
  <c r="N66" i="91"/>
  <c r="L66" i="91"/>
  <c r="B66" i="91"/>
  <c r="X65" i="91"/>
  <c r="Z65" i="91" s="1"/>
  <c r="N65" i="91"/>
  <c r="L65" i="91"/>
  <c r="J65" i="91"/>
  <c r="B65" i="91"/>
  <c r="Z64" i="91"/>
  <c r="X64" i="91"/>
  <c r="N64" i="91"/>
  <c r="L64" i="91"/>
  <c r="B64" i="91"/>
  <c r="Z63" i="91"/>
  <c r="X63" i="91"/>
  <c r="N63" i="91"/>
  <c r="L63" i="91"/>
  <c r="B63" i="91"/>
  <c r="Z62" i="91"/>
  <c r="X62" i="91"/>
  <c r="N62" i="91"/>
  <c r="L62" i="91"/>
  <c r="B62" i="91"/>
  <c r="T61" i="91"/>
  <c r="P61" i="91"/>
  <c r="X61" i="91" s="1"/>
  <c r="N61" i="91"/>
  <c r="H61" i="91"/>
  <c r="D61" i="91"/>
  <c r="L61" i="91" s="1"/>
  <c r="B61" i="91"/>
  <c r="X60" i="91"/>
  <c r="Z60" i="91" s="1"/>
  <c r="L60" i="91"/>
  <c r="N60" i="91" s="1"/>
  <c r="B60" i="91"/>
  <c r="X59" i="91"/>
  <c r="Z59" i="91" s="1"/>
  <c r="L59" i="91"/>
  <c r="N59" i="91" s="1"/>
  <c r="B59" i="91"/>
  <c r="T58" i="91"/>
  <c r="P58" i="91"/>
  <c r="X58" i="91" s="1"/>
  <c r="Z58" i="91" s="1"/>
  <c r="H58" i="91"/>
  <c r="N58" i="91" s="1"/>
  <c r="D58" i="91"/>
  <c r="L58" i="91" s="1"/>
  <c r="B58" i="91"/>
  <c r="X57" i="91"/>
  <c r="Z57" i="91" s="1"/>
  <c r="N57" i="91"/>
  <c r="L57" i="91"/>
  <c r="B57" i="91"/>
  <c r="X56" i="91"/>
  <c r="T56" i="91"/>
  <c r="Z56" i="91" s="1"/>
  <c r="P56" i="91"/>
  <c r="N56" i="91"/>
  <c r="H56" i="91"/>
  <c r="D56" i="91"/>
  <c r="L56" i="91" s="1"/>
  <c r="B56" i="91"/>
  <c r="Z55" i="91"/>
  <c r="X55" i="91"/>
  <c r="L55" i="91"/>
  <c r="N55" i="91" s="1"/>
  <c r="B55" i="91"/>
  <c r="T54" i="91"/>
  <c r="P54" i="91"/>
  <c r="H54" i="91"/>
  <c r="D54" i="91"/>
  <c r="L54" i="91" s="1"/>
  <c r="N54" i="91" s="1"/>
  <c r="B54" i="91"/>
  <c r="Z53" i="91"/>
  <c r="X53" i="91"/>
  <c r="V53" i="91"/>
  <c r="L53" i="91"/>
  <c r="N53" i="91" s="1"/>
  <c r="B53" i="91"/>
  <c r="T52" i="91"/>
  <c r="P52" i="91"/>
  <c r="X52" i="91" s="1"/>
  <c r="H52" i="91"/>
  <c r="D52" i="91"/>
  <c r="L52" i="91" s="1"/>
  <c r="B52" i="91"/>
  <c r="Z51" i="91"/>
  <c r="X51" i="91"/>
  <c r="N51" i="91"/>
  <c r="L51" i="91"/>
  <c r="B51" i="91"/>
  <c r="Z50" i="91"/>
  <c r="T50" i="91"/>
  <c r="P50" i="91"/>
  <c r="X50" i="91" s="1"/>
  <c r="L50" i="91"/>
  <c r="H50" i="91"/>
  <c r="N50" i="91" s="1"/>
  <c r="D50" i="91"/>
  <c r="B50" i="91"/>
  <c r="Z49" i="91"/>
  <c r="X49" i="91"/>
  <c r="N49" i="91"/>
  <c r="L49" i="91"/>
  <c r="J49" i="91"/>
  <c r="B49" i="91"/>
  <c r="T48" i="91"/>
  <c r="P48" i="91"/>
  <c r="X48" i="91" s="1"/>
  <c r="Z48" i="91" s="1"/>
  <c r="H48" i="91"/>
  <c r="D48" i="91"/>
  <c r="B48" i="91"/>
  <c r="X47" i="91"/>
  <c r="Z47" i="91" s="1"/>
  <c r="N47" i="91"/>
  <c r="L47" i="91"/>
  <c r="B47" i="91"/>
  <c r="T46" i="91"/>
  <c r="Z46" i="91" s="1"/>
  <c r="P46" i="91"/>
  <c r="X46" i="91" s="1"/>
  <c r="H46" i="91"/>
  <c r="N46" i="91" s="1"/>
  <c r="D46" i="91"/>
  <c r="L46" i="91" s="1"/>
  <c r="B46" i="91"/>
  <c r="X45" i="91"/>
  <c r="Z45" i="91" s="1"/>
  <c r="N45" i="91"/>
  <c r="L45" i="91"/>
  <c r="B45" i="91"/>
  <c r="X44" i="91"/>
  <c r="T44" i="91"/>
  <c r="P44" i="91"/>
  <c r="N44" i="91"/>
  <c r="H44" i="91"/>
  <c r="D44" i="91"/>
  <c r="L44" i="91" s="1"/>
  <c r="B44" i="91"/>
  <c r="Z43" i="91"/>
  <c r="X43" i="91"/>
  <c r="L43" i="91"/>
  <c r="N43" i="91" s="1"/>
  <c r="B43" i="91"/>
  <c r="X42" i="91"/>
  <c r="Z42" i="91" s="1"/>
  <c r="L42" i="91"/>
  <c r="N42" i="91" s="1"/>
  <c r="B42" i="91"/>
  <c r="Z41" i="91"/>
  <c r="X41" i="91"/>
  <c r="N41" i="91"/>
  <c r="L41" i="91"/>
  <c r="J41" i="91"/>
  <c r="B41" i="91"/>
  <c r="T40" i="91"/>
  <c r="P40" i="91"/>
  <c r="X40" i="91" s="1"/>
  <c r="H40" i="91"/>
  <c r="D40" i="91"/>
  <c r="B40" i="91"/>
  <c r="Z39" i="91"/>
  <c r="X39" i="91"/>
  <c r="N39" i="91"/>
  <c r="L39" i="91"/>
  <c r="B39" i="91"/>
  <c r="X38" i="91"/>
  <c r="T38" i="91"/>
  <c r="Z38" i="91" s="1"/>
  <c r="P38" i="91"/>
  <c r="H38" i="91"/>
  <c r="N38" i="91" s="1"/>
  <c r="D38" i="91"/>
  <c r="L38" i="91" s="1"/>
  <c r="B38" i="91"/>
  <c r="X37" i="91"/>
  <c r="Z37" i="91" s="1"/>
  <c r="N37" i="91"/>
  <c r="L37" i="91"/>
  <c r="B37" i="91"/>
  <c r="X36" i="91"/>
  <c r="T36" i="91"/>
  <c r="P36" i="91"/>
  <c r="H36" i="91"/>
  <c r="N36" i="91" s="1"/>
  <c r="D36" i="91"/>
  <c r="L36" i="91" s="1"/>
  <c r="B36" i="91"/>
  <c r="Z35" i="91"/>
  <c r="X35" i="91"/>
  <c r="L35" i="91"/>
  <c r="N35" i="91" s="1"/>
  <c r="B35" i="91"/>
  <c r="X34" i="91"/>
  <c r="Z34" i="91" s="1"/>
  <c r="N34" i="91"/>
  <c r="L34" i="91"/>
  <c r="B34" i="91"/>
  <c r="X33" i="91"/>
  <c r="Z33" i="91" s="1"/>
  <c r="N33" i="91"/>
  <c r="L33" i="91"/>
  <c r="J33" i="91"/>
  <c r="B33" i="91"/>
  <c r="X32" i="91"/>
  <c r="Z32" i="91" s="1"/>
  <c r="L32" i="91"/>
  <c r="N32" i="91" s="1"/>
  <c r="B32" i="91"/>
  <c r="Z31" i="91"/>
  <c r="X31" i="91"/>
  <c r="L31" i="91"/>
  <c r="N31" i="91" s="1"/>
  <c r="B31" i="91"/>
  <c r="X30" i="91"/>
  <c r="Z30" i="91" s="1"/>
  <c r="L30" i="91"/>
  <c r="N30" i="91" s="1"/>
  <c r="B30" i="91"/>
  <c r="T29" i="91"/>
  <c r="Z29" i="91" s="1"/>
  <c r="P29" i="91"/>
  <c r="X29" i="91" s="1"/>
  <c r="H29" i="91"/>
  <c r="D29" i="91"/>
  <c r="L29" i="91" s="1"/>
  <c r="N29" i="91" s="1"/>
  <c r="B29" i="91"/>
  <c r="X28" i="91"/>
  <c r="Z28" i="91" s="1"/>
  <c r="L28" i="91"/>
  <c r="N28" i="91" s="1"/>
  <c r="B28" i="91"/>
  <c r="X27" i="91"/>
  <c r="Z27" i="91" s="1"/>
  <c r="N27" i="91"/>
  <c r="L27" i="91"/>
  <c r="B27" i="91"/>
  <c r="X26" i="91"/>
  <c r="Z26" i="91" s="1"/>
  <c r="N26" i="91"/>
  <c r="L26" i="91"/>
  <c r="B26" i="91"/>
  <c r="X25" i="91"/>
  <c r="Z25" i="91" s="1"/>
  <c r="V25" i="91"/>
  <c r="L25" i="91"/>
  <c r="N25" i="91" s="1"/>
  <c r="B25" i="91"/>
  <c r="X24" i="91"/>
  <c r="Z24" i="91" s="1"/>
  <c r="L24" i="91"/>
  <c r="N24" i="91" s="1"/>
  <c r="B24" i="91"/>
  <c r="X23" i="91"/>
  <c r="Z23" i="91" s="1"/>
  <c r="L23" i="91"/>
  <c r="N23" i="91" s="1"/>
  <c r="B23" i="91"/>
  <c r="X22" i="91"/>
  <c r="Z22" i="91" s="1"/>
  <c r="N22" i="91"/>
  <c r="L22" i="91"/>
  <c r="B22" i="91"/>
  <c r="X21" i="91"/>
  <c r="Z21" i="91" s="1"/>
  <c r="V21" i="91"/>
  <c r="L21" i="91"/>
  <c r="N21" i="91" s="1"/>
  <c r="B21" i="91"/>
  <c r="X20" i="91"/>
  <c r="Z20" i="91" s="1"/>
  <c r="V20" i="91"/>
  <c r="L20" i="91"/>
  <c r="N20" i="91" s="1"/>
  <c r="B20" i="91"/>
  <c r="V19" i="91"/>
  <c r="T19" i="91"/>
  <c r="Z19" i="91" s="1"/>
  <c r="P19" i="91"/>
  <c r="X19" i="91" s="1"/>
  <c r="J19" i="91"/>
  <c r="H19" i="91"/>
  <c r="D19" i="91"/>
  <c r="L19" i="91" s="1"/>
  <c r="B19" i="91"/>
  <c r="T18" i="91"/>
  <c r="P18" i="91"/>
  <c r="X18" i="91" s="1"/>
  <c r="H18" i="91"/>
  <c r="D18" i="91"/>
  <c r="L18" i="91" s="1"/>
  <c r="T16" i="91"/>
  <c r="H16" i="91"/>
  <c r="T14" i="91"/>
  <c r="Z14" i="91" s="1"/>
  <c r="P14" i="91"/>
  <c r="H14" i="91"/>
  <c r="N14" i="91" s="1"/>
  <c r="F14" i="91"/>
  <c r="D14" i="91"/>
  <c r="Z12" i="91"/>
  <c r="T12" i="91"/>
  <c r="V57" i="91" s="1"/>
  <c r="P12" i="91"/>
  <c r="R86" i="91" s="1"/>
  <c r="N12" i="91"/>
  <c r="L12" i="91"/>
  <c r="H12" i="91"/>
  <c r="J89" i="91" s="1"/>
  <c r="D12" i="91"/>
  <c r="D6" i="91"/>
  <c r="D4" i="91"/>
  <c r="Z74" i="88"/>
  <c r="X74" i="88"/>
  <c r="L74" i="88"/>
  <c r="N74" i="88" s="1"/>
  <c r="T70" i="88"/>
  <c r="Z70" i="88" s="1"/>
  <c r="P70" i="88"/>
  <c r="X70" i="88" s="1"/>
  <c r="N70" i="88"/>
  <c r="L70" i="88"/>
  <c r="H70" i="88"/>
  <c r="D70" i="88"/>
  <c r="X68" i="88"/>
  <c r="Z68" i="88" s="1"/>
  <c r="N68" i="88"/>
  <c r="L68" i="88"/>
  <c r="B68" i="88"/>
  <c r="T67" i="88"/>
  <c r="P67" i="88"/>
  <c r="X67" i="88" s="1"/>
  <c r="Z67" i="88" s="1"/>
  <c r="L67" i="88"/>
  <c r="H67" i="88"/>
  <c r="N67" i="88" s="1"/>
  <c r="D67" i="88"/>
  <c r="B67" i="88"/>
  <c r="X66" i="88"/>
  <c r="Z66" i="88" s="1"/>
  <c r="L66" i="88"/>
  <c r="N66" i="88" s="1"/>
  <c r="B66" i="88"/>
  <c r="T65" i="88"/>
  <c r="P65" i="88"/>
  <c r="X65" i="88" s="1"/>
  <c r="Z65" i="88" s="1"/>
  <c r="H65" i="88"/>
  <c r="N65" i="88" s="1"/>
  <c r="D65" i="88"/>
  <c r="L65" i="88" s="1"/>
  <c r="B65" i="88"/>
  <c r="X64" i="88"/>
  <c r="Z64" i="88" s="1"/>
  <c r="N64" i="88"/>
  <c r="L64" i="88"/>
  <c r="B64" i="88"/>
  <c r="X63" i="88"/>
  <c r="Z63" i="88" s="1"/>
  <c r="N63" i="88"/>
  <c r="L63" i="88"/>
  <c r="B63" i="88"/>
  <c r="X62" i="88"/>
  <c r="Z62" i="88" s="1"/>
  <c r="N62" i="88"/>
  <c r="L62" i="88"/>
  <c r="B62" i="88"/>
  <c r="Z61" i="88"/>
  <c r="X61" i="88"/>
  <c r="N61" i="88"/>
  <c r="L61" i="88"/>
  <c r="B61" i="88"/>
  <c r="X60" i="88"/>
  <c r="Z60" i="88" s="1"/>
  <c r="N60" i="88"/>
  <c r="L60" i="88"/>
  <c r="B60" i="88"/>
  <c r="X59" i="88"/>
  <c r="Z59" i="88" s="1"/>
  <c r="T59" i="88"/>
  <c r="P59" i="88"/>
  <c r="H59" i="88"/>
  <c r="D59" i="88"/>
  <c r="L59" i="88" s="1"/>
  <c r="N59" i="88" s="1"/>
  <c r="B59" i="88"/>
  <c r="X58" i="88"/>
  <c r="Z58" i="88" s="1"/>
  <c r="L58" i="88"/>
  <c r="N58" i="88" s="1"/>
  <c r="B58" i="88"/>
  <c r="X57" i="88"/>
  <c r="Z57" i="88" s="1"/>
  <c r="N57" i="88"/>
  <c r="L57" i="88"/>
  <c r="B57" i="88"/>
  <c r="T56" i="88"/>
  <c r="P56" i="88"/>
  <c r="X56" i="88" s="1"/>
  <c r="L56" i="88"/>
  <c r="N56" i="88" s="1"/>
  <c r="H56" i="88"/>
  <c r="D56" i="88"/>
  <c r="B56" i="88"/>
  <c r="X55" i="88"/>
  <c r="Z55" i="88" s="1"/>
  <c r="N55" i="88"/>
  <c r="L55" i="88"/>
  <c r="B55" i="88"/>
  <c r="X54" i="88"/>
  <c r="Z54" i="88" s="1"/>
  <c r="N54" i="88"/>
  <c r="L54" i="88"/>
  <c r="B54" i="88"/>
  <c r="Z53" i="88"/>
  <c r="X53" i="88"/>
  <c r="N53" i="88"/>
  <c r="L53" i="88"/>
  <c r="B53" i="88"/>
  <c r="Z52" i="88"/>
  <c r="T52" i="88"/>
  <c r="P52" i="88"/>
  <c r="X52" i="88" s="1"/>
  <c r="H52" i="88"/>
  <c r="N52" i="88" s="1"/>
  <c r="D52" i="88"/>
  <c r="L52" i="88" s="1"/>
  <c r="B52" i="88"/>
  <c r="X51" i="88"/>
  <c r="Z51" i="88" s="1"/>
  <c r="N51" i="88"/>
  <c r="L51" i="88"/>
  <c r="B51" i="88"/>
  <c r="T50" i="88"/>
  <c r="P50" i="88"/>
  <c r="X50" i="88" s="1"/>
  <c r="L50" i="88"/>
  <c r="H50" i="88"/>
  <c r="N50" i="88" s="1"/>
  <c r="D50" i="88"/>
  <c r="B50" i="88"/>
  <c r="X49" i="88"/>
  <c r="Z49" i="88" s="1"/>
  <c r="N49" i="88"/>
  <c r="L49" i="88"/>
  <c r="B49" i="88"/>
  <c r="T48" i="88"/>
  <c r="P48" i="88"/>
  <c r="X48" i="88" s="1"/>
  <c r="H48" i="88"/>
  <c r="D48" i="88"/>
  <c r="B48" i="88"/>
  <c r="Z47" i="88"/>
  <c r="X47" i="88"/>
  <c r="R47" i="88"/>
  <c r="N47" i="88"/>
  <c r="L47" i="88"/>
  <c r="B47" i="88"/>
  <c r="T46" i="88"/>
  <c r="Z46" i="88" s="1"/>
  <c r="P46" i="88"/>
  <c r="X46" i="88" s="1"/>
  <c r="N46" i="88"/>
  <c r="H46" i="88"/>
  <c r="D46" i="88"/>
  <c r="L46" i="88" s="1"/>
  <c r="B46" i="88"/>
  <c r="Z45" i="88"/>
  <c r="X45" i="88"/>
  <c r="L45" i="88"/>
  <c r="N45" i="88" s="1"/>
  <c r="B45" i="88"/>
  <c r="X44" i="88"/>
  <c r="T44" i="88"/>
  <c r="Z44" i="88" s="1"/>
  <c r="P44" i="88"/>
  <c r="H44" i="88"/>
  <c r="D44" i="88"/>
  <c r="L44" i="88" s="1"/>
  <c r="B44" i="88"/>
  <c r="Z43" i="88"/>
  <c r="X43" i="88"/>
  <c r="N43" i="88"/>
  <c r="L43" i="88"/>
  <c r="F43" i="88"/>
  <c r="B43" i="88"/>
  <c r="T42" i="88"/>
  <c r="P42" i="88"/>
  <c r="H42" i="88"/>
  <c r="F42" i="88"/>
  <c r="D42" i="88"/>
  <c r="L42" i="88" s="1"/>
  <c r="B42" i="88"/>
  <c r="Z41" i="88"/>
  <c r="X41" i="88"/>
  <c r="N41" i="88"/>
  <c r="L41" i="88"/>
  <c r="B41" i="88"/>
  <c r="Z40" i="88"/>
  <c r="T40" i="88"/>
  <c r="P40" i="88"/>
  <c r="X40" i="88" s="1"/>
  <c r="H40" i="88"/>
  <c r="D40" i="88"/>
  <c r="L40" i="88" s="1"/>
  <c r="B40" i="88"/>
  <c r="X39" i="88"/>
  <c r="Z39" i="88" s="1"/>
  <c r="N39" i="88"/>
  <c r="L39" i="88"/>
  <c r="B39" i="88"/>
  <c r="V38" i="88"/>
  <c r="T38" i="88"/>
  <c r="Z38" i="88" s="1"/>
  <c r="P38" i="88"/>
  <c r="X38" i="88" s="1"/>
  <c r="L38" i="88"/>
  <c r="H38" i="88"/>
  <c r="N38" i="88" s="1"/>
  <c r="D38" i="88"/>
  <c r="B38" i="88"/>
  <c r="X37" i="88"/>
  <c r="Z37" i="88" s="1"/>
  <c r="N37" i="88"/>
  <c r="L37" i="88"/>
  <c r="B37" i="88"/>
  <c r="X36" i="88"/>
  <c r="Z36" i="88" s="1"/>
  <c r="N36" i="88"/>
  <c r="L36" i="88"/>
  <c r="B36" i="88"/>
  <c r="Z35" i="88"/>
  <c r="X35" i="88"/>
  <c r="N35" i="88"/>
  <c r="L35" i="88"/>
  <c r="F35" i="88"/>
  <c r="B35" i="88"/>
  <c r="X34" i="88"/>
  <c r="Z34" i="88" s="1"/>
  <c r="L34" i="88"/>
  <c r="N34" i="88" s="1"/>
  <c r="B34" i="88"/>
  <c r="X33" i="88"/>
  <c r="Z33" i="88" s="1"/>
  <c r="N33" i="88"/>
  <c r="L33" i="88"/>
  <c r="B33" i="88"/>
  <c r="T32" i="88"/>
  <c r="P32" i="88"/>
  <c r="X32" i="88" s="1"/>
  <c r="H32" i="88"/>
  <c r="D32" i="88"/>
  <c r="B32" i="88"/>
  <c r="Z31" i="88"/>
  <c r="X31" i="88"/>
  <c r="R31" i="88"/>
  <c r="L31" i="88"/>
  <c r="N31" i="88" s="1"/>
  <c r="B31" i="88"/>
  <c r="X30" i="88"/>
  <c r="Z30" i="88" s="1"/>
  <c r="L30" i="88"/>
  <c r="N30" i="88" s="1"/>
  <c r="B30" i="88"/>
  <c r="Z29" i="88"/>
  <c r="X29" i="88"/>
  <c r="N29" i="88"/>
  <c r="L29" i="88"/>
  <c r="B29" i="88"/>
  <c r="Z28" i="88"/>
  <c r="X28" i="88"/>
  <c r="L28" i="88"/>
  <c r="N28" i="88" s="1"/>
  <c r="B28" i="88"/>
  <c r="Z27" i="88"/>
  <c r="X27" i="88"/>
  <c r="L27" i="88"/>
  <c r="N27" i="88" s="1"/>
  <c r="B27" i="88"/>
  <c r="X26" i="88"/>
  <c r="Z26" i="88" s="1"/>
  <c r="L26" i="88"/>
  <c r="N26" i="88" s="1"/>
  <c r="B26" i="88"/>
  <c r="Z25" i="88"/>
  <c r="X25" i="88"/>
  <c r="N25" i="88"/>
  <c r="L25" i="88"/>
  <c r="B25" i="88"/>
  <c r="Z24" i="88"/>
  <c r="X24" i="88"/>
  <c r="L24" i="88"/>
  <c r="N24" i="88" s="1"/>
  <c r="B24" i="88"/>
  <c r="T23" i="88"/>
  <c r="P23" i="88"/>
  <c r="H23" i="88"/>
  <c r="D23" i="88"/>
  <c r="L23" i="88" s="1"/>
  <c r="N23" i="88" s="1"/>
  <c r="B23" i="88"/>
  <c r="T22" i="88"/>
  <c r="P22" i="88"/>
  <c r="X22" i="88" s="1"/>
  <c r="L22" i="88"/>
  <c r="H22" i="88"/>
  <c r="D22" i="88"/>
  <c r="X18" i="88"/>
  <c r="Z18" i="88" s="1"/>
  <c r="L18" i="88"/>
  <c r="N18" i="88" s="1"/>
  <c r="B18" i="88"/>
  <c r="Z17" i="88"/>
  <c r="X17" i="88"/>
  <c r="L17" i="88"/>
  <c r="N17" i="88" s="1"/>
  <c r="B17" i="88"/>
  <c r="X16" i="88"/>
  <c r="T16" i="88"/>
  <c r="Z16" i="88" s="1"/>
  <c r="P16" i="88"/>
  <c r="H16" i="88"/>
  <c r="N16" i="88" s="1"/>
  <c r="D16" i="88"/>
  <c r="L16" i="88" s="1"/>
  <c r="X14" i="88"/>
  <c r="T14" i="88"/>
  <c r="Z14" i="88" s="1"/>
  <c r="P14" i="88"/>
  <c r="P12" i="88" s="1"/>
  <c r="R55" i="88" s="1"/>
  <c r="H14" i="88"/>
  <c r="D14" i="88"/>
  <c r="L14" i="88" s="1"/>
  <c r="N14" i="88" s="1"/>
  <c r="B14" i="88"/>
  <c r="T13" i="88"/>
  <c r="P13" i="88"/>
  <c r="H13" i="88"/>
  <c r="H12" i="88" s="1"/>
  <c r="J16" i="88" s="1"/>
  <c r="D13" i="88"/>
  <c r="L13" i="88" s="1"/>
  <c r="N13" i="88" s="1"/>
  <c r="B13" i="88"/>
  <c r="T12" i="88"/>
  <c r="D12" i="88"/>
  <c r="F55" i="88" s="1"/>
  <c r="D6" i="88"/>
  <c r="D4" i="88"/>
  <c r="X85" i="87"/>
  <c r="Z85" i="87" s="1"/>
  <c r="N85" i="87"/>
  <c r="L85" i="87"/>
  <c r="X81" i="87"/>
  <c r="T81" i="87"/>
  <c r="Z81" i="87" s="1"/>
  <c r="P81" i="87"/>
  <c r="H81" i="87"/>
  <c r="N81" i="87" s="1"/>
  <c r="D81" i="87"/>
  <c r="L81" i="87" s="1"/>
  <c r="X79" i="87"/>
  <c r="Z79" i="87" s="1"/>
  <c r="L79" i="87"/>
  <c r="N79" i="87" s="1"/>
  <c r="B79" i="87"/>
  <c r="Z78" i="87"/>
  <c r="X78" i="87"/>
  <c r="T78" i="87"/>
  <c r="P78" i="87"/>
  <c r="H78" i="87"/>
  <c r="D78" i="87"/>
  <c r="L78" i="87" s="1"/>
  <c r="N78" i="87" s="1"/>
  <c r="B78" i="87"/>
  <c r="X77" i="87"/>
  <c r="Z77" i="87" s="1"/>
  <c r="N77" i="87"/>
  <c r="L77" i="87"/>
  <c r="B77" i="87"/>
  <c r="X76" i="87"/>
  <c r="T76" i="87"/>
  <c r="P76" i="87"/>
  <c r="N76" i="87"/>
  <c r="H76" i="87"/>
  <c r="D76" i="87"/>
  <c r="L76" i="87" s="1"/>
  <c r="B76" i="87"/>
  <c r="Z75" i="87"/>
  <c r="X75" i="87"/>
  <c r="L75" i="87"/>
  <c r="N75" i="87" s="1"/>
  <c r="B75" i="87"/>
  <c r="T74" i="87"/>
  <c r="P74" i="87"/>
  <c r="X74" i="87" s="1"/>
  <c r="H74" i="87"/>
  <c r="D74" i="87"/>
  <c r="L74" i="87" s="1"/>
  <c r="N74" i="87" s="1"/>
  <c r="B74" i="87"/>
  <c r="X73" i="87"/>
  <c r="Z73" i="87" s="1"/>
  <c r="V73" i="87"/>
  <c r="N73" i="87"/>
  <c r="L73" i="87"/>
  <c r="B73" i="87"/>
  <c r="Z72" i="87"/>
  <c r="X72" i="87"/>
  <c r="L72" i="87"/>
  <c r="N72" i="87" s="1"/>
  <c r="B72" i="87"/>
  <c r="X71" i="87"/>
  <c r="Z71" i="87" s="1"/>
  <c r="N71" i="87"/>
  <c r="L71" i="87"/>
  <c r="B71" i="87"/>
  <c r="Z70" i="87"/>
  <c r="X70" i="87"/>
  <c r="N70" i="87"/>
  <c r="L70" i="87"/>
  <c r="B70" i="87"/>
  <c r="X69" i="87"/>
  <c r="Z69" i="87" s="1"/>
  <c r="V69" i="87"/>
  <c r="L69" i="87"/>
  <c r="N69" i="87" s="1"/>
  <c r="B69" i="87"/>
  <c r="Z68" i="87"/>
  <c r="X68" i="87"/>
  <c r="L68" i="87"/>
  <c r="N68" i="87" s="1"/>
  <c r="B68" i="87"/>
  <c r="X67" i="87"/>
  <c r="Z67" i="87" s="1"/>
  <c r="L67" i="87"/>
  <c r="N67" i="87" s="1"/>
  <c r="B67" i="87"/>
  <c r="Z66" i="87"/>
  <c r="X66" i="87"/>
  <c r="T66" i="87"/>
  <c r="P66" i="87"/>
  <c r="H66" i="87"/>
  <c r="D66" i="87"/>
  <c r="L66" i="87" s="1"/>
  <c r="N66" i="87" s="1"/>
  <c r="B66" i="87"/>
  <c r="X65" i="87"/>
  <c r="Z65" i="87" s="1"/>
  <c r="L65" i="87"/>
  <c r="N65" i="87" s="1"/>
  <c r="B65" i="87"/>
  <c r="X64" i="87"/>
  <c r="Z64" i="87" s="1"/>
  <c r="N64" i="87"/>
  <c r="L64" i="87"/>
  <c r="B64" i="87"/>
  <c r="T63" i="87"/>
  <c r="Z63" i="87" s="1"/>
  <c r="P63" i="87"/>
  <c r="X63" i="87" s="1"/>
  <c r="H63" i="87"/>
  <c r="D63" i="87"/>
  <c r="B63" i="87"/>
  <c r="Z62" i="87"/>
  <c r="X62" i="87"/>
  <c r="N62" i="87"/>
  <c r="L62" i="87"/>
  <c r="B62" i="87"/>
  <c r="X61" i="87"/>
  <c r="Z61" i="87" s="1"/>
  <c r="L61" i="87"/>
  <c r="N61" i="87" s="1"/>
  <c r="B61" i="87"/>
  <c r="Z60" i="87"/>
  <c r="X60" i="87"/>
  <c r="N60" i="87"/>
  <c r="L60" i="87"/>
  <c r="B60" i="87"/>
  <c r="Z59" i="87"/>
  <c r="T59" i="87"/>
  <c r="P59" i="87"/>
  <c r="X59" i="87" s="1"/>
  <c r="L59" i="87"/>
  <c r="H59" i="87"/>
  <c r="N59" i="87" s="1"/>
  <c r="D59" i="87"/>
  <c r="B59" i="87"/>
  <c r="Z58" i="87"/>
  <c r="X58" i="87"/>
  <c r="N58" i="87"/>
  <c r="L58" i="87"/>
  <c r="B58" i="87"/>
  <c r="V57" i="87"/>
  <c r="T57" i="87"/>
  <c r="Z57" i="87" s="1"/>
  <c r="P57" i="87"/>
  <c r="X57" i="87" s="1"/>
  <c r="L57" i="87"/>
  <c r="H57" i="87"/>
  <c r="N57" i="87" s="1"/>
  <c r="D57" i="87"/>
  <c r="B57" i="87"/>
  <c r="X56" i="87"/>
  <c r="Z56" i="87" s="1"/>
  <c r="N56" i="87"/>
  <c r="L56" i="87"/>
  <c r="B56" i="87"/>
  <c r="X55" i="87"/>
  <c r="Z55" i="87" s="1"/>
  <c r="N55" i="87"/>
  <c r="L55" i="87"/>
  <c r="B55" i="87"/>
  <c r="T54" i="87"/>
  <c r="P54" i="87"/>
  <c r="X54" i="87" s="1"/>
  <c r="Z54" i="87" s="1"/>
  <c r="L54" i="87"/>
  <c r="H54" i="87"/>
  <c r="N54" i="87" s="1"/>
  <c r="D54" i="87"/>
  <c r="B54" i="87"/>
  <c r="X53" i="87"/>
  <c r="Z53" i="87" s="1"/>
  <c r="L53" i="87"/>
  <c r="N53" i="87" s="1"/>
  <c r="B53" i="87"/>
  <c r="T52" i="87"/>
  <c r="P52" i="87"/>
  <c r="X52" i="87" s="1"/>
  <c r="Z52" i="87" s="1"/>
  <c r="H52" i="87"/>
  <c r="D52" i="87"/>
  <c r="L52" i="87" s="1"/>
  <c r="B52" i="87"/>
  <c r="X51" i="87"/>
  <c r="Z51" i="87" s="1"/>
  <c r="L51" i="87"/>
  <c r="N51" i="87" s="1"/>
  <c r="B51" i="87"/>
  <c r="Z50" i="87"/>
  <c r="X50" i="87"/>
  <c r="T50" i="87"/>
  <c r="P50" i="87"/>
  <c r="H50" i="87"/>
  <c r="D50" i="87"/>
  <c r="L50" i="87" s="1"/>
  <c r="N50" i="87" s="1"/>
  <c r="B50" i="87"/>
  <c r="X49" i="87"/>
  <c r="Z49" i="87" s="1"/>
  <c r="L49" i="87"/>
  <c r="N49" i="87" s="1"/>
  <c r="B49" i="87"/>
  <c r="X48" i="87"/>
  <c r="T48" i="87"/>
  <c r="P48" i="87"/>
  <c r="H48" i="87"/>
  <c r="D48" i="87"/>
  <c r="L48" i="87" s="1"/>
  <c r="N48" i="87" s="1"/>
  <c r="B48" i="87"/>
  <c r="Z47" i="87"/>
  <c r="X47" i="87"/>
  <c r="N47" i="87"/>
  <c r="L47" i="87"/>
  <c r="B47" i="87"/>
  <c r="T46" i="87"/>
  <c r="P46" i="87"/>
  <c r="N46" i="87"/>
  <c r="H46" i="87"/>
  <c r="D46" i="87"/>
  <c r="L46" i="87" s="1"/>
  <c r="B46" i="87"/>
  <c r="X45" i="87"/>
  <c r="Z45" i="87" s="1"/>
  <c r="V45" i="87"/>
  <c r="L45" i="87"/>
  <c r="N45" i="87" s="1"/>
  <c r="B45" i="87"/>
  <c r="Z44" i="87"/>
  <c r="X44" i="87"/>
  <c r="L44" i="87"/>
  <c r="N44" i="87" s="1"/>
  <c r="B44" i="87"/>
  <c r="X43" i="87"/>
  <c r="T43" i="87"/>
  <c r="Z43" i="87" s="1"/>
  <c r="P43" i="87"/>
  <c r="H43" i="87"/>
  <c r="N43" i="87" s="1"/>
  <c r="D43" i="87"/>
  <c r="L43" i="87" s="1"/>
  <c r="B43" i="87"/>
  <c r="Z42" i="87"/>
  <c r="X42" i="87"/>
  <c r="N42" i="87"/>
  <c r="L42" i="87"/>
  <c r="B42" i="87"/>
  <c r="T41" i="87"/>
  <c r="P41" i="87"/>
  <c r="H41" i="87"/>
  <c r="F41" i="87"/>
  <c r="D41" i="87"/>
  <c r="L41" i="87" s="1"/>
  <c r="N41" i="87" s="1"/>
  <c r="B41" i="87"/>
  <c r="Z40" i="87"/>
  <c r="X40" i="87"/>
  <c r="N40" i="87"/>
  <c r="L40" i="87"/>
  <c r="B40" i="87"/>
  <c r="T39" i="87"/>
  <c r="P39" i="87"/>
  <c r="X39" i="87" s="1"/>
  <c r="Z39" i="87" s="1"/>
  <c r="L39" i="87"/>
  <c r="H39" i="87"/>
  <c r="N39" i="87" s="1"/>
  <c r="D39" i="87"/>
  <c r="B39" i="87"/>
  <c r="Z38" i="87"/>
  <c r="X38" i="87"/>
  <c r="N38" i="87"/>
  <c r="L38" i="87"/>
  <c r="B38" i="87"/>
  <c r="V37" i="87"/>
  <c r="T37" i="87"/>
  <c r="Z37" i="87" s="1"/>
  <c r="P37" i="87"/>
  <c r="X37" i="87" s="1"/>
  <c r="L37" i="87"/>
  <c r="H37" i="87"/>
  <c r="N37" i="87" s="1"/>
  <c r="D37" i="87"/>
  <c r="B37" i="87"/>
  <c r="X36" i="87"/>
  <c r="Z36" i="87" s="1"/>
  <c r="N36" i="87"/>
  <c r="L36" i="87"/>
  <c r="B36" i="87"/>
  <c r="X35" i="87"/>
  <c r="Z35" i="87" s="1"/>
  <c r="N35" i="87"/>
  <c r="L35" i="87"/>
  <c r="B35" i="87"/>
  <c r="Z34" i="87"/>
  <c r="X34" i="87"/>
  <c r="N34" i="87"/>
  <c r="L34" i="87"/>
  <c r="B34" i="87"/>
  <c r="X33" i="87"/>
  <c r="Z33" i="87" s="1"/>
  <c r="L33" i="87"/>
  <c r="N33" i="87" s="1"/>
  <c r="B33" i="87"/>
  <c r="X32" i="87"/>
  <c r="T32" i="87"/>
  <c r="Z32" i="87" s="1"/>
  <c r="P32" i="87"/>
  <c r="H32" i="87"/>
  <c r="D32" i="87"/>
  <c r="L32" i="87" s="1"/>
  <c r="N32" i="87" s="1"/>
  <c r="B32" i="87"/>
  <c r="Z31" i="87"/>
  <c r="X31" i="87"/>
  <c r="L31" i="87"/>
  <c r="N31" i="87" s="1"/>
  <c r="B31" i="87"/>
  <c r="Z30" i="87"/>
  <c r="X30" i="87"/>
  <c r="N30" i="87"/>
  <c r="L30" i="87"/>
  <c r="B30" i="87"/>
  <c r="X29" i="87"/>
  <c r="Z29" i="87" s="1"/>
  <c r="L29" i="87"/>
  <c r="N29" i="87" s="1"/>
  <c r="B29" i="87"/>
  <c r="Z28" i="87"/>
  <c r="X28" i="87"/>
  <c r="V28" i="87"/>
  <c r="N28" i="87"/>
  <c r="L28" i="87"/>
  <c r="B28" i="87"/>
  <c r="Z27" i="87"/>
  <c r="X27" i="87"/>
  <c r="L27" i="87"/>
  <c r="N27" i="87" s="1"/>
  <c r="B27" i="87"/>
  <c r="Z26" i="87"/>
  <c r="X26" i="87"/>
  <c r="N26" i="87"/>
  <c r="L26" i="87"/>
  <c r="B26" i="87"/>
  <c r="X25" i="87"/>
  <c r="Z25" i="87" s="1"/>
  <c r="L25" i="87"/>
  <c r="N25" i="87" s="1"/>
  <c r="B25" i="87"/>
  <c r="Z24" i="87"/>
  <c r="X24" i="87"/>
  <c r="V24" i="87"/>
  <c r="N24" i="87"/>
  <c r="L24" i="87"/>
  <c r="B24" i="87"/>
  <c r="Z23" i="87"/>
  <c r="T23" i="87"/>
  <c r="P23" i="87"/>
  <c r="X23" i="87" s="1"/>
  <c r="L23" i="87"/>
  <c r="H23" i="87"/>
  <c r="N23" i="87" s="1"/>
  <c r="D23" i="87"/>
  <c r="B23" i="87"/>
  <c r="T22" i="87"/>
  <c r="P22" i="87"/>
  <c r="X22" i="87" s="1"/>
  <c r="Z22" i="87" s="1"/>
  <c r="H22" i="87"/>
  <c r="D22" i="87"/>
  <c r="L22" i="87" s="1"/>
  <c r="N22" i="87" s="1"/>
  <c r="D20" i="87"/>
  <c r="Z18" i="87"/>
  <c r="X18" i="87"/>
  <c r="N18" i="87"/>
  <c r="L18" i="87"/>
  <c r="B18" i="87"/>
  <c r="X17" i="87"/>
  <c r="Z17" i="87" s="1"/>
  <c r="V17" i="87"/>
  <c r="L17" i="87"/>
  <c r="N17" i="87" s="1"/>
  <c r="F17" i="87"/>
  <c r="B17" i="87"/>
  <c r="T16" i="87"/>
  <c r="P16" i="87"/>
  <c r="X16" i="87" s="1"/>
  <c r="Z16" i="87" s="1"/>
  <c r="N16" i="87"/>
  <c r="L16" i="87"/>
  <c r="H16" i="87"/>
  <c r="D16" i="87"/>
  <c r="T14" i="87"/>
  <c r="P14" i="87"/>
  <c r="X14" i="87" s="1"/>
  <c r="Z14" i="87" s="1"/>
  <c r="L14" i="87"/>
  <c r="H14" i="87"/>
  <c r="H12" i="87" s="1"/>
  <c r="D14" i="87"/>
  <c r="B14" i="87"/>
  <c r="X13" i="87"/>
  <c r="Z13" i="87" s="1"/>
  <c r="T13" i="87"/>
  <c r="P13" i="87"/>
  <c r="P12" i="87" s="1"/>
  <c r="H13" i="87"/>
  <c r="D13" i="87"/>
  <c r="D12" i="87" s="1"/>
  <c r="F34" i="87" s="1"/>
  <c r="B13" i="87"/>
  <c r="T12" i="87"/>
  <c r="V77" i="87" s="1"/>
  <c r="D6" i="87"/>
  <c r="D4" i="87"/>
  <c r="F37" i="85"/>
  <c r="F34" i="85"/>
  <c r="Z32" i="85"/>
  <c r="X32" i="85"/>
  <c r="L32" i="85"/>
  <c r="N32" i="85" s="1"/>
  <c r="F32" i="85"/>
  <c r="Z28" i="85"/>
  <c r="X28" i="85"/>
  <c r="V28" i="85"/>
  <c r="T28" i="85"/>
  <c r="R28" i="85"/>
  <c r="P28" i="85"/>
  <c r="N28" i="85"/>
  <c r="H28" i="85"/>
  <c r="D28" i="85"/>
  <c r="L28" i="85" s="1"/>
  <c r="X26" i="85"/>
  <c r="Z26" i="85" s="1"/>
  <c r="N26" i="85"/>
  <c r="L26" i="85"/>
  <c r="B26" i="85"/>
  <c r="V25" i="85"/>
  <c r="T25" i="85"/>
  <c r="Z25" i="85" s="1"/>
  <c r="P25" i="85"/>
  <c r="X25" i="85" s="1"/>
  <c r="L25" i="85"/>
  <c r="H25" i="85"/>
  <c r="N25" i="85" s="1"/>
  <c r="D25" i="85"/>
  <c r="B25" i="85"/>
  <c r="X24" i="85"/>
  <c r="Z24" i="85" s="1"/>
  <c r="N24" i="85"/>
  <c r="L24" i="85"/>
  <c r="B24" i="85"/>
  <c r="T23" i="85"/>
  <c r="Z23" i="85" s="1"/>
  <c r="R23" i="85"/>
  <c r="P23" i="85"/>
  <c r="X23" i="85" s="1"/>
  <c r="H23" i="85"/>
  <c r="N23" i="85" s="1"/>
  <c r="D23" i="85"/>
  <c r="B23" i="85"/>
  <c r="X22" i="85"/>
  <c r="Z22" i="85" s="1"/>
  <c r="R22" i="85"/>
  <c r="L22" i="85"/>
  <c r="N22" i="85" s="1"/>
  <c r="B22" i="85"/>
  <c r="X21" i="85"/>
  <c r="T21" i="85"/>
  <c r="P21" i="85"/>
  <c r="H21" i="85"/>
  <c r="D21" i="85"/>
  <c r="L21" i="85" s="1"/>
  <c r="N21" i="85" s="1"/>
  <c r="B21" i="85"/>
  <c r="Z20" i="85"/>
  <c r="T20" i="85"/>
  <c r="P20" i="85"/>
  <c r="X20" i="85" s="1"/>
  <c r="H20" i="85"/>
  <c r="N20" i="85" s="1"/>
  <c r="F20" i="85"/>
  <c r="D20" i="85"/>
  <c r="L20" i="85" s="1"/>
  <c r="P18" i="85"/>
  <c r="F18" i="85"/>
  <c r="Z16" i="85"/>
  <c r="X16" i="85"/>
  <c r="R16" i="85"/>
  <c r="L16" i="85"/>
  <c r="N16" i="85" s="1"/>
  <c r="F16" i="85"/>
  <c r="B16" i="85"/>
  <c r="X15" i="85"/>
  <c r="T15" i="85"/>
  <c r="P15" i="85"/>
  <c r="N15" i="85"/>
  <c r="H15" i="85"/>
  <c r="F15" i="85"/>
  <c r="D15" i="85"/>
  <c r="L15" i="85" s="1"/>
  <c r="X13" i="85"/>
  <c r="Z13" i="85" s="1"/>
  <c r="T13" i="85"/>
  <c r="P13" i="85"/>
  <c r="P12" i="85" s="1"/>
  <c r="H13" i="85"/>
  <c r="H12" i="85" s="1"/>
  <c r="D13" i="85"/>
  <c r="B13" i="85"/>
  <c r="Z12" i="85"/>
  <c r="X12" i="85"/>
  <c r="T12" i="85"/>
  <c r="D12" i="85"/>
  <c r="F22" i="85" s="1"/>
  <c r="D6" i="85"/>
  <c r="D4" i="85"/>
  <c r="X123" i="84"/>
  <c r="Z123" i="84" s="1"/>
  <c r="N123" i="84"/>
  <c r="L123" i="84"/>
  <c r="Z119" i="84"/>
  <c r="X119" i="84"/>
  <c r="T119" i="84"/>
  <c r="P119" i="84"/>
  <c r="L119" i="84"/>
  <c r="H119" i="84"/>
  <c r="N119" i="84" s="1"/>
  <c r="D119" i="84"/>
  <c r="X117" i="84"/>
  <c r="Z117" i="84" s="1"/>
  <c r="N117" i="84"/>
  <c r="L117" i="84"/>
  <c r="B117" i="84"/>
  <c r="T116" i="84"/>
  <c r="P116" i="84"/>
  <c r="X116" i="84" s="1"/>
  <c r="H116" i="84"/>
  <c r="D116" i="84"/>
  <c r="L116" i="84" s="1"/>
  <c r="B116" i="84"/>
  <c r="Z115" i="84"/>
  <c r="X115" i="84"/>
  <c r="N115" i="84"/>
  <c r="L115" i="84"/>
  <c r="B115" i="84"/>
  <c r="Z114" i="84"/>
  <c r="X114" i="84"/>
  <c r="T114" i="84"/>
  <c r="P114" i="84"/>
  <c r="H114" i="84"/>
  <c r="D114" i="84"/>
  <c r="L114" i="84" s="1"/>
  <c r="N114" i="84" s="1"/>
  <c r="B114" i="84"/>
  <c r="Z113" i="84"/>
  <c r="X113" i="84"/>
  <c r="L113" i="84"/>
  <c r="N113" i="84" s="1"/>
  <c r="B113" i="84"/>
  <c r="T112" i="84"/>
  <c r="P112" i="84"/>
  <c r="H112" i="84"/>
  <c r="D112" i="84"/>
  <c r="L112" i="84" s="1"/>
  <c r="B112" i="84"/>
  <c r="X111" i="84"/>
  <c r="Z111" i="84" s="1"/>
  <c r="N111" i="84"/>
  <c r="L111" i="84"/>
  <c r="B111" i="84"/>
  <c r="X110" i="84"/>
  <c r="Z110" i="84" s="1"/>
  <c r="N110" i="84"/>
  <c r="L110" i="84"/>
  <c r="B110" i="84"/>
  <c r="X109" i="84"/>
  <c r="Z109" i="84" s="1"/>
  <c r="N109" i="84"/>
  <c r="L109" i="84"/>
  <c r="B109" i="84"/>
  <c r="Z108" i="84"/>
  <c r="X108" i="84"/>
  <c r="N108" i="84"/>
  <c r="L108" i="84"/>
  <c r="B108" i="84"/>
  <c r="Z107" i="84"/>
  <c r="X107" i="84"/>
  <c r="N107" i="84"/>
  <c r="L107" i="84"/>
  <c r="B107" i="84"/>
  <c r="X106" i="84"/>
  <c r="Z106" i="84" s="1"/>
  <c r="N106" i="84"/>
  <c r="L106" i="84"/>
  <c r="B106" i="84"/>
  <c r="X105" i="84"/>
  <c r="Z105" i="84" s="1"/>
  <c r="T105" i="84"/>
  <c r="P105" i="84"/>
  <c r="L105" i="84"/>
  <c r="H105" i="84"/>
  <c r="N105" i="84" s="1"/>
  <c r="D105" i="84"/>
  <c r="B105" i="84"/>
  <c r="Z104" i="84"/>
  <c r="X104" i="84"/>
  <c r="L104" i="84"/>
  <c r="N104" i="84" s="1"/>
  <c r="B104" i="84"/>
  <c r="Z103" i="84"/>
  <c r="X103" i="84"/>
  <c r="N103" i="84"/>
  <c r="L103" i="84"/>
  <c r="B103" i="84"/>
  <c r="Z102" i="84"/>
  <c r="X102" i="84"/>
  <c r="T102" i="84"/>
  <c r="P102" i="84"/>
  <c r="H102" i="84"/>
  <c r="D102" i="84"/>
  <c r="L102" i="84" s="1"/>
  <c r="N102" i="84" s="1"/>
  <c r="B102" i="84"/>
  <c r="Z101" i="84"/>
  <c r="X101" i="84"/>
  <c r="L101" i="84"/>
  <c r="N101" i="84" s="1"/>
  <c r="B101" i="84"/>
  <c r="X100" i="84"/>
  <c r="Z100" i="84" s="1"/>
  <c r="N100" i="84"/>
  <c r="L100" i="84"/>
  <c r="B100" i="84"/>
  <c r="Z99" i="84"/>
  <c r="X99" i="84"/>
  <c r="N99" i="84"/>
  <c r="L99" i="84"/>
  <c r="B99" i="84"/>
  <c r="T98" i="84"/>
  <c r="P98" i="84"/>
  <c r="X98" i="84" s="1"/>
  <c r="H98" i="84"/>
  <c r="D98" i="84"/>
  <c r="B98" i="84"/>
  <c r="X97" i="84"/>
  <c r="Z97" i="84" s="1"/>
  <c r="N97" i="84"/>
  <c r="L97" i="84"/>
  <c r="B97" i="84"/>
  <c r="X96" i="84"/>
  <c r="Z96" i="84" s="1"/>
  <c r="N96" i="84"/>
  <c r="L96" i="84"/>
  <c r="B96" i="84"/>
  <c r="X95" i="84"/>
  <c r="Z95" i="84" s="1"/>
  <c r="T95" i="84"/>
  <c r="P95" i="84"/>
  <c r="N95" i="84"/>
  <c r="L95" i="84"/>
  <c r="H95" i="84"/>
  <c r="D95" i="84"/>
  <c r="B95" i="84"/>
  <c r="X94" i="84"/>
  <c r="Z94" i="84" s="1"/>
  <c r="L94" i="84"/>
  <c r="N94" i="84" s="1"/>
  <c r="B94" i="84"/>
  <c r="T93" i="84"/>
  <c r="P93" i="84"/>
  <c r="X93" i="84" s="1"/>
  <c r="H93" i="84"/>
  <c r="D93" i="84"/>
  <c r="B93" i="84"/>
  <c r="X92" i="84"/>
  <c r="Z92" i="84" s="1"/>
  <c r="N92" i="84"/>
  <c r="L92" i="84"/>
  <c r="B92" i="84"/>
  <c r="T91" i="84"/>
  <c r="P91" i="84"/>
  <c r="X91" i="84" s="1"/>
  <c r="Z91" i="84" s="1"/>
  <c r="N91" i="84"/>
  <c r="H91" i="84"/>
  <c r="D91" i="84"/>
  <c r="L91" i="84" s="1"/>
  <c r="B91" i="84"/>
  <c r="X90" i="84"/>
  <c r="Z90" i="84" s="1"/>
  <c r="N90" i="84"/>
  <c r="L90" i="84"/>
  <c r="B90" i="84"/>
  <c r="X89" i="84"/>
  <c r="Z89" i="84" s="1"/>
  <c r="T89" i="84"/>
  <c r="P89" i="84"/>
  <c r="L89" i="84"/>
  <c r="H89" i="84"/>
  <c r="N89" i="84" s="1"/>
  <c r="D89" i="84"/>
  <c r="B89" i="84"/>
  <c r="Z88" i="84"/>
  <c r="X88" i="84"/>
  <c r="L88" i="84"/>
  <c r="N88" i="84" s="1"/>
  <c r="B88" i="84"/>
  <c r="T87" i="84"/>
  <c r="P87" i="84"/>
  <c r="H87" i="84"/>
  <c r="D87" i="84"/>
  <c r="L87" i="84" s="1"/>
  <c r="B87" i="84"/>
  <c r="X86" i="84"/>
  <c r="Z86" i="84" s="1"/>
  <c r="N86" i="84"/>
  <c r="L86" i="84"/>
  <c r="B86" i="84"/>
  <c r="T85" i="84"/>
  <c r="P85" i="84"/>
  <c r="X85" i="84" s="1"/>
  <c r="Z85" i="84" s="1"/>
  <c r="N85" i="84"/>
  <c r="H85" i="84"/>
  <c r="D85" i="84"/>
  <c r="L85" i="84" s="1"/>
  <c r="B85" i="84"/>
  <c r="Z84" i="84"/>
  <c r="X84" i="84"/>
  <c r="N84" i="84"/>
  <c r="L84" i="84"/>
  <c r="B84" i="84"/>
  <c r="X83" i="84"/>
  <c r="T83" i="84"/>
  <c r="Z83" i="84" s="1"/>
  <c r="P83" i="84"/>
  <c r="N83" i="84"/>
  <c r="L83" i="84"/>
  <c r="H83" i="84"/>
  <c r="D83" i="84"/>
  <c r="B83" i="84"/>
  <c r="Z82" i="84"/>
  <c r="X82" i="84"/>
  <c r="L82" i="84"/>
  <c r="N82" i="84" s="1"/>
  <c r="B82" i="84"/>
  <c r="T81" i="84"/>
  <c r="Z81" i="84" s="1"/>
  <c r="P81" i="84"/>
  <c r="X81" i="84" s="1"/>
  <c r="H81" i="84"/>
  <c r="D81" i="84"/>
  <c r="B81" i="84"/>
  <c r="X80" i="84"/>
  <c r="Z80" i="84" s="1"/>
  <c r="N80" i="84"/>
  <c r="L80" i="84"/>
  <c r="B80" i="84"/>
  <c r="T79" i="84"/>
  <c r="P79" i="84"/>
  <c r="X79" i="84" s="1"/>
  <c r="Z79" i="84" s="1"/>
  <c r="H79" i="84"/>
  <c r="D79" i="84"/>
  <c r="L79" i="84" s="1"/>
  <c r="N79" i="84" s="1"/>
  <c r="B79" i="84"/>
  <c r="X78" i="84"/>
  <c r="Z78" i="84" s="1"/>
  <c r="N78" i="84"/>
  <c r="L78" i="84"/>
  <c r="B78" i="84"/>
  <c r="X77" i="84"/>
  <c r="Z77" i="84" s="1"/>
  <c r="T77" i="84"/>
  <c r="P77" i="84"/>
  <c r="L77" i="84"/>
  <c r="H77" i="84"/>
  <c r="N77" i="84" s="1"/>
  <c r="D77" i="84"/>
  <c r="B77" i="84"/>
  <c r="Z76" i="84"/>
  <c r="X76" i="84"/>
  <c r="L76" i="84"/>
  <c r="N76" i="84" s="1"/>
  <c r="B76" i="84"/>
  <c r="T75" i="84"/>
  <c r="P75" i="84"/>
  <c r="H75" i="84"/>
  <c r="N75" i="84" s="1"/>
  <c r="D75" i="84"/>
  <c r="L75" i="84" s="1"/>
  <c r="B75" i="84"/>
  <c r="Z74" i="84"/>
  <c r="X74" i="84"/>
  <c r="N74" i="84"/>
  <c r="L74" i="84"/>
  <c r="B74" i="84"/>
  <c r="X73" i="84"/>
  <c r="Z73" i="84" s="1"/>
  <c r="L73" i="84"/>
  <c r="N73" i="84" s="1"/>
  <c r="B73" i="84"/>
  <c r="X72" i="84"/>
  <c r="Z72" i="84" s="1"/>
  <c r="N72" i="84"/>
  <c r="L72" i="84"/>
  <c r="B72" i="84"/>
  <c r="Z71" i="84"/>
  <c r="X71" i="84"/>
  <c r="N71" i="84"/>
  <c r="L71" i="84"/>
  <c r="B71" i="84"/>
  <c r="X70" i="84"/>
  <c r="Z70" i="84" s="1"/>
  <c r="L70" i="84"/>
  <c r="N70" i="84" s="1"/>
  <c r="B70" i="84"/>
  <c r="T69" i="84"/>
  <c r="P69" i="84"/>
  <c r="X69" i="84" s="1"/>
  <c r="Z69" i="84" s="1"/>
  <c r="H69" i="84"/>
  <c r="D69" i="84"/>
  <c r="L69" i="84" s="1"/>
  <c r="N69" i="84" s="1"/>
  <c r="B69" i="84"/>
  <c r="Z68" i="84"/>
  <c r="X68" i="84"/>
  <c r="N68" i="84"/>
  <c r="L68" i="84"/>
  <c r="B68" i="84"/>
  <c r="X67" i="84"/>
  <c r="Z67" i="84" s="1"/>
  <c r="N67" i="84"/>
  <c r="L67" i="84"/>
  <c r="B67" i="84"/>
  <c r="X66" i="84"/>
  <c r="Z66" i="84" s="1"/>
  <c r="N66" i="84"/>
  <c r="L66" i="84"/>
  <c r="B66" i="84"/>
  <c r="X65" i="84"/>
  <c r="Z65" i="84" s="1"/>
  <c r="N65" i="84"/>
  <c r="L65" i="84"/>
  <c r="B65" i="84"/>
  <c r="Z64" i="84"/>
  <c r="X64" i="84"/>
  <c r="N64" i="84"/>
  <c r="L64" i="84"/>
  <c r="B64" i="84"/>
  <c r="X63" i="84"/>
  <c r="Z63" i="84" s="1"/>
  <c r="N63" i="84"/>
  <c r="L63" i="84"/>
  <c r="B63" i="84"/>
  <c r="X62" i="84"/>
  <c r="Z62" i="84" s="1"/>
  <c r="N62" i="84"/>
  <c r="L62" i="84"/>
  <c r="B62" i="84"/>
  <c r="X61" i="84"/>
  <c r="Z61" i="84" s="1"/>
  <c r="L61" i="84"/>
  <c r="N61" i="84" s="1"/>
  <c r="B61" i="84"/>
  <c r="T60" i="84"/>
  <c r="P60" i="84"/>
  <c r="X60" i="84" s="1"/>
  <c r="Z60" i="84" s="1"/>
  <c r="H60" i="84"/>
  <c r="D60" i="84"/>
  <c r="L60" i="84" s="1"/>
  <c r="B60" i="84"/>
  <c r="T59" i="84"/>
  <c r="P59" i="84"/>
  <c r="H59" i="84"/>
  <c r="D59" i="84"/>
  <c r="L59" i="84" s="1"/>
  <c r="X55" i="84"/>
  <c r="Z55" i="84" s="1"/>
  <c r="N55" i="84"/>
  <c r="L55" i="84"/>
  <c r="B55" i="84"/>
  <c r="Z54" i="84"/>
  <c r="X54" i="84"/>
  <c r="N54" i="84"/>
  <c r="L54" i="84"/>
  <c r="B54" i="84"/>
  <c r="X53" i="84"/>
  <c r="Z53" i="84" s="1"/>
  <c r="N53" i="84"/>
  <c r="L53" i="84"/>
  <c r="B53" i="84"/>
  <c r="Z52" i="84"/>
  <c r="X52" i="84"/>
  <c r="N52" i="84"/>
  <c r="L52" i="84"/>
  <c r="B52" i="84"/>
  <c r="X51" i="84"/>
  <c r="Z51" i="84" s="1"/>
  <c r="N51" i="84"/>
  <c r="L51" i="84"/>
  <c r="B51" i="84"/>
  <c r="Z50" i="84"/>
  <c r="X50" i="84"/>
  <c r="L50" i="84"/>
  <c r="N50" i="84" s="1"/>
  <c r="B50" i="84"/>
  <c r="X49" i="84"/>
  <c r="Z49" i="84" s="1"/>
  <c r="L49" i="84"/>
  <c r="N49" i="84" s="1"/>
  <c r="B49" i="84"/>
  <c r="Z48" i="84"/>
  <c r="X48" i="84"/>
  <c r="L48" i="84"/>
  <c r="N48" i="84" s="1"/>
  <c r="B48" i="84"/>
  <c r="X47" i="84"/>
  <c r="Z47" i="84" s="1"/>
  <c r="N47" i="84"/>
  <c r="L47" i="84"/>
  <c r="B47" i="84"/>
  <c r="Z46" i="84"/>
  <c r="X46" i="84"/>
  <c r="L46" i="84"/>
  <c r="N46" i="84" s="1"/>
  <c r="B46" i="84"/>
  <c r="X45" i="84"/>
  <c r="Z45" i="84" s="1"/>
  <c r="L45" i="84"/>
  <c r="N45" i="84" s="1"/>
  <c r="B45" i="84"/>
  <c r="Z44" i="84"/>
  <c r="X44" i="84"/>
  <c r="N44" i="84"/>
  <c r="L44" i="84"/>
  <c r="B44" i="84"/>
  <c r="X43" i="84"/>
  <c r="Z43" i="84" s="1"/>
  <c r="L43" i="84"/>
  <c r="N43" i="84" s="1"/>
  <c r="B43" i="84"/>
  <c r="Z42" i="84"/>
  <c r="X42" i="84"/>
  <c r="L42" i="84"/>
  <c r="N42" i="84" s="1"/>
  <c r="B42" i="84"/>
  <c r="X41" i="84"/>
  <c r="Z41" i="84" s="1"/>
  <c r="L41" i="84"/>
  <c r="N41" i="84" s="1"/>
  <c r="B41" i="84"/>
  <c r="T40" i="84"/>
  <c r="P40" i="84"/>
  <c r="X40" i="84" s="1"/>
  <c r="Z40" i="84" s="1"/>
  <c r="H40" i="84"/>
  <c r="D40" i="84"/>
  <c r="L40" i="84" s="1"/>
  <c r="N40" i="84" s="1"/>
  <c r="T38" i="84"/>
  <c r="X38" i="84" s="1"/>
  <c r="Z38" i="84" s="1"/>
  <c r="P38" i="84"/>
  <c r="H38" i="84"/>
  <c r="N38" i="84" s="1"/>
  <c r="D38" i="84"/>
  <c r="L38" i="84" s="1"/>
  <c r="B38" i="84"/>
  <c r="T37" i="84"/>
  <c r="P37" i="84"/>
  <c r="X37" i="84" s="1"/>
  <c r="N37" i="84"/>
  <c r="L37" i="84"/>
  <c r="H37" i="84"/>
  <c r="D37" i="84"/>
  <c r="B37" i="84"/>
  <c r="T36" i="84"/>
  <c r="P36" i="84"/>
  <c r="H36" i="84"/>
  <c r="N36" i="84" s="1"/>
  <c r="D36" i="84"/>
  <c r="B36" i="84"/>
  <c r="T35" i="84"/>
  <c r="P35" i="84"/>
  <c r="X35" i="84" s="1"/>
  <c r="L35" i="84"/>
  <c r="N35" i="84" s="1"/>
  <c r="H35" i="84"/>
  <c r="D35" i="84"/>
  <c r="B35" i="84"/>
  <c r="T34" i="84"/>
  <c r="X34" i="84" s="1"/>
  <c r="Z34" i="84" s="1"/>
  <c r="P34" i="84"/>
  <c r="H34" i="84"/>
  <c r="D34" i="84"/>
  <c r="L34" i="84" s="1"/>
  <c r="B34" i="84"/>
  <c r="T33" i="84"/>
  <c r="Z33" i="84" s="1"/>
  <c r="P33" i="84"/>
  <c r="X33" i="84" s="1"/>
  <c r="L33" i="84"/>
  <c r="N33" i="84" s="1"/>
  <c r="H33" i="84"/>
  <c r="D33" i="84"/>
  <c r="B33" i="84"/>
  <c r="T32" i="84"/>
  <c r="Z32" i="84" s="1"/>
  <c r="P32" i="84"/>
  <c r="H32" i="84"/>
  <c r="N32" i="84" s="1"/>
  <c r="D32" i="84"/>
  <c r="B32" i="84"/>
  <c r="T31" i="84"/>
  <c r="Z31" i="84" s="1"/>
  <c r="P31" i="84"/>
  <c r="X31" i="84" s="1"/>
  <c r="N31" i="84"/>
  <c r="L31" i="84"/>
  <c r="H31" i="84"/>
  <c r="D31" i="84"/>
  <c r="B31" i="84"/>
  <c r="Z30" i="84"/>
  <c r="T30" i="84"/>
  <c r="X30" i="84" s="1"/>
  <c r="P30" i="84"/>
  <c r="H30" i="84"/>
  <c r="N30" i="84" s="1"/>
  <c r="D30" i="84"/>
  <c r="L30" i="84" s="1"/>
  <c r="B30" i="84"/>
  <c r="T29" i="84"/>
  <c r="Z29" i="84" s="1"/>
  <c r="P29" i="84"/>
  <c r="X29" i="84" s="1"/>
  <c r="L29" i="84"/>
  <c r="N29" i="84" s="1"/>
  <c r="H29" i="84"/>
  <c r="D29" i="84"/>
  <c r="B29" i="84"/>
  <c r="T28" i="84"/>
  <c r="Z28" i="84" s="1"/>
  <c r="P28" i="84"/>
  <c r="H28" i="84"/>
  <c r="N28" i="84" s="1"/>
  <c r="D28" i="84"/>
  <c r="B28" i="84"/>
  <c r="T27" i="84"/>
  <c r="Z27" i="84" s="1"/>
  <c r="P27" i="84"/>
  <c r="X27" i="84" s="1"/>
  <c r="L27" i="84"/>
  <c r="N27" i="84" s="1"/>
  <c r="H27" i="84"/>
  <c r="D27" i="84"/>
  <c r="B27" i="84"/>
  <c r="Z26" i="84"/>
  <c r="T26" i="84"/>
  <c r="X26" i="84" s="1"/>
  <c r="P26" i="84"/>
  <c r="H26" i="84"/>
  <c r="N26" i="84" s="1"/>
  <c r="D26" i="84"/>
  <c r="L26" i="84" s="1"/>
  <c r="B26" i="84"/>
  <c r="T25" i="84"/>
  <c r="Z25" i="84" s="1"/>
  <c r="P25" i="84"/>
  <c r="X25" i="84" s="1"/>
  <c r="L25" i="84"/>
  <c r="N25" i="84" s="1"/>
  <c r="H25" i="84"/>
  <c r="D25" i="84"/>
  <c r="B25" i="84"/>
  <c r="T24" i="84"/>
  <c r="P24" i="84"/>
  <c r="H24" i="84"/>
  <c r="N24" i="84" s="1"/>
  <c r="D24" i="84"/>
  <c r="B24" i="84"/>
  <c r="T23" i="84"/>
  <c r="P23" i="84"/>
  <c r="X23" i="84" s="1"/>
  <c r="L23" i="84"/>
  <c r="N23" i="84" s="1"/>
  <c r="H23" i="84"/>
  <c r="D23" i="84"/>
  <c r="B23" i="84"/>
  <c r="T22" i="84"/>
  <c r="X22" i="84" s="1"/>
  <c r="Z22" i="84" s="1"/>
  <c r="P22" i="84"/>
  <c r="H22" i="84"/>
  <c r="D22" i="84"/>
  <c r="L22" i="84" s="1"/>
  <c r="B22" i="84"/>
  <c r="T21" i="84"/>
  <c r="P21" i="84"/>
  <c r="X21" i="84" s="1"/>
  <c r="L21" i="84"/>
  <c r="N21" i="84" s="1"/>
  <c r="H21" i="84"/>
  <c r="D21" i="84"/>
  <c r="B21" i="84"/>
  <c r="T20" i="84"/>
  <c r="P20" i="84"/>
  <c r="H20" i="84"/>
  <c r="D20" i="84"/>
  <c r="B20" i="84"/>
  <c r="T19" i="84"/>
  <c r="Z19" i="84" s="1"/>
  <c r="P19" i="84"/>
  <c r="X19" i="84" s="1"/>
  <c r="L19" i="84"/>
  <c r="N19" i="84" s="1"/>
  <c r="H19" i="84"/>
  <c r="D19" i="84"/>
  <c r="B19" i="84"/>
  <c r="T18" i="84"/>
  <c r="X18" i="84" s="1"/>
  <c r="Z18" i="84" s="1"/>
  <c r="P18" i="84"/>
  <c r="H18" i="84"/>
  <c r="D18" i="84"/>
  <c r="B18" i="84"/>
  <c r="T17" i="84"/>
  <c r="Z17" i="84" s="1"/>
  <c r="P17" i="84"/>
  <c r="X17" i="84" s="1"/>
  <c r="N17" i="84"/>
  <c r="L17" i="84"/>
  <c r="H17" i="84"/>
  <c r="D17" i="84"/>
  <c r="B17" i="84"/>
  <c r="T16" i="84"/>
  <c r="P16" i="84"/>
  <c r="H16" i="84"/>
  <c r="D16" i="84"/>
  <c r="B16" i="84"/>
  <c r="T15" i="84"/>
  <c r="Z15" i="84" s="1"/>
  <c r="P15" i="84"/>
  <c r="X15" i="84" s="1"/>
  <c r="L15" i="84"/>
  <c r="N15" i="84" s="1"/>
  <c r="H15" i="84"/>
  <c r="D15" i="84"/>
  <c r="B15" i="84"/>
  <c r="T14" i="84"/>
  <c r="X14" i="84" s="1"/>
  <c r="Z14" i="84" s="1"/>
  <c r="P14" i="84"/>
  <c r="H14" i="84"/>
  <c r="D14" i="84"/>
  <c r="D12" i="84" s="1"/>
  <c r="B14" i="84"/>
  <c r="T13" i="84"/>
  <c r="Z13" i="84" s="1"/>
  <c r="P13" i="84"/>
  <c r="P12" i="84" s="1"/>
  <c r="N13" i="84"/>
  <c r="L13" i="84"/>
  <c r="H13" i="84"/>
  <c r="D13" i="84"/>
  <c r="B13" i="84"/>
  <c r="H12" i="84"/>
  <c r="J113" i="84" s="1"/>
  <c r="D6" i="84"/>
  <c r="D4" i="84"/>
  <c r="X82" i="83"/>
  <c r="Z82" i="83" s="1"/>
  <c r="N82" i="83"/>
  <c r="L82" i="83"/>
  <c r="Z78" i="83"/>
  <c r="T78" i="83"/>
  <c r="P78" i="83"/>
  <c r="X78" i="83" s="1"/>
  <c r="N78" i="83"/>
  <c r="H78" i="83"/>
  <c r="D78" i="83"/>
  <c r="L78" i="83" s="1"/>
  <c r="Z76" i="83"/>
  <c r="X76" i="83"/>
  <c r="L76" i="83"/>
  <c r="N76" i="83" s="1"/>
  <c r="B76" i="83"/>
  <c r="T75" i="83"/>
  <c r="P75" i="83"/>
  <c r="X75" i="83" s="1"/>
  <c r="H75" i="83"/>
  <c r="N75" i="83" s="1"/>
  <c r="D75" i="83"/>
  <c r="L75" i="83" s="1"/>
  <c r="B75" i="83"/>
  <c r="X74" i="83"/>
  <c r="Z74" i="83" s="1"/>
  <c r="N74" i="83"/>
  <c r="L74" i="83"/>
  <c r="B74" i="83"/>
  <c r="X73" i="83"/>
  <c r="Z73" i="83" s="1"/>
  <c r="T73" i="83"/>
  <c r="P73" i="83"/>
  <c r="H73" i="83"/>
  <c r="D73" i="83"/>
  <c r="L73" i="83" s="1"/>
  <c r="N73" i="83" s="1"/>
  <c r="B73" i="83"/>
  <c r="Z72" i="83"/>
  <c r="X72" i="83"/>
  <c r="N72" i="83"/>
  <c r="L72" i="83"/>
  <c r="B72" i="83"/>
  <c r="X71" i="83"/>
  <c r="Z71" i="83" s="1"/>
  <c r="N71" i="83"/>
  <c r="L71" i="83"/>
  <c r="B71" i="83"/>
  <c r="Z70" i="83"/>
  <c r="X70" i="83"/>
  <c r="N70" i="83"/>
  <c r="L70" i="83"/>
  <c r="B70" i="83"/>
  <c r="X69" i="83"/>
  <c r="Z69" i="83" s="1"/>
  <c r="N69" i="83"/>
  <c r="L69" i="83"/>
  <c r="B69" i="83"/>
  <c r="Z68" i="83"/>
  <c r="X68" i="83"/>
  <c r="N68" i="83"/>
  <c r="L68" i="83"/>
  <c r="B68" i="83"/>
  <c r="T67" i="83"/>
  <c r="P67" i="83"/>
  <c r="N67" i="83"/>
  <c r="L67" i="83"/>
  <c r="H67" i="83"/>
  <c r="D67" i="83"/>
  <c r="B67" i="83"/>
  <c r="Z66" i="83"/>
  <c r="X66" i="83"/>
  <c r="L66" i="83"/>
  <c r="N66" i="83" s="1"/>
  <c r="B66" i="83"/>
  <c r="T65" i="83"/>
  <c r="P65" i="83"/>
  <c r="X65" i="83" s="1"/>
  <c r="H65" i="83"/>
  <c r="D65" i="83"/>
  <c r="B65" i="83"/>
  <c r="X64" i="83"/>
  <c r="Z64" i="83" s="1"/>
  <c r="N64" i="83"/>
  <c r="L64" i="83"/>
  <c r="B64" i="83"/>
  <c r="X63" i="83"/>
  <c r="Z63" i="83" s="1"/>
  <c r="L63" i="83"/>
  <c r="N63" i="83" s="1"/>
  <c r="B63" i="83"/>
  <c r="X62" i="83"/>
  <c r="Z62" i="83" s="1"/>
  <c r="N62" i="83"/>
  <c r="L62" i="83"/>
  <c r="B62" i="83"/>
  <c r="T61" i="83"/>
  <c r="P61" i="83"/>
  <c r="X61" i="83" s="1"/>
  <c r="Z61" i="83" s="1"/>
  <c r="H61" i="83"/>
  <c r="D61" i="83"/>
  <c r="L61" i="83" s="1"/>
  <c r="N61" i="83" s="1"/>
  <c r="B61" i="83"/>
  <c r="Z60" i="83"/>
  <c r="X60" i="83"/>
  <c r="N60" i="83"/>
  <c r="L60" i="83"/>
  <c r="B60" i="83"/>
  <c r="X59" i="83"/>
  <c r="Z59" i="83" s="1"/>
  <c r="N59" i="83"/>
  <c r="L59" i="83"/>
  <c r="B59" i="83"/>
  <c r="Z58" i="83"/>
  <c r="X58" i="83"/>
  <c r="N58" i="83"/>
  <c r="L58" i="83"/>
  <c r="B58" i="83"/>
  <c r="Z57" i="83"/>
  <c r="X57" i="83"/>
  <c r="T57" i="83"/>
  <c r="P57" i="83"/>
  <c r="H57" i="83"/>
  <c r="D57" i="83"/>
  <c r="B57" i="83"/>
  <c r="Z56" i="83"/>
  <c r="X56" i="83"/>
  <c r="L56" i="83"/>
  <c r="N56" i="83" s="1"/>
  <c r="B56" i="83"/>
  <c r="T55" i="83"/>
  <c r="P55" i="83"/>
  <c r="H55" i="83"/>
  <c r="D55" i="83"/>
  <c r="B55" i="83"/>
  <c r="X54" i="83"/>
  <c r="Z54" i="83" s="1"/>
  <c r="N54" i="83"/>
  <c r="L54" i="83"/>
  <c r="B54" i="83"/>
  <c r="X53" i="83"/>
  <c r="Z53" i="83" s="1"/>
  <c r="T53" i="83"/>
  <c r="P53" i="83"/>
  <c r="L53" i="83"/>
  <c r="N53" i="83" s="1"/>
  <c r="H53" i="83"/>
  <c r="D53" i="83"/>
  <c r="B53" i="83"/>
  <c r="Z52" i="83"/>
  <c r="X52" i="83"/>
  <c r="N52" i="83"/>
  <c r="L52" i="83"/>
  <c r="B52" i="83"/>
  <c r="T51" i="83"/>
  <c r="P51" i="83"/>
  <c r="H51" i="83"/>
  <c r="L51" i="83" s="1"/>
  <c r="N51" i="83" s="1"/>
  <c r="D51" i="83"/>
  <c r="B51" i="83"/>
  <c r="Z50" i="83"/>
  <c r="X50" i="83"/>
  <c r="L50" i="83"/>
  <c r="N50" i="83" s="1"/>
  <c r="B50" i="83"/>
  <c r="T49" i="83"/>
  <c r="P49" i="83"/>
  <c r="H49" i="83"/>
  <c r="D49" i="83"/>
  <c r="L49" i="83" s="1"/>
  <c r="B49" i="83"/>
  <c r="X48" i="83"/>
  <c r="Z48" i="83" s="1"/>
  <c r="N48" i="83"/>
  <c r="L48" i="83"/>
  <c r="B48" i="83"/>
  <c r="T47" i="83"/>
  <c r="P47" i="83"/>
  <c r="X47" i="83" s="1"/>
  <c r="N47" i="83"/>
  <c r="H47" i="83"/>
  <c r="D47" i="83"/>
  <c r="L47" i="83" s="1"/>
  <c r="B47" i="83"/>
  <c r="Z46" i="83"/>
  <c r="X46" i="83"/>
  <c r="L46" i="83"/>
  <c r="N46" i="83" s="1"/>
  <c r="B46" i="83"/>
  <c r="X45" i="83"/>
  <c r="Z45" i="83" s="1"/>
  <c r="L45" i="83"/>
  <c r="N45" i="83" s="1"/>
  <c r="B45" i="83"/>
  <c r="T44" i="83"/>
  <c r="Z44" i="83" s="1"/>
  <c r="P44" i="83"/>
  <c r="X44" i="83" s="1"/>
  <c r="N44" i="83"/>
  <c r="H44" i="83"/>
  <c r="D44" i="83"/>
  <c r="L44" i="83" s="1"/>
  <c r="B44" i="83"/>
  <c r="X43" i="83"/>
  <c r="Z43" i="83" s="1"/>
  <c r="L43" i="83"/>
  <c r="N43" i="83" s="1"/>
  <c r="B43" i="83"/>
  <c r="X42" i="83"/>
  <c r="Z42" i="83" s="1"/>
  <c r="T42" i="83"/>
  <c r="P42" i="83"/>
  <c r="L42" i="83"/>
  <c r="N42" i="83" s="1"/>
  <c r="H42" i="83"/>
  <c r="D42" i="83"/>
  <c r="B42" i="83"/>
  <c r="X41" i="83"/>
  <c r="Z41" i="83" s="1"/>
  <c r="N41" i="83"/>
  <c r="L41" i="83"/>
  <c r="B41" i="83"/>
  <c r="X40" i="83"/>
  <c r="T40" i="83"/>
  <c r="P40" i="83"/>
  <c r="L40" i="83"/>
  <c r="H40" i="83"/>
  <c r="N40" i="83" s="1"/>
  <c r="D40" i="83"/>
  <c r="B40" i="83"/>
  <c r="Z39" i="83"/>
  <c r="X39" i="83"/>
  <c r="L39" i="83"/>
  <c r="N39" i="83" s="1"/>
  <c r="B39" i="83"/>
  <c r="T38" i="83"/>
  <c r="P38" i="83"/>
  <c r="H38" i="83"/>
  <c r="N38" i="83" s="1"/>
  <c r="D38" i="83"/>
  <c r="L38" i="83" s="1"/>
  <c r="B38" i="83"/>
  <c r="X37" i="83"/>
  <c r="Z37" i="83" s="1"/>
  <c r="L37" i="83"/>
  <c r="N37" i="83" s="1"/>
  <c r="B37" i="83"/>
  <c r="Z36" i="83"/>
  <c r="X36" i="83"/>
  <c r="L36" i="83"/>
  <c r="N36" i="83" s="1"/>
  <c r="B36" i="83"/>
  <c r="X35" i="83"/>
  <c r="Z35" i="83" s="1"/>
  <c r="N35" i="83"/>
  <c r="L35" i="83"/>
  <c r="B35" i="83"/>
  <c r="X34" i="83"/>
  <c r="Z34" i="83" s="1"/>
  <c r="N34" i="83"/>
  <c r="L34" i="83"/>
  <c r="B34" i="83"/>
  <c r="X33" i="83"/>
  <c r="Z33" i="83" s="1"/>
  <c r="L33" i="83"/>
  <c r="N33" i="83" s="1"/>
  <c r="B33" i="83"/>
  <c r="T32" i="83"/>
  <c r="P32" i="83"/>
  <c r="X32" i="83" s="1"/>
  <c r="Z32" i="83" s="1"/>
  <c r="H32" i="83"/>
  <c r="D32" i="83"/>
  <c r="L32" i="83" s="1"/>
  <c r="B32" i="83"/>
  <c r="Z31" i="83"/>
  <c r="X31" i="83"/>
  <c r="N31" i="83"/>
  <c r="L31" i="83"/>
  <c r="B31" i="83"/>
  <c r="X30" i="83"/>
  <c r="Z30" i="83" s="1"/>
  <c r="L30" i="83"/>
  <c r="N30" i="83" s="1"/>
  <c r="B30" i="83"/>
  <c r="X29" i="83"/>
  <c r="Z29" i="83" s="1"/>
  <c r="L29" i="83"/>
  <c r="N29" i="83" s="1"/>
  <c r="B29" i="83"/>
  <c r="X28" i="83"/>
  <c r="Z28" i="83" s="1"/>
  <c r="L28" i="83"/>
  <c r="N28" i="83" s="1"/>
  <c r="B28" i="83"/>
  <c r="Z27" i="83"/>
  <c r="X27" i="83"/>
  <c r="N27" i="83"/>
  <c r="L27" i="83"/>
  <c r="B27" i="83"/>
  <c r="X26" i="83"/>
  <c r="Z26" i="83" s="1"/>
  <c r="L26" i="83"/>
  <c r="N26" i="83" s="1"/>
  <c r="B26" i="83"/>
  <c r="X25" i="83"/>
  <c r="Z25" i="83" s="1"/>
  <c r="L25" i="83"/>
  <c r="N25" i="83" s="1"/>
  <c r="B25" i="83"/>
  <c r="X24" i="83"/>
  <c r="Z24" i="83" s="1"/>
  <c r="L24" i="83"/>
  <c r="N24" i="83" s="1"/>
  <c r="B24" i="83"/>
  <c r="T23" i="83"/>
  <c r="X23" i="83" s="1"/>
  <c r="Z23" i="83" s="1"/>
  <c r="P23" i="83"/>
  <c r="H23" i="83"/>
  <c r="N23" i="83" s="1"/>
  <c r="D23" i="83"/>
  <c r="L23" i="83" s="1"/>
  <c r="B23" i="83"/>
  <c r="T22" i="83"/>
  <c r="P22" i="83"/>
  <c r="H22" i="83"/>
  <c r="D22" i="83"/>
  <c r="L22" i="83" s="1"/>
  <c r="X18" i="83"/>
  <c r="Z18" i="83" s="1"/>
  <c r="L18" i="83"/>
  <c r="N18" i="83" s="1"/>
  <c r="B18" i="83"/>
  <c r="Z17" i="83"/>
  <c r="X17" i="83"/>
  <c r="N17" i="83"/>
  <c r="L17" i="83"/>
  <c r="B17" i="83"/>
  <c r="T16" i="83"/>
  <c r="P16" i="83"/>
  <c r="X16" i="83" s="1"/>
  <c r="H16" i="83"/>
  <c r="D16" i="83"/>
  <c r="L16" i="83" s="1"/>
  <c r="T14" i="83"/>
  <c r="P14" i="83"/>
  <c r="P12" i="83" s="1"/>
  <c r="L14" i="83"/>
  <c r="N14" i="83" s="1"/>
  <c r="H14" i="83"/>
  <c r="D14" i="83"/>
  <c r="B14" i="83"/>
  <c r="T13" i="83"/>
  <c r="T12" i="83" s="1"/>
  <c r="P13" i="83"/>
  <c r="X13" i="83" s="1"/>
  <c r="Z13" i="83" s="1"/>
  <c r="H13" i="83"/>
  <c r="H12" i="83" s="1"/>
  <c r="D13" i="83"/>
  <c r="D12" i="83" s="1"/>
  <c r="B13" i="83"/>
  <c r="D6" i="83"/>
  <c r="D4" i="83"/>
  <c r="X29" i="82"/>
  <c r="Z29" i="82" s="1"/>
  <c r="L29" i="82"/>
  <c r="N29" i="82" s="1"/>
  <c r="T25" i="82"/>
  <c r="Z25" i="82" s="1"/>
  <c r="P25" i="82"/>
  <c r="X25" i="82" s="1"/>
  <c r="H25" i="82"/>
  <c r="N25" i="82" s="1"/>
  <c r="D25" i="82"/>
  <c r="L25" i="82" s="1"/>
  <c r="T23" i="82"/>
  <c r="Z23" i="82" s="1"/>
  <c r="P23" i="82"/>
  <c r="X23" i="82" s="1"/>
  <c r="H23" i="82"/>
  <c r="N23" i="82" s="1"/>
  <c r="D23" i="82"/>
  <c r="L23" i="82" s="1"/>
  <c r="X19" i="82"/>
  <c r="Z19" i="82" s="1"/>
  <c r="L19" i="82"/>
  <c r="N19" i="82" s="1"/>
  <c r="B19" i="82"/>
  <c r="Z18" i="82"/>
  <c r="X18" i="82"/>
  <c r="N18" i="82"/>
  <c r="L18" i="82"/>
  <c r="B18" i="82"/>
  <c r="T17" i="82"/>
  <c r="Z17" i="82" s="1"/>
  <c r="P17" i="82"/>
  <c r="X17" i="82" s="1"/>
  <c r="H17" i="82"/>
  <c r="N17" i="82" s="1"/>
  <c r="D17" i="82"/>
  <c r="L17" i="82" s="1"/>
  <c r="T15" i="82"/>
  <c r="Z15" i="82" s="1"/>
  <c r="P15" i="82"/>
  <c r="X15" i="82" s="1"/>
  <c r="L15" i="82"/>
  <c r="H15" i="82"/>
  <c r="N15" i="82" s="1"/>
  <c r="D15" i="82"/>
  <c r="B15" i="82"/>
  <c r="T14" i="82"/>
  <c r="T12" i="82" s="1"/>
  <c r="P14" i="82"/>
  <c r="H14" i="82"/>
  <c r="D14" i="82"/>
  <c r="B14" i="82"/>
  <c r="T13" i="82"/>
  <c r="P13" i="82"/>
  <c r="P12" i="82" s="1"/>
  <c r="L13" i="82"/>
  <c r="N13" i="82" s="1"/>
  <c r="H13" i="82"/>
  <c r="D13" i="82"/>
  <c r="B13" i="82"/>
  <c r="H12" i="82"/>
  <c r="J19" i="82" s="1"/>
  <c r="D12" i="82"/>
  <c r="F19" i="82" s="1"/>
  <c r="D6" i="82"/>
  <c r="D4" i="82"/>
  <c r="Z72" i="80"/>
  <c r="X72" i="80"/>
  <c r="N72" i="80"/>
  <c r="L72" i="80"/>
  <c r="Z68" i="80"/>
  <c r="T68" i="80"/>
  <c r="P68" i="80"/>
  <c r="X68" i="80" s="1"/>
  <c r="N68" i="80"/>
  <c r="L68" i="80"/>
  <c r="H68" i="80"/>
  <c r="D68" i="80"/>
  <c r="Z66" i="80"/>
  <c r="X66" i="80"/>
  <c r="N66" i="80"/>
  <c r="L66" i="80"/>
  <c r="B66" i="80"/>
  <c r="T65" i="80"/>
  <c r="Z65" i="80" s="1"/>
  <c r="P65" i="80"/>
  <c r="X65" i="80" s="1"/>
  <c r="H65" i="80"/>
  <c r="N65" i="80" s="1"/>
  <c r="D65" i="80"/>
  <c r="L65" i="80" s="1"/>
  <c r="B65" i="80"/>
  <c r="X64" i="80"/>
  <c r="Z64" i="80" s="1"/>
  <c r="N64" i="80"/>
  <c r="L64" i="80"/>
  <c r="B64" i="80"/>
  <c r="X63" i="80"/>
  <c r="Z63" i="80" s="1"/>
  <c r="T63" i="80"/>
  <c r="P63" i="80"/>
  <c r="H63" i="80"/>
  <c r="N63" i="80" s="1"/>
  <c r="D63" i="80"/>
  <c r="L63" i="80" s="1"/>
  <c r="B63" i="80"/>
  <c r="Z62" i="80"/>
  <c r="X62" i="80"/>
  <c r="N62" i="80"/>
  <c r="L62" i="80"/>
  <c r="B62" i="80"/>
  <c r="X61" i="80"/>
  <c r="Z61" i="80" s="1"/>
  <c r="L61" i="80"/>
  <c r="N61" i="80" s="1"/>
  <c r="B61" i="80"/>
  <c r="Z60" i="80"/>
  <c r="X60" i="80"/>
  <c r="N60" i="80"/>
  <c r="L60" i="80"/>
  <c r="B60" i="80"/>
  <c r="X59" i="80"/>
  <c r="Z59" i="80" s="1"/>
  <c r="L59" i="80"/>
  <c r="N59" i="80" s="1"/>
  <c r="B59" i="80"/>
  <c r="Z58" i="80"/>
  <c r="X58" i="80"/>
  <c r="N58" i="80"/>
  <c r="L58" i="80"/>
  <c r="B58" i="80"/>
  <c r="X57" i="80"/>
  <c r="Z57" i="80" s="1"/>
  <c r="N57" i="80"/>
  <c r="L57" i="80"/>
  <c r="B57" i="80"/>
  <c r="T56" i="80"/>
  <c r="P56" i="80"/>
  <c r="X56" i="80" s="1"/>
  <c r="Z56" i="80" s="1"/>
  <c r="H56" i="80"/>
  <c r="D56" i="80"/>
  <c r="L56" i="80" s="1"/>
  <c r="N56" i="80" s="1"/>
  <c r="B56" i="80"/>
  <c r="X55" i="80"/>
  <c r="Z55" i="80" s="1"/>
  <c r="L55" i="80"/>
  <c r="N55" i="80" s="1"/>
  <c r="B55" i="80"/>
  <c r="Z54" i="80"/>
  <c r="X54" i="80"/>
  <c r="N54" i="80"/>
  <c r="L54" i="80"/>
  <c r="B54" i="80"/>
  <c r="X53" i="80"/>
  <c r="Z53" i="80" s="1"/>
  <c r="L53" i="80"/>
  <c r="N53" i="80" s="1"/>
  <c r="B53" i="80"/>
  <c r="Z52" i="80"/>
  <c r="X52" i="80"/>
  <c r="T52" i="80"/>
  <c r="P52" i="80"/>
  <c r="H52" i="80"/>
  <c r="D52" i="80"/>
  <c r="L52" i="80" s="1"/>
  <c r="N52" i="80" s="1"/>
  <c r="B52" i="80"/>
  <c r="X51" i="80"/>
  <c r="Z51" i="80" s="1"/>
  <c r="L51" i="80"/>
  <c r="N51" i="80" s="1"/>
  <c r="B51" i="80"/>
  <c r="Z50" i="80"/>
  <c r="X50" i="80"/>
  <c r="N50" i="80"/>
  <c r="L50" i="80"/>
  <c r="B50" i="80"/>
  <c r="T49" i="80"/>
  <c r="Z49" i="80" s="1"/>
  <c r="P49" i="80"/>
  <c r="X49" i="80" s="1"/>
  <c r="L49" i="80"/>
  <c r="N49" i="80" s="1"/>
  <c r="H49" i="80"/>
  <c r="D49" i="80"/>
  <c r="B49" i="80"/>
  <c r="Z48" i="80"/>
  <c r="X48" i="80"/>
  <c r="N48" i="80"/>
  <c r="L48" i="80"/>
  <c r="B48" i="80"/>
  <c r="X47" i="80"/>
  <c r="T47" i="80"/>
  <c r="Z47" i="80" s="1"/>
  <c r="P47" i="80"/>
  <c r="L47" i="80"/>
  <c r="H47" i="80"/>
  <c r="N47" i="80" s="1"/>
  <c r="D47" i="80"/>
  <c r="B47" i="80"/>
  <c r="Z46" i="80"/>
  <c r="X46" i="80"/>
  <c r="N46" i="80"/>
  <c r="L46" i="80"/>
  <c r="B46" i="80"/>
  <c r="T45" i="80"/>
  <c r="Z45" i="80" s="1"/>
  <c r="P45" i="80"/>
  <c r="X45" i="80" s="1"/>
  <c r="H45" i="80"/>
  <c r="N45" i="80" s="1"/>
  <c r="D45" i="80"/>
  <c r="L45" i="80" s="1"/>
  <c r="B45" i="80"/>
  <c r="Z44" i="80"/>
  <c r="X44" i="80"/>
  <c r="N44" i="80"/>
  <c r="L44" i="80"/>
  <c r="B44" i="80"/>
  <c r="X43" i="80"/>
  <c r="Z43" i="80" s="1"/>
  <c r="T43" i="80"/>
  <c r="P43" i="80"/>
  <c r="H43" i="80"/>
  <c r="N43" i="80" s="1"/>
  <c r="D43" i="80"/>
  <c r="L43" i="80" s="1"/>
  <c r="B43" i="80"/>
  <c r="Z42" i="80"/>
  <c r="X42" i="80"/>
  <c r="N42" i="80"/>
  <c r="L42" i="80"/>
  <c r="B42" i="80"/>
  <c r="X41" i="80"/>
  <c r="T41" i="80"/>
  <c r="Z41" i="80" s="1"/>
  <c r="P41" i="80"/>
  <c r="L41" i="80"/>
  <c r="H41" i="80"/>
  <c r="N41" i="80" s="1"/>
  <c r="D41" i="80"/>
  <c r="B41" i="80"/>
  <c r="Z40" i="80"/>
  <c r="X40" i="80"/>
  <c r="N40" i="80"/>
  <c r="L40" i="80"/>
  <c r="B40" i="80"/>
  <c r="T39" i="80"/>
  <c r="P39" i="80"/>
  <c r="X39" i="80" s="1"/>
  <c r="H39" i="80"/>
  <c r="D39" i="80"/>
  <c r="L39" i="80" s="1"/>
  <c r="B39" i="80"/>
  <c r="Z38" i="80"/>
  <c r="X38" i="80"/>
  <c r="N38" i="80"/>
  <c r="L38" i="80"/>
  <c r="B38" i="80"/>
  <c r="T37" i="80"/>
  <c r="P37" i="80"/>
  <c r="X37" i="80" s="1"/>
  <c r="L37" i="80"/>
  <c r="N37" i="80" s="1"/>
  <c r="H37" i="80"/>
  <c r="D37" i="80"/>
  <c r="B37" i="80"/>
  <c r="Z36" i="80"/>
  <c r="X36" i="80"/>
  <c r="N36" i="80"/>
  <c r="L36" i="80"/>
  <c r="B36" i="80"/>
  <c r="X35" i="80"/>
  <c r="Z35" i="80" s="1"/>
  <c r="L35" i="80"/>
  <c r="N35" i="80" s="1"/>
  <c r="B35" i="80"/>
  <c r="Z34" i="80"/>
  <c r="X34" i="80"/>
  <c r="N34" i="80"/>
  <c r="L34" i="80"/>
  <c r="B34" i="80"/>
  <c r="X33" i="80"/>
  <c r="Z33" i="80" s="1"/>
  <c r="L33" i="80"/>
  <c r="N33" i="80" s="1"/>
  <c r="B33" i="80"/>
  <c r="T32" i="80"/>
  <c r="P32" i="80"/>
  <c r="X32" i="80" s="1"/>
  <c r="Z32" i="80" s="1"/>
  <c r="H32" i="80"/>
  <c r="D32" i="80"/>
  <c r="L32" i="80" s="1"/>
  <c r="N32" i="80" s="1"/>
  <c r="B32" i="80"/>
  <c r="X31" i="80"/>
  <c r="Z31" i="80" s="1"/>
  <c r="L31" i="80"/>
  <c r="N31" i="80" s="1"/>
  <c r="B31" i="80"/>
  <c r="Z30" i="80"/>
  <c r="X30" i="80"/>
  <c r="N30" i="80"/>
  <c r="L30" i="80"/>
  <c r="B30" i="80"/>
  <c r="X29" i="80"/>
  <c r="Z29" i="80" s="1"/>
  <c r="L29" i="80"/>
  <c r="N29" i="80" s="1"/>
  <c r="B29" i="80"/>
  <c r="Z28" i="80"/>
  <c r="X28" i="80"/>
  <c r="N28" i="80"/>
  <c r="L28" i="80"/>
  <c r="B28" i="80"/>
  <c r="X27" i="80"/>
  <c r="Z27" i="80" s="1"/>
  <c r="L27" i="80"/>
  <c r="N27" i="80" s="1"/>
  <c r="B27" i="80"/>
  <c r="Z26" i="80"/>
  <c r="X26" i="80"/>
  <c r="N26" i="80"/>
  <c r="L26" i="80"/>
  <c r="B26" i="80"/>
  <c r="X25" i="80"/>
  <c r="Z25" i="80" s="1"/>
  <c r="L25" i="80"/>
  <c r="N25" i="80" s="1"/>
  <c r="B25" i="80"/>
  <c r="Z24" i="80"/>
  <c r="X24" i="80"/>
  <c r="N24" i="80"/>
  <c r="L24" i="80"/>
  <c r="B24" i="80"/>
  <c r="T23" i="80"/>
  <c r="Z23" i="80" s="1"/>
  <c r="P23" i="80"/>
  <c r="X23" i="80" s="1"/>
  <c r="H23" i="80"/>
  <c r="N23" i="80" s="1"/>
  <c r="D23" i="80"/>
  <c r="L23" i="80" s="1"/>
  <c r="B23" i="80"/>
  <c r="T22" i="80"/>
  <c r="P22" i="80"/>
  <c r="H22" i="80"/>
  <c r="D22" i="80"/>
  <c r="Z18" i="80"/>
  <c r="X18" i="80"/>
  <c r="N18" i="80"/>
  <c r="L18" i="80"/>
  <c r="B18" i="80"/>
  <c r="X17" i="80"/>
  <c r="Z17" i="80" s="1"/>
  <c r="L17" i="80"/>
  <c r="N17" i="80" s="1"/>
  <c r="B17" i="80"/>
  <c r="T16" i="80"/>
  <c r="P16" i="80"/>
  <c r="X16" i="80" s="1"/>
  <c r="H16" i="80"/>
  <c r="N16" i="80" s="1"/>
  <c r="D16" i="80"/>
  <c r="L16" i="80" s="1"/>
  <c r="T14" i="80"/>
  <c r="P14" i="80"/>
  <c r="X14" i="80" s="1"/>
  <c r="N14" i="80"/>
  <c r="L14" i="80"/>
  <c r="H14" i="80"/>
  <c r="D14" i="80"/>
  <c r="B14" i="80"/>
  <c r="Z13" i="80"/>
  <c r="X13" i="80"/>
  <c r="T13" i="80"/>
  <c r="P13" i="80"/>
  <c r="H13" i="80"/>
  <c r="H12" i="80" s="1"/>
  <c r="D13" i="80"/>
  <c r="D12" i="80" s="1"/>
  <c r="B13" i="80"/>
  <c r="T12" i="80"/>
  <c r="V52" i="80" s="1"/>
  <c r="P12" i="80"/>
  <c r="R77" i="80" s="1"/>
  <c r="D6" i="80"/>
  <c r="D4" i="80"/>
  <c r="Z70" i="79"/>
  <c r="X70" i="79"/>
  <c r="N70" i="79"/>
  <c r="L70" i="79"/>
  <c r="T66" i="79"/>
  <c r="Z66" i="79" s="1"/>
  <c r="P66" i="79"/>
  <c r="X66" i="79" s="1"/>
  <c r="H66" i="79"/>
  <c r="N66" i="79" s="1"/>
  <c r="D66" i="79"/>
  <c r="L66" i="79" s="1"/>
  <c r="Z64" i="79"/>
  <c r="X64" i="79"/>
  <c r="N64" i="79"/>
  <c r="L64" i="79"/>
  <c r="B64" i="79"/>
  <c r="Z63" i="79"/>
  <c r="X63" i="79"/>
  <c r="T63" i="79"/>
  <c r="P63" i="79"/>
  <c r="H63" i="79"/>
  <c r="D63" i="79"/>
  <c r="L63" i="79" s="1"/>
  <c r="N63" i="79" s="1"/>
  <c r="B63" i="79"/>
  <c r="Z62" i="79"/>
  <c r="X62" i="79"/>
  <c r="N62" i="79"/>
  <c r="L62" i="79"/>
  <c r="B62" i="79"/>
  <c r="X61" i="79"/>
  <c r="T61" i="79"/>
  <c r="Z61" i="79" s="1"/>
  <c r="P61" i="79"/>
  <c r="H61" i="79"/>
  <c r="D61" i="79"/>
  <c r="B61" i="79"/>
  <c r="Z60" i="79"/>
  <c r="X60" i="79"/>
  <c r="N60" i="79"/>
  <c r="L60" i="79"/>
  <c r="B60" i="79"/>
  <c r="X59" i="79"/>
  <c r="Z59" i="79" s="1"/>
  <c r="N59" i="79"/>
  <c r="L59" i="79"/>
  <c r="B59" i="79"/>
  <c r="Z58" i="79"/>
  <c r="X58" i="79"/>
  <c r="N58" i="79"/>
  <c r="L58" i="79"/>
  <c r="B58" i="79"/>
  <c r="X57" i="79"/>
  <c r="Z57" i="79" s="1"/>
  <c r="N57" i="79"/>
  <c r="L57" i="79"/>
  <c r="B57" i="79"/>
  <c r="Z56" i="79"/>
  <c r="X56" i="79"/>
  <c r="T56" i="79"/>
  <c r="P56" i="79"/>
  <c r="H56" i="79"/>
  <c r="L56" i="79" s="1"/>
  <c r="N56" i="79" s="1"/>
  <c r="D56" i="79"/>
  <c r="B56" i="79"/>
  <c r="Z55" i="79"/>
  <c r="X55" i="79"/>
  <c r="L55" i="79"/>
  <c r="N55" i="79" s="1"/>
  <c r="B55" i="79"/>
  <c r="Z54" i="79"/>
  <c r="X54" i="79"/>
  <c r="N54" i="79"/>
  <c r="L54" i="79"/>
  <c r="B54" i="79"/>
  <c r="X53" i="79"/>
  <c r="Z53" i="79" s="1"/>
  <c r="L53" i="79"/>
  <c r="N53" i="79" s="1"/>
  <c r="B53" i="79"/>
  <c r="T52" i="79"/>
  <c r="P52" i="79"/>
  <c r="X52" i="79" s="1"/>
  <c r="H52" i="79"/>
  <c r="D52" i="79"/>
  <c r="L52" i="79" s="1"/>
  <c r="B52" i="79"/>
  <c r="X51" i="79"/>
  <c r="Z51" i="79" s="1"/>
  <c r="N51" i="79"/>
  <c r="L51" i="79"/>
  <c r="B51" i="79"/>
  <c r="T50" i="79"/>
  <c r="P50" i="79"/>
  <c r="X50" i="79" s="1"/>
  <c r="Z50" i="79" s="1"/>
  <c r="N50" i="79"/>
  <c r="H50" i="79"/>
  <c r="D50" i="79"/>
  <c r="L50" i="79" s="1"/>
  <c r="B50" i="79"/>
  <c r="Z49" i="79"/>
  <c r="X49" i="79"/>
  <c r="N49" i="79"/>
  <c r="L49" i="79"/>
  <c r="B49" i="79"/>
  <c r="Z48" i="79"/>
  <c r="X48" i="79"/>
  <c r="N48" i="79"/>
  <c r="L48" i="79"/>
  <c r="B48" i="79"/>
  <c r="X47" i="79"/>
  <c r="Z47" i="79" s="1"/>
  <c r="N47" i="79"/>
  <c r="L47" i="79"/>
  <c r="B47" i="79"/>
  <c r="T46" i="79"/>
  <c r="X46" i="79" s="1"/>
  <c r="Z46" i="79" s="1"/>
  <c r="P46" i="79"/>
  <c r="N46" i="79"/>
  <c r="L46" i="79"/>
  <c r="H46" i="79"/>
  <c r="D46" i="79"/>
  <c r="B46" i="79"/>
  <c r="X45" i="79"/>
  <c r="Z45" i="79" s="1"/>
  <c r="L45" i="79"/>
  <c r="N45" i="79" s="1"/>
  <c r="B45" i="79"/>
  <c r="T44" i="79"/>
  <c r="Z44" i="79" s="1"/>
  <c r="P44" i="79"/>
  <c r="X44" i="79" s="1"/>
  <c r="H44" i="79"/>
  <c r="N44" i="79" s="1"/>
  <c r="D44" i="79"/>
  <c r="L44" i="79" s="1"/>
  <c r="B44" i="79"/>
  <c r="X43" i="79"/>
  <c r="Z43" i="79" s="1"/>
  <c r="N43" i="79"/>
  <c r="L43" i="79"/>
  <c r="B43" i="79"/>
  <c r="Z42" i="79"/>
  <c r="X42" i="79"/>
  <c r="T42" i="79"/>
  <c r="P42" i="79"/>
  <c r="H42" i="79"/>
  <c r="D42" i="79"/>
  <c r="L42" i="79" s="1"/>
  <c r="N42" i="79" s="1"/>
  <c r="B42" i="79"/>
  <c r="Z41" i="79"/>
  <c r="X41" i="79"/>
  <c r="L41" i="79"/>
  <c r="N41" i="79" s="1"/>
  <c r="B41" i="79"/>
  <c r="Z40" i="79"/>
  <c r="X40" i="79"/>
  <c r="T40" i="79"/>
  <c r="P40" i="79"/>
  <c r="H40" i="79"/>
  <c r="L40" i="79" s="1"/>
  <c r="N40" i="79" s="1"/>
  <c r="D40" i="79"/>
  <c r="B40" i="79"/>
  <c r="Z39" i="79"/>
  <c r="X39" i="79"/>
  <c r="L39" i="79"/>
  <c r="N39" i="79" s="1"/>
  <c r="B39" i="79"/>
  <c r="T38" i="79"/>
  <c r="P38" i="79"/>
  <c r="H38" i="79"/>
  <c r="N38" i="79" s="1"/>
  <c r="D38" i="79"/>
  <c r="L38" i="79" s="1"/>
  <c r="B38" i="79"/>
  <c r="X37" i="79"/>
  <c r="Z37" i="79" s="1"/>
  <c r="N37" i="79"/>
  <c r="L37" i="79"/>
  <c r="B37" i="79"/>
  <c r="X36" i="79"/>
  <c r="Z36" i="79" s="1"/>
  <c r="L36" i="79"/>
  <c r="N36" i="79" s="1"/>
  <c r="B36" i="79"/>
  <c r="X35" i="79"/>
  <c r="Z35" i="79" s="1"/>
  <c r="L35" i="79"/>
  <c r="N35" i="79" s="1"/>
  <c r="B35" i="79"/>
  <c r="Z34" i="79"/>
  <c r="X34" i="79"/>
  <c r="L34" i="79"/>
  <c r="N34" i="79" s="1"/>
  <c r="B34" i="79"/>
  <c r="X33" i="79"/>
  <c r="Z33" i="79" s="1"/>
  <c r="N33" i="79"/>
  <c r="L33" i="79"/>
  <c r="B33" i="79"/>
  <c r="T32" i="79"/>
  <c r="P32" i="79"/>
  <c r="X32" i="79" s="1"/>
  <c r="Z32" i="79" s="1"/>
  <c r="H32" i="79"/>
  <c r="D32" i="79"/>
  <c r="L32" i="79" s="1"/>
  <c r="N32" i="79" s="1"/>
  <c r="B32" i="79"/>
  <c r="Z31" i="79"/>
  <c r="X31" i="79"/>
  <c r="N31" i="79"/>
  <c r="L31" i="79"/>
  <c r="B31" i="79"/>
  <c r="X30" i="79"/>
  <c r="Z30" i="79" s="1"/>
  <c r="N30" i="79"/>
  <c r="L30" i="79"/>
  <c r="B30" i="79"/>
  <c r="Z29" i="79"/>
  <c r="X29" i="79"/>
  <c r="N29" i="79"/>
  <c r="L29" i="79"/>
  <c r="B29" i="79"/>
  <c r="X28" i="79"/>
  <c r="Z28" i="79" s="1"/>
  <c r="N28" i="79"/>
  <c r="L28" i="79"/>
  <c r="B28" i="79"/>
  <c r="X27" i="79"/>
  <c r="Z27" i="79" s="1"/>
  <c r="N27" i="79"/>
  <c r="L27" i="79"/>
  <c r="B27" i="79"/>
  <c r="X26" i="79"/>
  <c r="Z26" i="79" s="1"/>
  <c r="N26" i="79"/>
  <c r="L26" i="79"/>
  <c r="F26" i="79"/>
  <c r="B26" i="79"/>
  <c r="Z25" i="79"/>
  <c r="X25" i="79"/>
  <c r="L25" i="79"/>
  <c r="N25" i="79" s="1"/>
  <c r="B25" i="79"/>
  <c r="X24" i="79"/>
  <c r="Z24" i="79" s="1"/>
  <c r="L24" i="79"/>
  <c r="N24" i="79" s="1"/>
  <c r="B24" i="79"/>
  <c r="T23" i="79"/>
  <c r="R23" i="79"/>
  <c r="P23" i="79"/>
  <c r="H23" i="79"/>
  <c r="D23" i="79"/>
  <c r="L23" i="79" s="1"/>
  <c r="B23" i="79"/>
  <c r="T22" i="79"/>
  <c r="P22" i="79"/>
  <c r="H22" i="79"/>
  <c r="D22" i="79"/>
  <c r="L22" i="79" s="1"/>
  <c r="Z18" i="79"/>
  <c r="X18" i="79"/>
  <c r="N18" i="79"/>
  <c r="L18" i="79"/>
  <c r="B18" i="79"/>
  <c r="Z17" i="79"/>
  <c r="X17" i="79"/>
  <c r="L17" i="79"/>
  <c r="N17" i="79" s="1"/>
  <c r="F17" i="79"/>
  <c r="B17" i="79"/>
  <c r="T16" i="79"/>
  <c r="P16" i="79"/>
  <c r="X16" i="79" s="1"/>
  <c r="H16" i="79"/>
  <c r="D16" i="79"/>
  <c r="T14" i="79"/>
  <c r="Z14" i="79" s="1"/>
  <c r="P14" i="79"/>
  <c r="X14" i="79" s="1"/>
  <c r="L14" i="79"/>
  <c r="H14" i="79"/>
  <c r="D14" i="79"/>
  <c r="B14" i="79"/>
  <c r="T13" i="79"/>
  <c r="T12" i="79" s="1"/>
  <c r="P13" i="79"/>
  <c r="H13" i="79"/>
  <c r="D13" i="79"/>
  <c r="D12" i="79" s="1"/>
  <c r="F43" i="79" s="1"/>
  <c r="B13" i="79"/>
  <c r="P12" i="79"/>
  <c r="D6" i="79"/>
  <c r="D4" i="79"/>
  <c r="X65" i="78"/>
  <c r="Z65" i="78" s="1"/>
  <c r="L65" i="78"/>
  <c r="N65" i="78" s="1"/>
  <c r="T61" i="78"/>
  <c r="P61" i="78"/>
  <c r="X61" i="78" s="1"/>
  <c r="H61" i="78"/>
  <c r="N61" i="78" s="1"/>
  <c r="D61" i="78"/>
  <c r="B61" i="78"/>
  <c r="T60" i="78"/>
  <c r="P60" i="78"/>
  <c r="X60" i="78" s="1"/>
  <c r="Z60" i="78" s="1"/>
  <c r="H60" i="78"/>
  <c r="N60" i="78" s="1"/>
  <c r="D60" i="78"/>
  <c r="B60" i="78"/>
  <c r="T59" i="78"/>
  <c r="X59" i="78" s="1"/>
  <c r="Z59" i="78" s="1"/>
  <c r="P59" i="78"/>
  <c r="L59" i="78"/>
  <c r="N59" i="78" s="1"/>
  <c r="H59" i="78"/>
  <c r="D59" i="78"/>
  <c r="B59" i="78"/>
  <c r="X58" i="78"/>
  <c r="T58" i="78"/>
  <c r="Z58" i="78" s="1"/>
  <c r="P58" i="78"/>
  <c r="N58" i="78"/>
  <c r="L58" i="78"/>
  <c r="H58" i="78"/>
  <c r="D58" i="78"/>
  <c r="B58" i="78"/>
  <c r="T57" i="78"/>
  <c r="P57" i="78"/>
  <c r="X57" i="78" s="1"/>
  <c r="Z57" i="78" s="1"/>
  <c r="H57" i="78"/>
  <c r="L57" i="78" s="1"/>
  <c r="N57" i="78" s="1"/>
  <c r="D57" i="78"/>
  <c r="B57" i="78"/>
  <c r="T56" i="78"/>
  <c r="D56" i="78"/>
  <c r="Z54" i="78"/>
  <c r="X54" i="78"/>
  <c r="N54" i="78"/>
  <c r="L54" i="78"/>
  <c r="B54" i="78"/>
  <c r="T53" i="78"/>
  <c r="P53" i="78"/>
  <c r="X53" i="78" s="1"/>
  <c r="Z53" i="78" s="1"/>
  <c r="L53" i="78"/>
  <c r="N53" i="78" s="1"/>
  <c r="H53" i="78"/>
  <c r="D53" i="78"/>
  <c r="B53" i="78"/>
  <c r="X52" i="78"/>
  <c r="Z52" i="78" s="1"/>
  <c r="N52" i="78"/>
  <c r="L52" i="78"/>
  <c r="B52" i="78"/>
  <c r="X51" i="78"/>
  <c r="Z51" i="78" s="1"/>
  <c r="N51" i="78"/>
  <c r="L51" i="78"/>
  <c r="B51" i="78"/>
  <c r="Z50" i="78"/>
  <c r="X50" i="78"/>
  <c r="T50" i="78"/>
  <c r="P50" i="78"/>
  <c r="L50" i="78"/>
  <c r="H50" i="78"/>
  <c r="N50" i="78" s="1"/>
  <c r="D50" i="78"/>
  <c r="B50" i="78"/>
  <c r="Z49" i="78"/>
  <c r="X49" i="78"/>
  <c r="N49" i="78"/>
  <c r="L49" i="78"/>
  <c r="B49" i="78"/>
  <c r="T48" i="78"/>
  <c r="P48" i="78"/>
  <c r="H48" i="78"/>
  <c r="D48" i="78"/>
  <c r="B48" i="78"/>
  <c r="X47" i="78"/>
  <c r="Z47" i="78" s="1"/>
  <c r="N47" i="78"/>
  <c r="L47" i="78"/>
  <c r="B47" i="78"/>
  <c r="T46" i="78"/>
  <c r="Z46" i="78" s="1"/>
  <c r="P46" i="78"/>
  <c r="X46" i="78" s="1"/>
  <c r="H46" i="78"/>
  <c r="N46" i="78" s="1"/>
  <c r="D46" i="78"/>
  <c r="L46" i="78" s="1"/>
  <c r="B46" i="78"/>
  <c r="X45" i="78"/>
  <c r="Z45" i="78" s="1"/>
  <c r="N45" i="78"/>
  <c r="L45" i="78"/>
  <c r="B45" i="78"/>
  <c r="X44" i="78"/>
  <c r="Z44" i="78" s="1"/>
  <c r="L44" i="78"/>
  <c r="N44" i="78" s="1"/>
  <c r="B44" i="78"/>
  <c r="T43" i="78"/>
  <c r="Z43" i="78" s="1"/>
  <c r="P43" i="78"/>
  <c r="X43" i="78" s="1"/>
  <c r="H43" i="78"/>
  <c r="N43" i="78" s="1"/>
  <c r="D43" i="78"/>
  <c r="L43" i="78" s="1"/>
  <c r="B43" i="78"/>
  <c r="X42" i="78"/>
  <c r="Z42" i="78" s="1"/>
  <c r="N42" i="78"/>
  <c r="L42" i="78"/>
  <c r="B42" i="78"/>
  <c r="Z41" i="78"/>
  <c r="X41" i="78"/>
  <c r="T41" i="78"/>
  <c r="P41" i="78"/>
  <c r="N41" i="78"/>
  <c r="H41" i="78"/>
  <c r="D41" i="78"/>
  <c r="L41" i="78" s="1"/>
  <c r="B41" i="78"/>
  <c r="Z40" i="78"/>
  <c r="X40" i="78"/>
  <c r="N40" i="78"/>
  <c r="L40" i="78"/>
  <c r="B40" i="78"/>
  <c r="X39" i="78"/>
  <c r="Z39" i="78" s="1"/>
  <c r="T39" i="78"/>
  <c r="P39" i="78"/>
  <c r="N39" i="78"/>
  <c r="H39" i="78"/>
  <c r="D39" i="78"/>
  <c r="L39" i="78" s="1"/>
  <c r="B39" i="78"/>
  <c r="Z38" i="78"/>
  <c r="X38" i="78"/>
  <c r="N38" i="78"/>
  <c r="L38" i="78"/>
  <c r="B38" i="78"/>
  <c r="X37" i="78"/>
  <c r="Z37" i="78" s="1"/>
  <c r="N37" i="78"/>
  <c r="L37" i="78"/>
  <c r="B37" i="78"/>
  <c r="X36" i="78"/>
  <c r="Z36" i="78" s="1"/>
  <c r="N36" i="78"/>
  <c r="L36" i="78"/>
  <c r="B36" i="78"/>
  <c r="T35" i="78"/>
  <c r="P35" i="78"/>
  <c r="X35" i="78" s="1"/>
  <c r="H35" i="78"/>
  <c r="N35" i="78" s="1"/>
  <c r="D35" i="78"/>
  <c r="L35" i="78" s="1"/>
  <c r="B35" i="78"/>
  <c r="X34" i="78"/>
  <c r="Z34" i="78" s="1"/>
  <c r="N34" i="78"/>
  <c r="L34" i="78"/>
  <c r="B34" i="78"/>
  <c r="Z33" i="78"/>
  <c r="X33" i="78"/>
  <c r="N33" i="78"/>
  <c r="L33" i="78"/>
  <c r="B33" i="78"/>
  <c r="X32" i="78"/>
  <c r="Z32" i="78" s="1"/>
  <c r="N32" i="78"/>
  <c r="L32" i="78"/>
  <c r="B32" i="78"/>
  <c r="Z31" i="78"/>
  <c r="X31" i="78"/>
  <c r="N31" i="78"/>
  <c r="L31" i="78"/>
  <c r="B31" i="78"/>
  <c r="X30" i="78"/>
  <c r="Z30" i="78" s="1"/>
  <c r="N30" i="78"/>
  <c r="L30" i="78"/>
  <c r="B30" i="78"/>
  <c r="Z29" i="78"/>
  <c r="X29" i="78"/>
  <c r="N29" i="78"/>
  <c r="L29" i="78"/>
  <c r="B29" i="78"/>
  <c r="X28" i="78"/>
  <c r="Z28" i="78" s="1"/>
  <c r="N28" i="78"/>
  <c r="L28" i="78"/>
  <c r="B28" i="78"/>
  <c r="T27" i="78"/>
  <c r="P27" i="78"/>
  <c r="X27" i="78" s="1"/>
  <c r="Z27" i="78" s="1"/>
  <c r="N27" i="78"/>
  <c r="L27" i="78"/>
  <c r="H27" i="78"/>
  <c r="D27" i="78"/>
  <c r="B27" i="78"/>
  <c r="T26" i="78"/>
  <c r="P26" i="78"/>
  <c r="H26" i="78"/>
  <c r="D26" i="78"/>
  <c r="L26" i="78" s="1"/>
  <c r="X22" i="78"/>
  <c r="Z22" i="78" s="1"/>
  <c r="N22" i="78"/>
  <c r="L22" i="78"/>
  <c r="B22" i="78"/>
  <c r="Z21" i="78"/>
  <c r="X21" i="78"/>
  <c r="L21" i="78"/>
  <c r="N21" i="78" s="1"/>
  <c r="B21" i="78"/>
  <c r="Z20" i="78"/>
  <c r="X20" i="78"/>
  <c r="L20" i="78"/>
  <c r="N20" i="78" s="1"/>
  <c r="B20" i="78"/>
  <c r="X19" i="78"/>
  <c r="Z19" i="78" s="1"/>
  <c r="N19" i="78"/>
  <c r="L19" i="78"/>
  <c r="B19" i="78"/>
  <c r="X18" i="78"/>
  <c r="Z18" i="78" s="1"/>
  <c r="L18" i="78"/>
  <c r="N18" i="78" s="1"/>
  <c r="B18" i="78"/>
  <c r="T17" i="78"/>
  <c r="P17" i="78"/>
  <c r="X17" i="78" s="1"/>
  <c r="Z17" i="78" s="1"/>
  <c r="L17" i="78"/>
  <c r="N17" i="78" s="1"/>
  <c r="H17" i="78"/>
  <c r="D17" i="78"/>
  <c r="T15" i="78"/>
  <c r="Z15" i="78" s="1"/>
  <c r="P15" i="78"/>
  <c r="X15" i="78" s="1"/>
  <c r="H15" i="78"/>
  <c r="N15" i="78" s="1"/>
  <c r="D15" i="78"/>
  <c r="L15" i="78" s="1"/>
  <c r="B15" i="78"/>
  <c r="T14" i="78"/>
  <c r="P14" i="78"/>
  <c r="X14" i="78" s="1"/>
  <c r="Z14" i="78" s="1"/>
  <c r="L14" i="78"/>
  <c r="H14" i="78"/>
  <c r="N14" i="78" s="1"/>
  <c r="D14" i="78"/>
  <c r="D12" i="78" s="1"/>
  <c r="B14" i="78"/>
  <c r="T13" i="78"/>
  <c r="T12" i="78" s="1"/>
  <c r="P13" i="78"/>
  <c r="H13" i="78"/>
  <c r="H12" i="78" s="1"/>
  <c r="D13" i="78"/>
  <c r="B13" i="78"/>
  <c r="D6" i="78"/>
  <c r="D4" i="78"/>
  <c r="X109" i="76"/>
  <c r="Z109" i="76" s="1"/>
  <c r="L109" i="76"/>
  <c r="N109" i="76" s="1"/>
  <c r="T105" i="76"/>
  <c r="P105" i="76"/>
  <c r="P101" i="76" s="1"/>
  <c r="H105" i="76"/>
  <c r="D105" i="76"/>
  <c r="L105" i="76" s="1"/>
  <c r="B105" i="76"/>
  <c r="T104" i="76"/>
  <c r="P104" i="76"/>
  <c r="N104" i="76"/>
  <c r="L104" i="76"/>
  <c r="H104" i="76"/>
  <c r="D104" i="76"/>
  <c r="B104" i="76"/>
  <c r="T103" i="76"/>
  <c r="T101" i="76" s="1"/>
  <c r="P103" i="76"/>
  <c r="H103" i="76"/>
  <c r="N103" i="76" s="1"/>
  <c r="D103" i="76"/>
  <c r="B103" i="76"/>
  <c r="Z102" i="76"/>
  <c r="X102" i="76"/>
  <c r="T102" i="76"/>
  <c r="P102" i="76"/>
  <c r="H102" i="76"/>
  <c r="D102" i="76"/>
  <c r="L102" i="76" s="1"/>
  <c r="N102" i="76" s="1"/>
  <c r="B102" i="76"/>
  <c r="D101" i="76"/>
  <c r="X99" i="76"/>
  <c r="Z99" i="76" s="1"/>
  <c r="N99" i="76"/>
  <c r="L99" i="76"/>
  <c r="B99" i="76"/>
  <c r="T98" i="76"/>
  <c r="P98" i="76"/>
  <c r="N98" i="76"/>
  <c r="L98" i="76"/>
  <c r="H98" i="76"/>
  <c r="D98" i="76"/>
  <c r="B98" i="76"/>
  <c r="X97" i="76"/>
  <c r="Z97" i="76" s="1"/>
  <c r="N97" i="76"/>
  <c r="L97" i="76"/>
  <c r="B97" i="76"/>
  <c r="T96" i="76"/>
  <c r="P96" i="76"/>
  <c r="X96" i="76" s="1"/>
  <c r="Z96" i="76" s="1"/>
  <c r="N96" i="76"/>
  <c r="H96" i="76"/>
  <c r="L96" i="76" s="1"/>
  <c r="D96" i="76"/>
  <c r="B96" i="76"/>
  <c r="X95" i="76"/>
  <c r="Z95" i="76" s="1"/>
  <c r="L95" i="76"/>
  <c r="N95" i="76" s="1"/>
  <c r="B95" i="76"/>
  <c r="T94" i="76"/>
  <c r="P94" i="76"/>
  <c r="X94" i="76" s="1"/>
  <c r="Z94" i="76" s="1"/>
  <c r="N94" i="76"/>
  <c r="L94" i="76"/>
  <c r="H94" i="76"/>
  <c r="D94" i="76"/>
  <c r="B94" i="76"/>
  <c r="X93" i="76"/>
  <c r="Z93" i="76" s="1"/>
  <c r="N93" i="76"/>
  <c r="L93" i="76"/>
  <c r="B93" i="76"/>
  <c r="X92" i="76"/>
  <c r="Z92" i="76" s="1"/>
  <c r="N92" i="76"/>
  <c r="L92" i="76"/>
  <c r="B92" i="76"/>
  <c r="Z91" i="76"/>
  <c r="X91" i="76"/>
  <c r="N91" i="76"/>
  <c r="L91" i="76"/>
  <c r="B91" i="76"/>
  <c r="T90" i="76"/>
  <c r="P90" i="76"/>
  <c r="L90" i="76"/>
  <c r="H90" i="76"/>
  <c r="N90" i="76" s="1"/>
  <c r="D90" i="76"/>
  <c r="B90" i="76"/>
  <c r="X89" i="76"/>
  <c r="Z89" i="76" s="1"/>
  <c r="N89" i="76"/>
  <c r="L89" i="76"/>
  <c r="B89" i="76"/>
  <c r="T88" i="76"/>
  <c r="P88" i="76"/>
  <c r="X88" i="76" s="1"/>
  <c r="Z88" i="76" s="1"/>
  <c r="N88" i="76"/>
  <c r="H88" i="76"/>
  <c r="L88" i="76" s="1"/>
  <c r="D88" i="76"/>
  <c r="B88" i="76"/>
  <c r="X87" i="76"/>
  <c r="Z87" i="76" s="1"/>
  <c r="N87" i="76"/>
  <c r="L87" i="76"/>
  <c r="B87" i="76"/>
  <c r="T86" i="76"/>
  <c r="P86" i="76"/>
  <c r="X86" i="76" s="1"/>
  <c r="Z86" i="76" s="1"/>
  <c r="N86" i="76"/>
  <c r="L86" i="76"/>
  <c r="H86" i="76"/>
  <c r="D86" i="76"/>
  <c r="B86" i="76"/>
  <c r="Z85" i="76"/>
  <c r="X85" i="76"/>
  <c r="N85" i="76"/>
  <c r="L85" i="76"/>
  <c r="B85" i="76"/>
  <c r="X84" i="76"/>
  <c r="T84" i="76"/>
  <c r="Z84" i="76" s="1"/>
  <c r="P84" i="76"/>
  <c r="H84" i="76"/>
  <c r="N84" i="76" s="1"/>
  <c r="D84" i="76"/>
  <c r="B84" i="76"/>
  <c r="Z83" i="76"/>
  <c r="X83" i="76"/>
  <c r="N83" i="76"/>
  <c r="L83" i="76"/>
  <c r="B83" i="76"/>
  <c r="Z82" i="76"/>
  <c r="T82" i="76"/>
  <c r="X82" i="76" s="1"/>
  <c r="P82" i="76"/>
  <c r="N82" i="76"/>
  <c r="H82" i="76"/>
  <c r="D82" i="76"/>
  <c r="L82" i="76" s="1"/>
  <c r="B82" i="76"/>
  <c r="Z81" i="76"/>
  <c r="X81" i="76"/>
  <c r="N81" i="76"/>
  <c r="L81" i="76"/>
  <c r="B81" i="76"/>
  <c r="Z80" i="76"/>
  <c r="X80" i="76"/>
  <c r="N80" i="76"/>
  <c r="L80" i="76"/>
  <c r="B80" i="76"/>
  <c r="T79" i="76"/>
  <c r="P79" i="76"/>
  <c r="X79" i="76" s="1"/>
  <c r="H79" i="76"/>
  <c r="N79" i="76" s="1"/>
  <c r="D79" i="76"/>
  <c r="L79" i="76" s="1"/>
  <c r="B79" i="76"/>
  <c r="X78" i="76"/>
  <c r="Z78" i="76" s="1"/>
  <c r="N78" i="76"/>
  <c r="L78" i="76"/>
  <c r="B78" i="76"/>
  <c r="T77" i="76"/>
  <c r="P77" i="76"/>
  <c r="X77" i="76" s="1"/>
  <c r="L77" i="76"/>
  <c r="N77" i="76" s="1"/>
  <c r="H77" i="76"/>
  <c r="D77" i="76"/>
  <c r="B77" i="76"/>
  <c r="Z76" i="76"/>
  <c r="X76" i="76"/>
  <c r="N76" i="76"/>
  <c r="L76" i="76"/>
  <c r="B76" i="76"/>
  <c r="X75" i="76"/>
  <c r="T75" i="76"/>
  <c r="Z75" i="76" s="1"/>
  <c r="P75" i="76"/>
  <c r="H75" i="76"/>
  <c r="D75" i="76"/>
  <c r="B75" i="76"/>
  <c r="Z74" i="76"/>
  <c r="X74" i="76"/>
  <c r="L74" i="76"/>
  <c r="N74" i="76" s="1"/>
  <c r="B74" i="76"/>
  <c r="T73" i="76"/>
  <c r="Z73" i="76" s="1"/>
  <c r="P73" i="76"/>
  <c r="X73" i="76" s="1"/>
  <c r="H73" i="76"/>
  <c r="N73" i="76" s="1"/>
  <c r="D73" i="76"/>
  <c r="L73" i="76" s="1"/>
  <c r="B73" i="76"/>
  <c r="X72" i="76"/>
  <c r="Z72" i="76" s="1"/>
  <c r="N72" i="76"/>
  <c r="L72" i="76"/>
  <c r="B72" i="76"/>
  <c r="X71" i="76"/>
  <c r="Z71" i="76" s="1"/>
  <c r="L71" i="76"/>
  <c r="N71" i="76" s="1"/>
  <c r="B71" i="76"/>
  <c r="X70" i="76"/>
  <c r="Z70" i="76" s="1"/>
  <c r="N70" i="76"/>
  <c r="L70" i="76"/>
  <c r="B70" i="76"/>
  <c r="Z69" i="76"/>
  <c r="X69" i="76"/>
  <c r="N69" i="76"/>
  <c r="L69" i="76"/>
  <c r="B69" i="76"/>
  <c r="X68" i="76"/>
  <c r="Z68" i="76" s="1"/>
  <c r="N68" i="76"/>
  <c r="L68" i="76"/>
  <c r="B68" i="76"/>
  <c r="X67" i="76"/>
  <c r="Z67" i="76" s="1"/>
  <c r="T67" i="76"/>
  <c r="P67" i="76"/>
  <c r="H67" i="76"/>
  <c r="D67" i="76"/>
  <c r="L67" i="76" s="1"/>
  <c r="B67" i="76"/>
  <c r="Z66" i="76"/>
  <c r="X66" i="76"/>
  <c r="N66" i="76"/>
  <c r="L66" i="76"/>
  <c r="B66" i="76"/>
  <c r="X65" i="76"/>
  <c r="Z65" i="76" s="1"/>
  <c r="N65" i="76"/>
  <c r="L65" i="76"/>
  <c r="B65" i="76"/>
  <c r="Z64" i="76"/>
  <c r="X64" i="76"/>
  <c r="N64" i="76"/>
  <c r="L64" i="76"/>
  <c r="B64" i="76"/>
  <c r="X63" i="76"/>
  <c r="Z63" i="76" s="1"/>
  <c r="L63" i="76"/>
  <c r="N63" i="76" s="1"/>
  <c r="B63" i="76"/>
  <c r="Z62" i="76"/>
  <c r="X62" i="76"/>
  <c r="N62" i="76"/>
  <c r="L62" i="76"/>
  <c r="B62" i="76"/>
  <c r="X61" i="76"/>
  <c r="Z61" i="76" s="1"/>
  <c r="N61" i="76"/>
  <c r="L61" i="76"/>
  <c r="B61" i="76"/>
  <c r="Z60" i="76"/>
  <c r="X60" i="76"/>
  <c r="N60" i="76"/>
  <c r="L60" i="76"/>
  <c r="B60" i="76"/>
  <c r="X59" i="76"/>
  <c r="Z59" i="76" s="1"/>
  <c r="L59" i="76"/>
  <c r="N59" i="76" s="1"/>
  <c r="B59" i="76"/>
  <c r="Z58" i="76"/>
  <c r="X58" i="76"/>
  <c r="N58" i="76"/>
  <c r="L58" i="76"/>
  <c r="B58" i="76"/>
  <c r="T57" i="76"/>
  <c r="P57" i="76"/>
  <c r="L57" i="76"/>
  <c r="H57" i="76"/>
  <c r="N57" i="76" s="1"/>
  <c r="D57" i="76"/>
  <c r="B57" i="76"/>
  <c r="T56" i="76"/>
  <c r="Z56" i="76" s="1"/>
  <c r="P56" i="76"/>
  <c r="X56" i="76" s="1"/>
  <c r="H56" i="76"/>
  <c r="D56" i="76"/>
  <c r="L56" i="76" s="1"/>
  <c r="N56" i="76" s="1"/>
  <c r="Z52" i="76"/>
  <c r="X52" i="76"/>
  <c r="L52" i="76"/>
  <c r="N52" i="76" s="1"/>
  <c r="B52" i="76"/>
  <c r="Z51" i="76"/>
  <c r="X51" i="76"/>
  <c r="N51" i="76"/>
  <c r="L51" i="76"/>
  <c r="B51" i="76"/>
  <c r="Z50" i="76"/>
  <c r="X50" i="76"/>
  <c r="N50" i="76"/>
  <c r="L50" i="76"/>
  <c r="B50" i="76"/>
  <c r="Z49" i="76"/>
  <c r="X49" i="76"/>
  <c r="N49" i="76"/>
  <c r="L49" i="76"/>
  <c r="B49" i="76"/>
  <c r="Z48" i="76"/>
  <c r="X48" i="76"/>
  <c r="L48" i="76"/>
  <c r="N48" i="76" s="1"/>
  <c r="B48" i="76"/>
  <c r="Z47" i="76"/>
  <c r="X47" i="76"/>
  <c r="L47" i="76"/>
  <c r="N47" i="76" s="1"/>
  <c r="B47" i="76"/>
  <c r="Z46" i="76"/>
  <c r="X46" i="76"/>
  <c r="N46" i="76"/>
  <c r="L46" i="76"/>
  <c r="B46" i="76"/>
  <c r="Z45" i="76"/>
  <c r="X45" i="76"/>
  <c r="L45" i="76"/>
  <c r="N45" i="76" s="1"/>
  <c r="B45" i="76"/>
  <c r="X44" i="76"/>
  <c r="Z44" i="76" s="1"/>
  <c r="N44" i="76"/>
  <c r="L44" i="76"/>
  <c r="B44" i="76"/>
  <c r="Z43" i="76"/>
  <c r="X43" i="76"/>
  <c r="N43" i="76"/>
  <c r="L43" i="76"/>
  <c r="B43" i="76"/>
  <c r="Z42" i="76"/>
  <c r="X42" i="76"/>
  <c r="L42" i="76"/>
  <c r="N42" i="76" s="1"/>
  <c r="B42" i="76"/>
  <c r="Z41" i="76"/>
  <c r="X41" i="76"/>
  <c r="L41" i="76"/>
  <c r="N41" i="76" s="1"/>
  <c r="B41" i="76"/>
  <c r="X40" i="76"/>
  <c r="Z40" i="76" s="1"/>
  <c r="L40" i="76"/>
  <c r="N40" i="76" s="1"/>
  <c r="B40" i="76"/>
  <c r="T39" i="76"/>
  <c r="P39" i="76"/>
  <c r="X39" i="76" s="1"/>
  <c r="H39" i="76"/>
  <c r="D39" i="76"/>
  <c r="L39" i="76" s="1"/>
  <c r="T37" i="76"/>
  <c r="Z37" i="76" s="1"/>
  <c r="P37" i="76"/>
  <c r="X37" i="76" s="1"/>
  <c r="L37" i="76"/>
  <c r="N37" i="76" s="1"/>
  <c r="H37" i="76"/>
  <c r="D37" i="76"/>
  <c r="B37" i="76"/>
  <c r="T36" i="76"/>
  <c r="P36" i="76"/>
  <c r="X36" i="76" s="1"/>
  <c r="L36" i="76"/>
  <c r="H36" i="76"/>
  <c r="N36" i="76" s="1"/>
  <c r="D36" i="76"/>
  <c r="B36" i="76"/>
  <c r="T35" i="76"/>
  <c r="Z35" i="76" s="1"/>
  <c r="P35" i="76"/>
  <c r="X35" i="76" s="1"/>
  <c r="L35" i="76"/>
  <c r="H35" i="76"/>
  <c r="N35" i="76" s="1"/>
  <c r="D35" i="76"/>
  <c r="B35" i="76"/>
  <c r="T34" i="76"/>
  <c r="P34" i="76"/>
  <c r="L34" i="76"/>
  <c r="H34" i="76"/>
  <c r="N34" i="76" s="1"/>
  <c r="D34" i="76"/>
  <c r="B34" i="76"/>
  <c r="T33" i="76"/>
  <c r="Z33" i="76" s="1"/>
  <c r="P33" i="76"/>
  <c r="X33" i="76" s="1"/>
  <c r="L33" i="76"/>
  <c r="N33" i="76" s="1"/>
  <c r="H33" i="76"/>
  <c r="D33" i="76"/>
  <c r="B33" i="76"/>
  <c r="T32" i="76"/>
  <c r="P32" i="76"/>
  <c r="X32" i="76" s="1"/>
  <c r="L32" i="76"/>
  <c r="H32" i="76"/>
  <c r="N32" i="76" s="1"/>
  <c r="D32" i="76"/>
  <c r="B32" i="76"/>
  <c r="T31" i="76"/>
  <c r="Z31" i="76" s="1"/>
  <c r="P31" i="76"/>
  <c r="X31" i="76" s="1"/>
  <c r="L31" i="76"/>
  <c r="H31" i="76"/>
  <c r="N31" i="76" s="1"/>
  <c r="D31" i="76"/>
  <c r="B31" i="76"/>
  <c r="T30" i="76"/>
  <c r="P30" i="76"/>
  <c r="L30" i="76"/>
  <c r="H30" i="76"/>
  <c r="N30" i="76" s="1"/>
  <c r="D30" i="76"/>
  <c r="B30" i="76"/>
  <c r="T29" i="76"/>
  <c r="Z29" i="76" s="1"/>
  <c r="P29" i="76"/>
  <c r="X29" i="76" s="1"/>
  <c r="L29" i="76"/>
  <c r="N29" i="76" s="1"/>
  <c r="H29" i="76"/>
  <c r="D29" i="76"/>
  <c r="B29" i="76"/>
  <c r="T28" i="76"/>
  <c r="P28" i="76"/>
  <c r="X28" i="76" s="1"/>
  <c r="L28" i="76"/>
  <c r="H28" i="76"/>
  <c r="N28" i="76" s="1"/>
  <c r="D28" i="76"/>
  <c r="B28" i="76"/>
  <c r="T27" i="76"/>
  <c r="Z27" i="76" s="1"/>
  <c r="P27" i="76"/>
  <c r="X27" i="76" s="1"/>
  <c r="L27" i="76"/>
  <c r="H27" i="76"/>
  <c r="N27" i="76" s="1"/>
  <c r="D27" i="76"/>
  <c r="B27" i="76"/>
  <c r="T26" i="76"/>
  <c r="P26" i="76"/>
  <c r="L26" i="76"/>
  <c r="H26" i="76"/>
  <c r="N26" i="76" s="1"/>
  <c r="D26" i="76"/>
  <c r="B26" i="76"/>
  <c r="T25" i="76"/>
  <c r="Z25" i="76" s="1"/>
  <c r="P25" i="76"/>
  <c r="X25" i="76" s="1"/>
  <c r="L25" i="76"/>
  <c r="N25" i="76" s="1"/>
  <c r="H25" i="76"/>
  <c r="D25" i="76"/>
  <c r="B25" i="76"/>
  <c r="T24" i="76"/>
  <c r="P24" i="76"/>
  <c r="X24" i="76" s="1"/>
  <c r="L24" i="76"/>
  <c r="H24" i="76"/>
  <c r="N24" i="76" s="1"/>
  <c r="D24" i="76"/>
  <c r="B24" i="76"/>
  <c r="T23" i="76"/>
  <c r="Z23" i="76" s="1"/>
  <c r="P23" i="76"/>
  <c r="X23" i="76" s="1"/>
  <c r="L23" i="76"/>
  <c r="H23" i="76"/>
  <c r="N23" i="76" s="1"/>
  <c r="D23" i="76"/>
  <c r="B23" i="76"/>
  <c r="T22" i="76"/>
  <c r="P22" i="76"/>
  <c r="L22" i="76"/>
  <c r="H22" i="76"/>
  <c r="N22" i="76" s="1"/>
  <c r="D22" i="76"/>
  <c r="B22" i="76"/>
  <c r="T21" i="76"/>
  <c r="Z21" i="76" s="1"/>
  <c r="P21" i="76"/>
  <c r="X21" i="76" s="1"/>
  <c r="L21" i="76"/>
  <c r="N21" i="76" s="1"/>
  <c r="H21" i="76"/>
  <c r="D21" i="76"/>
  <c r="B21" i="76"/>
  <c r="T20" i="76"/>
  <c r="P20" i="76"/>
  <c r="X20" i="76" s="1"/>
  <c r="L20" i="76"/>
  <c r="H20" i="76"/>
  <c r="N20" i="76" s="1"/>
  <c r="D20" i="76"/>
  <c r="B20" i="76"/>
  <c r="T19" i="76"/>
  <c r="Z19" i="76" s="1"/>
  <c r="P19" i="76"/>
  <c r="X19" i="76" s="1"/>
  <c r="L19" i="76"/>
  <c r="H19" i="76"/>
  <c r="N19" i="76" s="1"/>
  <c r="D19" i="76"/>
  <c r="B19" i="76"/>
  <c r="T18" i="76"/>
  <c r="P18" i="76"/>
  <c r="L18" i="76"/>
  <c r="H18" i="76"/>
  <c r="N18" i="76" s="1"/>
  <c r="D18" i="76"/>
  <c r="B18" i="76"/>
  <c r="T17" i="76"/>
  <c r="Z17" i="76" s="1"/>
  <c r="P17" i="76"/>
  <c r="X17" i="76" s="1"/>
  <c r="N17" i="76"/>
  <c r="L17" i="76"/>
  <c r="H17" i="76"/>
  <c r="D17" i="76"/>
  <c r="B17" i="76"/>
  <c r="T16" i="76"/>
  <c r="Z16" i="76" s="1"/>
  <c r="P16" i="76"/>
  <c r="X16" i="76" s="1"/>
  <c r="L16" i="76"/>
  <c r="H16" i="76"/>
  <c r="N16" i="76" s="1"/>
  <c r="D16" i="76"/>
  <c r="B16" i="76"/>
  <c r="T15" i="76"/>
  <c r="P15" i="76"/>
  <c r="X15" i="76" s="1"/>
  <c r="L15" i="76"/>
  <c r="H15" i="76"/>
  <c r="N15" i="76" s="1"/>
  <c r="D15" i="76"/>
  <c r="B15" i="76"/>
  <c r="T14" i="76"/>
  <c r="P14" i="76"/>
  <c r="L14" i="76"/>
  <c r="H14" i="76"/>
  <c r="N14" i="76" s="1"/>
  <c r="D14" i="76"/>
  <c r="B14" i="76"/>
  <c r="T13" i="76"/>
  <c r="T12" i="76" s="1"/>
  <c r="P13" i="76"/>
  <c r="P12" i="76" s="1"/>
  <c r="N13" i="76"/>
  <c r="L13" i="76"/>
  <c r="H13" i="76"/>
  <c r="D13" i="76"/>
  <c r="B13" i="76"/>
  <c r="L12" i="76"/>
  <c r="H12" i="76"/>
  <c r="J95" i="76" s="1"/>
  <c r="D12" i="76"/>
  <c r="F76" i="76" s="1"/>
  <c r="D6" i="76"/>
  <c r="D4" i="76"/>
  <c r="X85" i="75"/>
  <c r="Z85" i="75" s="1"/>
  <c r="N85" i="75"/>
  <c r="L85" i="75"/>
  <c r="T81" i="75"/>
  <c r="T80" i="75" s="1"/>
  <c r="P81" i="75"/>
  <c r="P80" i="75" s="1"/>
  <c r="H81" i="75"/>
  <c r="D81" i="75"/>
  <c r="L81" i="75" s="1"/>
  <c r="N81" i="75" s="1"/>
  <c r="B81" i="75"/>
  <c r="H80" i="75"/>
  <c r="Z78" i="75"/>
  <c r="X78" i="75"/>
  <c r="N78" i="75"/>
  <c r="L78" i="75"/>
  <c r="B78" i="75"/>
  <c r="X77" i="75"/>
  <c r="T77" i="75"/>
  <c r="Z77" i="75" s="1"/>
  <c r="P77" i="75"/>
  <c r="N77" i="75"/>
  <c r="L77" i="75"/>
  <c r="H77" i="75"/>
  <c r="D77" i="75"/>
  <c r="B77" i="75"/>
  <c r="Z76" i="75"/>
  <c r="X76" i="75"/>
  <c r="N76" i="75"/>
  <c r="L76" i="75"/>
  <c r="B76" i="75"/>
  <c r="T75" i="75"/>
  <c r="Z75" i="75" s="1"/>
  <c r="P75" i="75"/>
  <c r="X75" i="75" s="1"/>
  <c r="N75" i="75"/>
  <c r="H75" i="75"/>
  <c r="L75" i="75" s="1"/>
  <c r="D75" i="75"/>
  <c r="B75" i="75"/>
  <c r="X74" i="75"/>
  <c r="Z74" i="75" s="1"/>
  <c r="L74" i="75"/>
  <c r="N74" i="75" s="1"/>
  <c r="B74" i="75"/>
  <c r="T73" i="75"/>
  <c r="P73" i="75"/>
  <c r="X73" i="75" s="1"/>
  <c r="Z73" i="75" s="1"/>
  <c r="H73" i="75"/>
  <c r="D73" i="75"/>
  <c r="L73" i="75" s="1"/>
  <c r="N73" i="75" s="1"/>
  <c r="B73" i="75"/>
  <c r="X72" i="75"/>
  <c r="Z72" i="75" s="1"/>
  <c r="N72" i="75"/>
  <c r="L72" i="75"/>
  <c r="B72" i="75"/>
  <c r="X71" i="75"/>
  <c r="Z71" i="75" s="1"/>
  <c r="N71" i="75"/>
  <c r="L71" i="75"/>
  <c r="B71" i="75"/>
  <c r="X70" i="75"/>
  <c r="Z70" i="75" s="1"/>
  <c r="N70" i="75"/>
  <c r="L70" i="75"/>
  <c r="B70" i="75"/>
  <c r="X69" i="75"/>
  <c r="Z69" i="75" s="1"/>
  <c r="N69" i="75"/>
  <c r="L69" i="75"/>
  <c r="B69" i="75"/>
  <c r="Z68" i="75"/>
  <c r="X68" i="75"/>
  <c r="N68" i="75"/>
  <c r="L68" i="75"/>
  <c r="B68" i="75"/>
  <c r="X67" i="75"/>
  <c r="Z67" i="75" s="1"/>
  <c r="N67" i="75"/>
  <c r="L67" i="75"/>
  <c r="B67" i="75"/>
  <c r="X66" i="75"/>
  <c r="Z66" i="75" s="1"/>
  <c r="T66" i="75"/>
  <c r="P66" i="75"/>
  <c r="L66" i="75"/>
  <c r="H66" i="75"/>
  <c r="N66" i="75" s="1"/>
  <c r="D66" i="75"/>
  <c r="B66" i="75"/>
  <c r="Z65" i="75"/>
  <c r="X65" i="75"/>
  <c r="N65" i="75"/>
  <c r="L65" i="75"/>
  <c r="B65" i="75"/>
  <c r="T64" i="75"/>
  <c r="X64" i="75" s="1"/>
  <c r="Z64" i="75" s="1"/>
  <c r="P64" i="75"/>
  <c r="H64" i="75"/>
  <c r="L64" i="75" s="1"/>
  <c r="N64" i="75" s="1"/>
  <c r="D64" i="75"/>
  <c r="B64" i="75"/>
  <c r="X63" i="75"/>
  <c r="Z63" i="75" s="1"/>
  <c r="L63" i="75"/>
  <c r="N63" i="75" s="1"/>
  <c r="B63" i="75"/>
  <c r="X62" i="75"/>
  <c r="Z62" i="75" s="1"/>
  <c r="L62" i="75"/>
  <c r="N62" i="75" s="1"/>
  <c r="B62" i="75"/>
  <c r="Z61" i="75"/>
  <c r="X61" i="75"/>
  <c r="N61" i="75"/>
  <c r="L61" i="75"/>
  <c r="B61" i="75"/>
  <c r="T60" i="75"/>
  <c r="Z60" i="75" s="1"/>
  <c r="P60" i="75"/>
  <c r="X60" i="75" s="1"/>
  <c r="H60" i="75"/>
  <c r="D60" i="75"/>
  <c r="L60" i="75" s="1"/>
  <c r="B60" i="75"/>
  <c r="X59" i="75"/>
  <c r="Z59" i="75" s="1"/>
  <c r="N59" i="75"/>
  <c r="L59" i="75"/>
  <c r="B59" i="75"/>
  <c r="X58" i="75"/>
  <c r="Z58" i="75" s="1"/>
  <c r="T58" i="75"/>
  <c r="P58" i="75"/>
  <c r="L58" i="75"/>
  <c r="H58" i="75"/>
  <c r="N58" i="75" s="1"/>
  <c r="D58" i="75"/>
  <c r="B58" i="75"/>
  <c r="Z57" i="75"/>
  <c r="X57" i="75"/>
  <c r="N57" i="75"/>
  <c r="L57" i="75"/>
  <c r="B57" i="75"/>
  <c r="Z56" i="75"/>
  <c r="X56" i="75"/>
  <c r="N56" i="75"/>
  <c r="L56" i="75"/>
  <c r="B56" i="75"/>
  <c r="T55" i="75"/>
  <c r="P55" i="75"/>
  <c r="X55" i="75" s="1"/>
  <c r="N55" i="75"/>
  <c r="H55" i="75"/>
  <c r="L55" i="75" s="1"/>
  <c r="D55" i="75"/>
  <c r="B55" i="75"/>
  <c r="X54" i="75"/>
  <c r="Z54" i="75" s="1"/>
  <c r="L54" i="75"/>
  <c r="N54" i="75" s="1"/>
  <c r="B54" i="75"/>
  <c r="T53" i="75"/>
  <c r="P53" i="75"/>
  <c r="X53" i="75" s="1"/>
  <c r="Z53" i="75" s="1"/>
  <c r="H53" i="75"/>
  <c r="D53" i="75"/>
  <c r="L53" i="75" s="1"/>
  <c r="N53" i="75" s="1"/>
  <c r="B53" i="75"/>
  <c r="X52" i="75"/>
  <c r="Z52" i="75" s="1"/>
  <c r="N52" i="75"/>
  <c r="L52" i="75"/>
  <c r="B52" i="75"/>
  <c r="X51" i="75"/>
  <c r="T51" i="75"/>
  <c r="Z51" i="75" s="1"/>
  <c r="P51" i="75"/>
  <c r="L51" i="75"/>
  <c r="H51" i="75"/>
  <c r="N51" i="75" s="1"/>
  <c r="D51" i="75"/>
  <c r="B51" i="75"/>
  <c r="Z50" i="75"/>
  <c r="X50" i="75"/>
  <c r="L50" i="75"/>
  <c r="N50" i="75" s="1"/>
  <c r="B50" i="75"/>
  <c r="T49" i="75"/>
  <c r="X49" i="75" s="1"/>
  <c r="P49" i="75"/>
  <c r="H49" i="75"/>
  <c r="D49" i="75"/>
  <c r="L49" i="75" s="1"/>
  <c r="B49" i="75"/>
  <c r="Z48" i="75"/>
  <c r="X48" i="75"/>
  <c r="L48" i="75"/>
  <c r="N48" i="75" s="1"/>
  <c r="B48" i="75"/>
  <c r="T47" i="75"/>
  <c r="P47" i="75"/>
  <c r="X47" i="75" s="1"/>
  <c r="Z47" i="75" s="1"/>
  <c r="H47" i="75"/>
  <c r="D47" i="75"/>
  <c r="L47" i="75" s="1"/>
  <c r="N47" i="75" s="1"/>
  <c r="B47" i="75"/>
  <c r="X46" i="75"/>
  <c r="Z46" i="75" s="1"/>
  <c r="N46" i="75"/>
  <c r="L46" i="75"/>
  <c r="B46" i="75"/>
  <c r="X45" i="75"/>
  <c r="Z45" i="75" s="1"/>
  <c r="N45" i="75"/>
  <c r="L45" i="75"/>
  <c r="B45" i="75"/>
  <c r="X44" i="75"/>
  <c r="Z44" i="75" s="1"/>
  <c r="N44" i="75"/>
  <c r="L44" i="75"/>
  <c r="B44" i="75"/>
  <c r="X43" i="75"/>
  <c r="Z43" i="75" s="1"/>
  <c r="N43" i="75"/>
  <c r="L43" i="75"/>
  <c r="B43" i="75"/>
  <c r="X42" i="75"/>
  <c r="Z42" i="75" s="1"/>
  <c r="T42" i="75"/>
  <c r="P42" i="75"/>
  <c r="L42" i="75"/>
  <c r="H42" i="75"/>
  <c r="N42" i="75" s="1"/>
  <c r="D42" i="75"/>
  <c r="B42" i="75"/>
  <c r="Z41" i="75"/>
  <c r="X41" i="75"/>
  <c r="N41" i="75"/>
  <c r="L41" i="75"/>
  <c r="B41" i="75"/>
  <c r="Z40" i="75"/>
  <c r="X40" i="75"/>
  <c r="N40" i="75"/>
  <c r="L40" i="75"/>
  <c r="B40" i="75"/>
  <c r="Z39" i="75"/>
  <c r="X39" i="75"/>
  <c r="R39" i="75"/>
  <c r="L39" i="75"/>
  <c r="N39" i="75" s="1"/>
  <c r="B39" i="75"/>
  <c r="Z38" i="75"/>
  <c r="X38" i="75"/>
  <c r="L38" i="75"/>
  <c r="N38" i="75" s="1"/>
  <c r="B38" i="75"/>
  <c r="Z37" i="75"/>
  <c r="X37" i="75"/>
  <c r="N37" i="75"/>
  <c r="L37" i="75"/>
  <c r="B37" i="75"/>
  <c r="Z36" i="75"/>
  <c r="X36" i="75"/>
  <c r="N36" i="75"/>
  <c r="L36" i="75"/>
  <c r="B36" i="75"/>
  <c r="Z35" i="75"/>
  <c r="X35" i="75"/>
  <c r="R35" i="75"/>
  <c r="L35" i="75"/>
  <c r="N35" i="75" s="1"/>
  <c r="B35" i="75"/>
  <c r="Z34" i="75"/>
  <c r="X34" i="75"/>
  <c r="L34" i="75"/>
  <c r="N34" i="75" s="1"/>
  <c r="B34" i="75"/>
  <c r="T33" i="75"/>
  <c r="X33" i="75" s="1"/>
  <c r="P33" i="75"/>
  <c r="H33" i="75"/>
  <c r="N33" i="75" s="1"/>
  <c r="D33" i="75"/>
  <c r="L33" i="75" s="1"/>
  <c r="B33" i="75"/>
  <c r="T32" i="75"/>
  <c r="P32" i="75"/>
  <c r="X32" i="75" s="1"/>
  <c r="H32" i="75"/>
  <c r="D32" i="75"/>
  <c r="L32" i="75" s="1"/>
  <c r="T28" i="75"/>
  <c r="Z28" i="75" s="1"/>
  <c r="P28" i="75"/>
  <c r="X28" i="75" s="1"/>
  <c r="H28" i="75"/>
  <c r="N28" i="75" s="1"/>
  <c r="D28" i="75"/>
  <c r="L28" i="75" s="1"/>
  <c r="T26" i="75"/>
  <c r="P26" i="75"/>
  <c r="X26" i="75" s="1"/>
  <c r="N26" i="75"/>
  <c r="L26" i="75"/>
  <c r="H26" i="75"/>
  <c r="D26" i="75"/>
  <c r="B26" i="75"/>
  <c r="T25" i="75"/>
  <c r="P25" i="75"/>
  <c r="L25" i="75"/>
  <c r="H25" i="75"/>
  <c r="N25" i="75" s="1"/>
  <c r="D25" i="75"/>
  <c r="B25" i="75"/>
  <c r="T24" i="75"/>
  <c r="Z24" i="75" s="1"/>
  <c r="P24" i="75"/>
  <c r="X24" i="75" s="1"/>
  <c r="N24" i="75"/>
  <c r="L24" i="75"/>
  <c r="H24" i="75"/>
  <c r="D24" i="75"/>
  <c r="B24" i="75"/>
  <c r="T23" i="75"/>
  <c r="P23" i="75"/>
  <c r="L23" i="75"/>
  <c r="H23" i="75"/>
  <c r="N23" i="75" s="1"/>
  <c r="D23" i="75"/>
  <c r="B23" i="75"/>
  <c r="T22" i="75"/>
  <c r="Z22" i="75" s="1"/>
  <c r="P22" i="75"/>
  <c r="X22" i="75" s="1"/>
  <c r="L22" i="75"/>
  <c r="N22" i="75" s="1"/>
  <c r="H22" i="75"/>
  <c r="D22" i="75"/>
  <c r="B22" i="75"/>
  <c r="T21" i="75"/>
  <c r="P21" i="75"/>
  <c r="L21" i="75"/>
  <c r="H21" i="75"/>
  <c r="N21" i="75" s="1"/>
  <c r="D21" i="75"/>
  <c r="B21" i="75"/>
  <c r="T20" i="75"/>
  <c r="Z20" i="75" s="1"/>
  <c r="P20" i="75"/>
  <c r="X20" i="75" s="1"/>
  <c r="L20" i="75"/>
  <c r="N20" i="75" s="1"/>
  <c r="H20" i="75"/>
  <c r="D20" i="75"/>
  <c r="B20" i="75"/>
  <c r="T19" i="75"/>
  <c r="P19" i="75"/>
  <c r="L19" i="75"/>
  <c r="H19" i="75"/>
  <c r="N19" i="75" s="1"/>
  <c r="D19" i="75"/>
  <c r="B19" i="75"/>
  <c r="T18" i="75"/>
  <c r="Z18" i="75" s="1"/>
  <c r="P18" i="75"/>
  <c r="X18" i="75" s="1"/>
  <c r="L18" i="75"/>
  <c r="N18" i="75" s="1"/>
  <c r="H18" i="75"/>
  <c r="D18" i="75"/>
  <c r="B18" i="75"/>
  <c r="T17" i="75"/>
  <c r="P17" i="75"/>
  <c r="L17" i="75"/>
  <c r="H17" i="75"/>
  <c r="N17" i="75" s="1"/>
  <c r="D17" i="75"/>
  <c r="B17" i="75"/>
  <c r="T16" i="75"/>
  <c r="Z16" i="75" s="1"/>
  <c r="P16" i="75"/>
  <c r="X16" i="75" s="1"/>
  <c r="L16" i="75"/>
  <c r="N16" i="75" s="1"/>
  <c r="H16" i="75"/>
  <c r="D16" i="75"/>
  <c r="B16" i="75"/>
  <c r="T15" i="75"/>
  <c r="P15" i="75"/>
  <c r="L15" i="75"/>
  <c r="H15" i="75"/>
  <c r="N15" i="75" s="1"/>
  <c r="D15" i="75"/>
  <c r="B15" i="75"/>
  <c r="T14" i="75"/>
  <c r="Z14" i="75" s="1"/>
  <c r="P14" i="75"/>
  <c r="X14" i="75" s="1"/>
  <c r="L14" i="75"/>
  <c r="N14" i="75" s="1"/>
  <c r="H14" i="75"/>
  <c r="D14" i="75"/>
  <c r="D12" i="75" s="1"/>
  <c r="B14" i="75"/>
  <c r="T13" i="75"/>
  <c r="P13" i="75"/>
  <c r="L13" i="75"/>
  <c r="H13" i="75"/>
  <c r="H12" i="75" s="1"/>
  <c r="D13" i="75"/>
  <c r="B13" i="75"/>
  <c r="P12" i="75"/>
  <c r="R64" i="75" s="1"/>
  <c r="D6" i="75"/>
  <c r="D4" i="75"/>
  <c r="X134" i="74"/>
  <c r="Z134" i="74" s="1"/>
  <c r="N134" i="74"/>
  <c r="L134" i="74"/>
  <c r="T130" i="74"/>
  <c r="Z130" i="74" s="1"/>
  <c r="P130" i="74"/>
  <c r="H130" i="74"/>
  <c r="N130" i="74" s="1"/>
  <c r="D130" i="74"/>
  <c r="L130" i="74" s="1"/>
  <c r="B130" i="74"/>
  <c r="X129" i="74"/>
  <c r="Z129" i="74" s="1"/>
  <c r="T129" i="74"/>
  <c r="P129" i="74"/>
  <c r="L129" i="74"/>
  <c r="H129" i="74"/>
  <c r="N129" i="74" s="1"/>
  <c r="D129" i="74"/>
  <c r="B129" i="74"/>
  <c r="T128" i="74"/>
  <c r="H128" i="74"/>
  <c r="N128" i="74" s="1"/>
  <c r="Z126" i="74"/>
  <c r="X126" i="74"/>
  <c r="L126" i="74"/>
  <c r="N126" i="74" s="1"/>
  <c r="B126" i="74"/>
  <c r="Z125" i="74"/>
  <c r="X125" i="74"/>
  <c r="N125" i="74"/>
  <c r="L125" i="74"/>
  <c r="B125" i="74"/>
  <c r="T124" i="74"/>
  <c r="P124" i="74"/>
  <c r="H124" i="74"/>
  <c r="D124" i="74"/>
  <c r="B124" i="74"/>
  <c r="X123" i="74"/>
  <c r="Z123" i="74" s="1"/>
  <c r="N123" i="74"/>
  <c r="L123" i="74"/>
  <c r="B123" i="74"/>
  <c r="T122" i="74"/>
  <c r="P122" i="74"/>
  <c r="X122" i="74" s="1"/>
  <c r="H122" i="74"/>
  <c r="N122" i="74" s="1"/>
  <c r="D122" i="74"/>
  <c r="L122" i="74" s="1"/>
  <c r="B122" i="74"/>
  <c r="X121" i="74"/>
  <c r="Z121" i="74" s="1"/>
  <c r="N121" i="74"/>
  <c r="L121" i="74"/>
  <c r="B121" i="74"/>
  <c r="X120" i="74"/>
  <c r="T120" i="74"/>
  <c r="Z120" i="74" s="1"/>
  <c r="P120" i="74"/>
  <c r="L120" i="74"/>
  <c r="N120" i="74" s="1"/>
  <c r="H120" i="74"/>
  <c r="D120" i="74"/>
  <c r="B120" i="74"/>
  <c r="Z119" i="74"/>
  <c r="X119" i="74"/>
  <c r="L119" i="74"/>
  <c r="N119" i="74" s="1"/>
  <c r="B119" i="74"/>
  <c r="Z118" i="74"/>
  <c r="X118" i="74"/>
  <c r="L118" i="74"/>
  <c r="N118" i="74" s="1"/>
  <c r="B118" i="74"/>
  <c r="Z117" i="74"/>
  <c r="X117" i="74"/>
  <c r="N117" i="74"/>
  <c r="L117" i="74"/>
  <c r="B117" i="74"/>
  <c r="Z116" i="74"/>
  <c r="X116" i="74"/>
  <c r="N116" i="74"/>
  <c r="L116" i="74"/>
  <c r="B116" i="74"/>
  <c r="Z115" i="74"/>
  <c r="X115" i="74"/>
  <c r="L115" i="74"/>
  <c r="N115" i="74" s="1"/>
  <c r="B115" i="74"/>
  <c r="T114" i="74"/>
  <c r="P114" i="74"/>
  <c r="N114" i="74"/>
  <c r="H114" i="74"/>
  <c r="L114" i="74" s="1"/>
  <c r="D114" i="74"/>
  <c r="B114" i="74"/>
  <c r="Z113" i="74"/>
  <c r="X113" i="74"/>
  <c r="N113" i="74"/>
  <c r="L113" i="74"/>
  <c r="B113" i="74"/>
  <c r="Z112" i="74"/>
  <c r="X112" i="74"/>
  <c r="N112" i="74"/>
  <c r="L112" i="74"/>
  <c r="B112" i="74"/>
  <c r="T111" i="74"/>
  <c r="P111" i="74"/>
  <c r="X111" i="74" s="1"/>
  <c r="Z111" i="74" s="1"/>
  <c r="N111" i="74"/>
  <c r="H111" i="74"/>
  <c r="D111" i="74"/>
  <c r="L111" i="74" s="1"/>
  <c r="B111" i="74"/>
  <c r="X110" i="74"/>
  <c r="Z110" i="74" s="1"/>
  <c r="N110" i="74"/>
  <c r="L110" i="74"/>
  <c r="B110" i="74"/>
  <c r="X109" i="74"/>
  <c r="Z109" i="74" s="1"/>
  <c r="N109" i="74"/>
  <c r="L109" i="74"/>
  <c r="B109" i="74"/>
  <c r="X108" i="74"/>
  <c r="T108" i="74"/>
  <c r="P108" i="74"/>
  <c r="L108" i="74"/>
  <c r="N108" i="74" s="1"/>
  <c r="H108" i="74"/>
  <c r="D108" i="74"/>
  <c r="B108" i="74"/>
  <c r="Z107" i="74"/>
  <c r="X107" i="74"/>
  <c r="N107" i="74"/>
  <c r="L107" i="74"/>
  <c r="B107" i="74"/>
  <c r="Z106" i="74"/>
  <c r="T106" i="74"/>
  <c r="X106" i="74" s="1"/>
  <c r="P106" i="74"/>
  <c r="N106" i="74"/>
  <c r="H106" i="74"/>
  <c r="L106" i="74" s="1"/>
  <c r="D106" i="74"/>
  <c r="B106" i="74"/>
  <c r="Z105" i="74"/>
  <c r="X105" i="74"/>
  <c r="N105" i="74"/>
  <c r="L105" i="74"/>
  <c r="B105" i="74"/>
  <c r="X104" i="74"/>
  <c r="Z104" i="74" s="1"/>
  <c r="L104" i="74"/>
  <c r="N104" i="74" s="1"/>
  <c r="B104" i="74"/>
  <c r="T103" i="74"/>
  <c r="P103" i="74"/>
  <c r="X103" i="74" s="1"/>
  <c r="Z103" i="74" s="1"/>
  <c r="H103" i="74"/>
  <c r="D103" i="74"/>
  <c r="L103" i="74" s="1"/>
  <c r="N103" i="74" s="1"/>
  <c r="B103" i="74"/>
  <c r="X102" i="74"/>
  <c r="Z102" i="74" s="1"/>
  <c r="N102" i="74"/>
  <c r="L102" i="74"/>
  <c r="B102" i="74"/>
  <c r="X101" i="74"/>
  <c r="T101" i="74"/>
  <c r="P101" i="74"/>
  <c r="N101" i="74"/>
  <c r="L101" i="74"/>
  <c r="H101" i="74"/>
  <c r="D101" i="74"/>
  <c r="B101" i="74"/>
  <c r="Z100" i="74"/>
  <c r="X100" i="74"/>
  <c r="N100" i="74"/>
  <c r="L100" i="74"/>
  <c r="B100" i="74"/>
  <c r="Z99" i="74"/>
  <c r="X99" i="74"/>
  <c r="N99" i="74"/>
  <c r="L99" i="74"/>
  <c r="B99" i="74"/>
  <c r="Z98" i="74"/>
  <c r="T98" i="74"/>
  <c r="X98" i="74" s="1"/>
  <c r="P98" i="74"/>
  <c r="H98" i="74"/>
  <c r="D98" i="74"/>
  <c r="B98" i="74"/>
  <c r="Z97" i="74"/>
  <c r="X97" i="74"/>
  <c r="L97" i="74"/>
  <c r="N97" i="74" s="1"/>
  <c r="B97" i="74"/>
  <c r="T96" i="74"/>
  <c r="Z96" i="74" s="1"/>
  <c r="P96" i="74"/>
  <c r="X96" i="74" s="1"/>
  <c r="J96" i="74"/>
  <c r="H96" i="74"/>
  <c r="D96" i="74"/>
  <c r="L96" i="74" s="1"/>
  <c r="B96" i="74"/>
  <c r="X95" i="74"/>
  <c r="Z95" i="74" s="1"/>
  <c r="N95" i="74"/>
  <c r="L95" i="74"/>
  <c r="B95" i="74"/>
  <c r="Z94" i="74"/>
  <c r="X94" i="74"/>
  <c r="N94" i="74"/>
  <c r="L94" i="74"/>
  <c r="B94" i="74"/>
  <c r="X93" i="74"/>
  <c r="Z93" i="74" s="1"/>
  <c r="N93" i="74"/>
  <c r="L93" i="74"/>
  <c r="B93" i="74"/>
  <c r="X92" i="74"/>
  <c r="Z92" i="74" s="1"/>
  <c r="N92" i="74"/>
  <c r="L92" i="74"/>
  <c r="B92" i="74"/>
  <c r="X91" i="74"/>
  <c r="Z91" i="74" s="1"/>
  <c r="N91" i="74"/>
  <c r="L91" i="74"/>
  <c r="B91" i="74"/>
  <c r="X90" i="74"/>
  <c r="Z90" i="74" s="1"/>
  <c r="L90" i="74"/>
  <c r="N90" i="74" s="1"/>
  <c r="B90" i="74"/>
  <c r="X89" i="74"/>
  <c r="T89" i="74"/>
  <c r="P89" i="74"/>
  <c r="L89" i="74"/>
  <c r="N89" i="74" s="1"/>
  <c r="H89" i="74"/>
  <c r="D89" i="74"/>
  <c r="B89" i="74"/>
  <c r="X88" i="74"/>
  <c r="Z88" i="74" s="1"/>
  <c r="L88" i="74"/>
  <c r="N88" i="74" s="1"/>
  <c r="B88" i="74"/>
  <c r="Z87" i="74"/>
  <c r="X87" i="74"/>
  <c r="N87" i="74"/>
  <c r="L87" i="74"/>
  <c r="B87" i="74"/>
  <c r="Z86" i="74"/>
  <c r="X86" i="74"/>
  <c r="L86" i="74"/>
  <c r="N86" i="74" s="1"/>
  <c r="B86" i="74"/>
  <c r="Z85" i="74"/>
  <c r="X85" i="74"/>
  <c r="N85" i="74"/>
  <c r="L85" i="74"/>
  <c r="B85" i="74"/>
  <c r="X84" i="74"/>
  <c r="Z84" i="74" s="1"/>
  <c r="L84" i="74"/>
  <c r="N84" i="74" s="1"/>
  <c r="B84" i="74"/>
  <c r="Z83" i="74"/>
  <c r="X83" i="74"/>
  <c r="L83" i="74"/>
  <c r="N83" i="74" s="1"/>
  <c r="B83" i="74"/>
  <c r="X82" i="74"/>
  <c r="Z82" i="74" s="1"/>
  <c r="L82" i="74"/>
  <c r="N82" i="74" s="1"/>
  <c r="B82" i="74"/>
  <c r="Z81" i="74"/>
  <c r="X81" i="74"/>
  <c r="N81" i="74"/>
  <c r="L81" i="74"/>
  <c r="B81" i="74"/>
  <c r="T80" i="74"/>
  <c r="X80" i="74" s="1"/>
  <c r="Z80" i="74" s="1"/>
  <c r="P80" i="74"/>
  <c r="H80" i="74"/>
  <c r="D80" i="74"/>
  <c r="B80" i="74"/>
  <c r="T79" i="74"/>
  <c r="P79" i="74"/>
  <c r="X79" i="74" s="1"/>
  <c r="Z79" i="74" s="1"/>
  <c r="H79" i="74"/>
  <c r="D79" i="74"/>
  <c r="L79" i="74" s="1"/>
  <c r="N79" i="74" s="1"/>
  <c r="X75" i="74"/>
  <c r="Z75" i="74" s="1"/>
  <c r="L75" i="74"/>
  <c r="N75" i="74" s="1"/>
  <c r="B75" i="74"/>
  <c r="X74" i="74"/>
  <c r="Z74" i="74" s="1"/>
  <c r="N74" i="74"/>
  <c r="L74" i="74"/>
  <c r="B74" i="74"/>
  <c r="Z73" i="74"/>
  <c r="X73" i="74"/>
  <c r="N73" i="74"/>
  <c r="L73" i="74"/>
  <c r="B73" i="74"/>
  <c r="Z72" i="74"/>
  <c r="X72" i="74"/>
  <c r="N72" i="74"/>
  <c r="L72" i="74"/>
  <c r="J72" i="74"/>
  <c r="B72" i="74"/>
  <c r="Z71" i="74"/>
  <c r="X71" i="74"/>
  <c r="L71" i="74"/>
  <c r="N71" i="74" s="1"/>
  <c r="B71" i="74"/>
  <c r="Z70" i="74"/>
  <c r="X70" i="74"/>
  <c r="N70" i="74"/>
  <c r="L70" i="74"/>
  <c r="B70" i="74"/>
  <c r="Z69" i="74"/>
  <c r="X69" i="74"/>
  <c r="N69" i="74"/>
  <c r="L69" i="74"/>
  <c r="B69" i="74"/>
  <c r="Z68" i="74"/>
  <c r="X68" i="74"/>
  <c r="N68" i="74"/>
  <c r="L68" i="74"/>
  <c r="B68" i="74"/>
  <c r="Z67" i="74"/>
  <c r="X67" i="74"/>
  <c r="N67" i="74"/>
  <c r="L67" i="74"/>
  <c r="B67" i="74"/>
  <c r="X66" i="74"/>
  <c r="Z66" i="74" s="1"/>
  <c r="N66" i="74"/>
  <c r="L66" i="74"/>
  <c r="B66" i="74"/>
  <c r="Z65" i="74"/>
  <c r="X65" i="74"/>
  <c r="L65" i="74"/>
  <c r="N65" i="74" s="1"/>
  <c r="B65" i="74"/>
  <c r="Z64" i="74"/>
  <c r="X64" i="74"/>
  <c r="L64" i="74"/>
  <c r="N64" i="74" s="1"/>
  <c r="B64" i="74"/>
  <c r="Z63" i="74"/>
  <c r="X63" i="74"/>
  <c r="N63" i="74"/>
  <c r="L63" i="74"/>
  <c r="B63" i="74"/>
  <c r="X62" i="74"/>
  <c r="Z62" i="74" s="1"/>
  <c r="N62" i="74"/>
  <c r="L62" i="74"/>
  <c r="B62" i="74"/>
  <c r="Z61" i="74"/>
  <c r="X61" i="74"/>
  <c r="N61" i="74"/>
  <c r="L61" i="74"/>
  <c r="B61" i="74"/>
  <c r="Z60" i="74"/>
  <c r="X60" i="74"/>
  <c r="L60" i="74"/>
  <c r="N60" i="74" s="1"/>
  <c r="B60" i="74"/>
  <c r="X59" i="74"/>
  <c r="Z59" i="74" s="1"/>
  <c r="N59" i="74"/>
  <c r="L59" i="74"/>
  <c r="B59" i="74"/>
  <c r="Z58" i="74"/>
  <c r="X58" i="74"/>
  <c r="L58" i="74"/>
  <c r="N58" i="74" s="1"/>
  <c r="B58" i="74"/>
  <c r="Z57" i="74"/>
  <c r="X57" i="74"/>
  <c r="N57" i="74"/>
  <c r="L57" i="74"/>
  <c r="B57" i="74"/>
  <c r="Z56" i="74"/>
  <c r="X56" i="74"/>
  <c r="N56" i="74"/>
  <c r="L56" i="74"/>
  <c r="B56" i="74"/>
  <c r="Z55" i="74"/>
  <c r="X55" i="74"/>
  <c r="N55" i="74"/>
  <c r="L55" i="74"/>
  <c r="B55" i="74"/>
  <c r="Z54" i="74"/>
  <c r="X54" i="74"/>
  <c r="N54" i="74"/>
  <c r="L54" i="74"/>
  <c r="B54" i="74"/>
  <c r="Z53" i="74"/>
  <c r="X53" i="74"/>
  <c r="N53" i="74"/>
  <c r="L53" i="74"/>
  <c r="B53" i="74"/>
  <c r="X52" i="74"/>
  <c r="T52" i="74"/>
  <c r="P52" i="74"/>
  <c r="H52" i="74"/>
  <c r="D52" i="74"/>
  <c r="L52" i="74" s="1"/>
  <c r="N52" i="74" s="1"/>
  <c r="X50" i="74"/>
  <c r="T50" i="74"/>
  <c r="P50" i="74"/>
  <c r="H50" i="74"/>
  <c r="L50" i="74" s="1"/>
  <c r="D50" i="74"/>
  <c r="B50" i="74"/>
  <c r="T49" i="74"/>
  <c r="P49" i="74"/>
  <c r="N49" i="74"/>
  <c r="H49" i="74"/>
  <c r="D49" i="74"/>
  <c r="L49" i="74" s="1"/>
  <c r="B49" i="74"/>
  <c r="T48" i="74"/>
  <c r="X48" i="74" s="1"/>
  <c r="Z48" i="74" s="1"/>
  <c r="P48" i="74"/>
  <c r="H48" i="74"/>
  <c r="D48" i="74"/>
  <c r="L48" i="74" s="1"/>
  <c r="N48" i="74" s="1"/>
  <c r="B48" i="74"/>
  <c r="T47" i="74"/>
  <c r="P47" i="74"/>
  <c r="X47" i="74" s="1"/>
  <c r="Z47" i="74" s="1"/>
  <c r="L47" i="74"/>
  <c r="N47" i="74" s="1"/>
  <c r="H47" i="74"/>
  <c r="D47" i="74"/>
  <c r="B47" i="74"/>
  <c r="X46" i="74"/>
  <c r="T46" i="74"/>
  <c r="Z46" i="74" s="1"/>
  <c r="P46" i="74"/>
  <c r="H46" i="74"/>
  <c r="L46" i="74" s="1"/>
  <c r="D46" i="74"/>
  <c r="B46" i="74"/>
  <c r="T45" i="74"/>
  <c r="P45" i="74"/>
  <c r="N45" i="74"/>
  <c r="H45" i="74"/>
  <c r="D45" i="74"/>
  <c r="L45" i="74" s="1"/>
  <c r="B45" i="74"/>
  <c r="T44" i="74"/>
  <c r="X44" i="74" s="1"/>
  <c r="Z44" i="74" s="1"/>
  <c r="P44" i="74"/>
  <c r="H44" i="74"/>
  <c r="D44" i="74"/>
  <c r="L44" i="74" s="1"/>
  <c r="N44" i="74" s="1"/>
  <c r="B44" i="74"/>
  <c r="T43" i="74"/>
  <c r="P43" i="74"/>
  <c r="X43" i="74" s="1"/>
  <c r="Z43" i="74" s="1"/>
  <c r="L43" i="74"/>
  <c r="N43" i="74" s="1"/>
  <c r="H43" i="74"/>
  <c r="D43" i="74"/>
  <c r="B43" i="74"/>
  <c r="X42" i="74"/>
  <c r="T42" i="74"/>
  <c r="P42" i="74"/>
  <c r="H42" i="74"/>
  <c r="L42" i="74" s="1"/>
  <c r="D42" i="74"/>
  <c r="B42" i="74"/>
  <c r="T41" i="74"/>
  <c r="Z41" i="74" s="1"/>
  <c r="P41" i="74"/>
  <c r="N41" i="74"/>
  <c r="H41" i="74"/>
  <c r="D41" i="74"/>
  <c r="L41" i="74" s="1"/>
  <c r="B41" i="74"/>
  <c r="Z40" i="74"/>
  <c r="T40" i="74"/>
  <c r="X40" i="74" s="1"/>
  <c r="P40" i="74"/>
  <c r="N40" i="74"/>
  <c r="H40" i="74"/>
  <c r="D40" i="74"/>
  <c r="L40" i="74" s="1"/>
  <c r="B40" i="74"/>
  <c r="Z39" i="74"/>
  <c r="T39" i="74"/>
  <c r="P39" i="74"/>
  <c r="X39" i="74" s="1"/>
  <c r="N39" i="74"/>
  <c r="L39" i="74"/>
  <c r="H39" i="74"/>
  <c r="D39" i="74"/>
  <c r="B39" i="74"/>
  <c r="X38" i="74"/>
  <c r="T38" i="74"/>
  <c r="Z38" i="74" s="1"/>
  <c r="P38" i="74"/>
  <c r="H38" i="74"/>
  <c r="L38" i="74" s="1"/>
  <c r="D38" i="74"/>
  <c r="B38" i="74"/>
  <c r="T37" i="74"/>
  <c r="P37" i="74"/>
  <c r="H37" i="74"/>
  <c r="D37" i="74"/>
  <c r="L37" i="74" s="1"/>
  <c r="N37" i="74" s="1"/>
  <c r="B37" i="74"/>
  <c r="Z36" i="74"/>
  <c r="T36" i="74"/>
  <c r="X36" i="74" s="1"/>
  <c r="P36" i="74"/>
  <c r="N36" i="74"/>
  <c r="H36" i="74"/>
  <c r="D36" i="74"/>
  <c r="L36" i="74" s="1"/>
  <c r="B36" i="74"/>
  <c r="T35" i="74"/>
  <c r="P35" i="74"/>
  <c r="X35" i="74" s="1"/>
  <c r="Z35" i="74" s="1"/>
  <c r="L35" i="74"/>
  <c r="N35" i="74" s="1"/>
  <c r="H35" i="74"/>
  <c r="D35" i="74"/>
  <c r="B35" i="74"/>
  <c r="X34" i="74"/>
  <c r="T34" i="74"/>
  <c r="P34" i="74"/>
  <c r="H34" i="74"/>
  <c r="L34" i="74" s="1"/>
  <c r="D34" i="74"/>
  <c r="B34" i="74"/>
  <c r="T33" i="74"/>
  <c r="P33" i="74"/>
  <c r="H33" i="74"/>
  <c r="D33" i="74"/>
  <c r="L33" i="74" s="1"/>
  <c r="N33" i="74" s="1"/>
  <c r="B33" i="74"/>
  <c r="Z32" i="74"/>
  <c r="T32" i="74"/>
  <c r="X32" i="74" s="1"/>
  <c r="P32" i="74"/>
  <c r="N32" i="74"/>
  <c r="H32" i="74"/>
  <c r="D32" i="74"/>
  <c r="L32" i="74" s="1"/>
  <c r="B32" i="74"/>
  <c r="Z31" i="74"/>
  <c r="T31" i="74"/>
  <c r="P31" i="74"/>
  <c r="X31" i="74" s="1"/>
  <c r="N31" i="74"/>
  <c r="L31" i="74"/>
  <c r="H31" i="74"/>
  <c r="D31" i="74"/>
  <c r="B31" i="74"/>
  <c r="X30" i="74"/>
  <c r="T30" i="74"/>
  <c r="Z30" i="74" s="1"/>
  <c r="P30" i="74"/>
  <c r="H30" i="74"/>
  <c r="L30" i="74" s="1"/>
  <c r="D30" i="74"/>
  <c r="B30" i="74"/>
  <c r="T29" i="74"/>
  <c r="Z29" i="74" s="1"/>
  <c r="P29" i="74"/>
  <c r="N29" i="74"/>
  <c r="H29" i="74"/>
  <c r="D29" i="74"/>
  <c r="L29" i="74" s="1"/>
  <c r="B29" i="74"/>
  <c r="Z28" i="74"/>
  <c r="T28" i="74"/>
  <c r="X28" i="74" s="1"/>
  <c r="P28" i="74"/>
  <c r="N28" i="74"/>
  <c r="H28" i="74"/>
  <c r="D28" i="74"/>
  <c r="L28" i="74" s="1"/>
  <c r="B28" i="74"/>
  <c r="Z27" i="74"/>
  <c r="T27" i="74"/>
  <c r="P27" i="74"/>
  <c r="X27" i="74" s="1"/>
  <c r="N27" i="74"/>
  <c r="L27" i="74"/>
  <c r="H27" i="74"/>
  <c r="D27" i="74"/>
  <c r="B27" i="74"/>
  <c r="X26" i="74"/>
  <c r="T26" i="74"/>
  <c r="Z26" i="74" s="1"/>
  <c r="P26" i="74"/>
  <c r="H26" i="74"/>
  <c r="L26" i="74" s="1"/>
  <c r="D26" i="74"/>
  <c r="B26" i="74"/>
  <c r="T25" i="74"/>
  <c r="Z25" i="74" s="1"/>
  <c r="P25" i="74"/>
  <c r="N25" i="74"/>
  <c r="H25" i="74"/>
  <c r="L25" i="74" s="1"/>
  <c r="D25" i="74"/>
  <c r="B25" i="74"/>
  <c r="T24" i="74"/>
  <c r="X24" i="74" s="1"/>
  <c r="Z24" i="74" s="1"/>
  <c r="P24" i="74"/>
  <c r="H24" i="74"/>
  <c r="D24" i="74"/>
  <c r="L24" i="74" s="1"/>
  <c r="N24" i="74" s="1"/>
  <c r="B24" i="74"/>
  <c r="T23" i="74"/>
  <c r="P23" i="74"/>
  <c r="X23" i="74" s="1"/>
  <c r="Z23" i="74" s="1"/>
  <c r="L23" i="74"/>
  <c r="N23" i="74" s="1"/>
  <c r="H23" i="74"/>
  <c r="D23" i="74"/>
  <c r="B23" i="74"/>
  <c r="X22" i="74"/>
  <c r="T22" i="74"/>
  <c r="P22" i="74"/>
  <c r="H22" i="74"/>
  <c r="L22" i="74" s="1"/>
  <c r="D22" i="74"/>
  <c r="B22" i="74"/>
  <c r="T21" i="74"/>
  <c r="P21" i="74"/>
  <c r="N21" i="74"/>
  <c r="H21" i="74"/>
  <c r="L21" i="74" s="1"/>
  <c r="D21" i="74"/>
  <c r="B21" i="74"/>
  <c r="T20" i="74"/>
  <c r="X20" i="74" s="1"/>
  <c r="Z20" i="74" s="1"/>
  <c r="P20" i="74"/>
  <c r="H20" i="74"/>
  <c r="D20" i="74"/>
  <c r="L20" i="74" s="1"/>
  <c r="N20" i="74" s="1"/>
  <c r="B20" i="74"/>
  <c r="T19" i="74"/>
  <c r="P19" i="74"/>
  <c r="X19" i="74" s="1"/>
  <c r="Z19" i="74" s="1"/>
  <c r="L19" i="74"/>
  <c r="N19" i="74" s="1"/>
  <c r="H19" i="74"/>
  <c r="D19" i="74"/>
  <c r="B19" i="74"/>
  <c r="X18" i="74"/>
  <c r="T18" i="74"/>
  <c r="Z18" i="74" s="1"/>
  <c r="P18" i="74"/>
  <c r="H18" i="74"/>
  <c r="L18" i="74" s="1"/>
  <c r="D18" i="74"/>
  <c r="B18" i="74"/>
  <c r="T17" i="74"/>
  <c r="Z17" i="74" s="1"/>
  <c r="P17" i="74"/>
  <c r="N17" i="74"/>
  <c r="H17" i="74"/>
  <c r="L17" i="74" s="1"/>
  <c r="D17" i="74"/>
  <c r="B17" i="74"/>
  <c r="Z16" i="74"/>
  <c r="T16" i="74"/>
  <c r="X16" i="74" s="1"/>
  <c r="P16" i="74"/>
  <c r="N16" i="74"/>
  <c r="H16" i="74"/>
  <c r="D16" i="74"/>
  <c r="L16" i="74" s="1"/>
  <c r="B16" i="74"/>
  <c r="Z15" i="74"/>
  <c r="T15" i="74"/>
  <c r="P15" i="74"/>
  <c r="X15" i="74" s="1"/>
  <c r="N15" i="74"/>
  <c r="L15" i="74"/>
  <c r="H15" i="74"/>
  <c r="D15" i="74"/>
  <c r="B15" i="74"/>
  <c r="X14" i="74"/>
  <c r="T14" i="74"/>
  <c r="Z14" i="74" s="1"/>
  <c r="P14" i="74"/>
  <c r="H14" i="74"/>
  <c r="L14" i="74" s="1"/>
  <c r="D14" i="74"/>
  <c r="B14" i="74"/>
  <c r="T13" i="74"/>
  <c r="T12" i="74" s="1"/>
  <c r="V112" i="74" s="1"/>
  <c r="P13" i="74"/>
  <c r="P12" i="74" s="1"/>
  <c r="R116" i="74" s="1"/>
  <c r="N13" i="74"/>
  <c r="H13" i="74"/>
  <c r="H12" i="74" s="1"/>
  <c r="J62" i="74" s="1"/>
  <c r="D13" i="74"/>
  <c r="B13" i="74"/>
  <c r="D6" i="74"/>
  <c r="D4" i="74"/>
  <c r="X85" i="73"/>
  <c r="Z85" i="73" s="1"/>
  <c r="N85" i="73"/>
  <c r="L85" i="73"/>
  <c r="X81" i="73"/>
  <c r="T81" i="73"/>
  <c r="Z81" i="73" s="1"/>
  <c r="P81" i="73"/>
  <c r="N81" i="73"/>
  <c r="H81" i="73"/>
  <c r="D81" i="73"/>
  <c r="L81" i="73" s="1"/>
  <c r="X79" i="73"/>
  <c r="Z79" i="73" s="1"/>
  <c r="N79" i="73"/>
  <c r="L79" i="73"/>
  <c r="B79" i="73"/>
  <c r="T78" i="73"/>
  <c r="P78" i="73"/>
  <c r="X78" i="73" s="1"/>
  <c r="H78" i="73"/>
  <c r="N78" i="73" s="1"/>
  <c r="D78" i="73"/>
  <c r="L78" i="73" s="1"/>
  <c r="B78" i="73"/>
  <c r="X77" i="73"/>
  <c r="Z77" i="73" s="1"/>
  <c r="L77" i="73"/>
  <c r="N77" i="73" s="1"/>
  <c r="B77" i="73"/>
  <c r="X76" i="73"/>
  <c r="T76" i="73"/>
  <c r="Z76" i="73" s="1"/>
  <c r="P76" i="73"/>
  <c r="H76" i="73"/>
  <c r="D76" i="73"/>
  <c r="L76" i="73" s="1"/>
  <c r="N76" i="73" s="1"/>
  <c r="B76" i="73"/>
  <c r="Z75" i="73"/>
  <c r="X75" i="73"/>
  <c r="N75" i="73"/>
  <c r="L75" i="73"/>
  <c r="B75" i="73"/>
  <c r="X74" i="73"/>
  <c r="T74" i="73"/>
  <c r="Z74" i="73" s="1"/>
  <c r="P74" i="73"/>
  <c r="N74" i="73"/>
  <c r="J74" i="73"/>
  <c r="H74" i="73"/>
  <c r="D74" i="73"/>
  <c r="L74" i="73" s="1"/>
  <c r="B74" i="73"/>
  <c r="Z73" i="73"/>
  <c r="X73" i="73"/>
  <c r="N73" i="73"/>
  <c r="L73" i="73"/>
  <c r="B73" i="73"/>
  <c r="T72" i="73"/>
  <c r="Z72" i="73" s="1"/>
  <c r="P72" i="73"/>
  <c r="X72" i="73" s="1"/>
  <c r="H72" i="73"/>
  <c r="N72" i="73" s="1"/>
  <c r="F72" i="73"/>
  <c r="D72" i="73"/>
  <c r="L72" i="73" s="1"/>
  <c r="B72" i="73"/>
  <c r="Z71" i="73"/>
  <c r="X71" i="73"/>
  <c r="N71" i="73"/>
  <c r="L71" i="73"/>
  <c r="B71" i="73"/>
  <c r="Z70" i="73"/>
  <c r="X70" i="73"/>
  <c r="L70" i="73"/>
  <c r="N70" i="73" s="1"/>
  <c r="B70" i="73"/>
  <c r="T69" i="73"/>
  <c r="P69" i="73"/>
  <c r="N69" i="73"/>
  <c r="L69" i="73"/>
  <c r="H69" i="73"/>
  <c r="D69" i="73"/>
  <c r="B69" i="73"/>
  <c r="Z68" i="73"/>
  <c r="X68" i="73"/>
  <c r="N68" i="73"/>
  <c r="L68" i="73"/>
  <c r="B68" i="73"/>
  <c r="T67" i="73"/>
  <c r="Z67" i="73" s="1"/>
  <c r="P67" i="73"/>
  <c r="X67" i="73" s="1"/>
  <c r="L67" i="73"/>
  <c r="N67" i="73" s="1"/>
  <c r="H67" i="73"/>
  <c r="D67" i="73"/>
  <c r="B67" i="73"/>
  <c r="X66" i="73"/>
  <c r="Z66" i="73" s="1"/>
  <c r="N66" i="73"/>
  <c r="L66" i="73"/>
  <c r="B66" i="73"/>
  <c r="Z65" i="73"/>
  <c r="X65" i="73"/>
  <c r="N65" i="73"/>
  <c r="L65" i="73"/>
  <c r="B65" i="73"/>
  <c r="Z64" i="73"/>
  <c r="X64" i="73"/>
  <c r="L64" i="73"/>
  <c r="N64" i="73" s="1"/>
  <c r="B64" i="73"/>
  <c r="X63" i="73"/>
  <c r="T63" i="73"/>
  <c r="P63" i="73"/>
  <c r="H63" i="73"/>
  <c r="D63" i="73"/>
  <c r="L63" i="73" s="1"/>
  <c r="N63" i="73" s="1"/>
  <c r="B63" i="73"/>
  <c r="Z62" i="73"/>
  <c r="X62" i="73"/>
  <c r="L62" i="73"/>
  <c r="N62" i="73" s="1"/>
  <c r="B62" i="73"/>
  <c r="X61" i="73"/>
  <c r="Z61" i="73" s="1"/>
  <c r="L61" i="73"/>
  <c r="N61" i="73" s="1"/>
  <c r="B61" i="73"/>
  <c r="X60" i="73"/>
  <c r="Z60" i="73" s="1"/>
  <c r="N60" i="73"/>
  <c r="L60" i="73"/>
  <c r="J60" i="73"/>
  <c r="B60" i="73"/>
  <c r="Z59" i="73"/>
  <c r="X59" i="73"/>
  <c r="N59" i="73"/>
  <c r="L59" i="73"/>
  <c r="B59" i="73"/>
  <c r="Z58" i="73"/>
  <c r="X58" i="73"/>
  <c r="L58" i="73"/>
  <c r="N58" i="73" s="1"/>
  <c r="B58" i="73"/>
  <c r="X57" i="73"/>
  <c r="Z57" i="73" s="1"/>
  <c r="L57" i="73"/>
  <c r="N57" i="73" s="1"/>
  <c r="B57" i="73"/>
  <c r="X56" i="73"/>
  <c r="Z56" i="73" s="1"/>
  <c r="N56" i="73"/>
  <c r="L56" i="73"/>
  <c r="J56" i="73"/>
  <c r="B56" i="73"/>
  <c r="Z55" i="73"/>
  <c r="X55" i="73"/>
  <c r="N55" i="73"/>
  <c r="L55" i="73"/>
  <c r="B55" i="73"/>
  <c r="T54" i="73"/>
  <c r="P54" i="73"/>
  <c r="X54" i="73" s="1"/>
  <c r="Z54" i="73" s="1"/>
  <c r="L54" i="73"/>
  <c r="H54" i="73"/>
  <c r="N54" i="73" s="1"/>
  <c r="D54" i="73"/>
  <c r="B54" i="73"/>
  <c r="X53" i="73"/>
  <c r="Z53" i="73" s="1"/>
  <c r="T53" i="73"/>
  <c r="P53" i="73"/>
  <c r="H53" i="73"/>
  <c r="D53" i="73"/>
  <c r="L53" i="73" s="1"/>
  <c r="X49" i="73"/>
  <c r="Z49" i="73" s="1"/>
  <c r="N49" i="73"/>
  <c r="L49" i="73"/>
  <c r="B49" i="73"/>
  <c r="Z48" i="73"/>
  <c r="X48" i="73"/>
  <c r="N48" i="73"/>
  <c r="L48" i="73"/>
  <c r="B48" i="73"/>
  <c r="Z47" i="73"/>
  <c r="X47" i="73"/>
  <c r="N47" i="73"/>
  <c r="L47" i="73"/>
  <c r="B47" i="73"/>
  <c r="X46" i="73"/>
  <c r="Z46" i="73" s="1"/>
  <c r="N46" i="73"/>
  <c r="L46" i="73"/>
  <c r="B46" i="73"/>
  <c r="X45" i="73"/>
  <c r="Z45" i="73" s="1"/>
  <c r="N45" i="73"/>
  <c r="L45" i="73"/>
  <c r="B45" i="73"/>
  <c r="Z44" i="73"/>
  <c r="X44" i="73"/>
  <c r="N44" i="73"/>
  <c r="L44" i="73"/>
  <c r="B44" i="73"/>
  <c r="Z43" i="73"/>
  <c r="X43" i="73"/>
  <c r="L43" i="73"/>
  <c r="N43" i="73" s="1"/>
  <c r="B43" i="73"/>
  <c r="X42" i="73"/>
  <c r="Z42" i="73" s="1"/>
  <c r="N42" i="73"/>
  <c r="L42" i="73"/>
  <c r="B42" i="73"/>
  <c r="X41" i="73"/>
  <c r="Z41" i="73" s="1"/>
  <c r="N41" i="73"/>
  <c r="L41" i="73"/>
  <c r="B41" i="73"/>
  <c r="Z40" i="73"/>
  <c r="X40" i="73"/>
  <c r="N40" i="73"/>
  <c r="L40" i="73"/>
  <c r="B40" i="73"/>
  <c r="Z39" i="73"/>
  <c r="X39" i="73"/>
  <c r="L39" i="73"/>
  <c r="N39" i="73" s="1"/>
  <c r="B39" i="73"/>
  <c r="X38" i="73"/>
  <c r="Z38" i="73" s="1"/>
  <c r="L38" i="73"/>
  <c r="N38" i="73" s="1"/>
  <c r="B38" i="73"/>
  <c r="X37" i="73"/>
  <c r="Z37" i="73" s="1"/>
  <c r="N37" i="73"/>
  <c r="L37" i="73"/>
  <c r="B37" i="73"/>
  <c r="Z36" i="73"/>
  <c r="X36" i="73"/>
  <c r="N36" i="73"/>
  <c r="L36" i="73"/>
  <c r="B36" i="73"/>
  <c r="Z35" i="73"/>
  <c r="X35" i="73"/>
  <c r="N35" i="73"/>
  <c r="L35" i="73"/>
  <c r="B35" i="73"/>
  <c r="X34" i="73"/>
  <c r="T34" i="73"/>
  <c r="Z34" i="73" s="1"/>
  <c r="P34" i="73"/>
  <c r="N34" i="73"/>
  <c r="L34" i="73"/>
  <c r="J34" i="73"/>
  <c r="H34" i="73"/>
  <c r="D34" i="73"/>
  <c r="X32" i="73"/>
  <c r="T32" i="73"/>
  <c r="Z32" i="73" s="1"/>
  <c r="P32" i="73"/>
  <c r="H32" i="73"/>
  <c r="N32" i="73" s="1"/>
  <c r="D32" i="73"/>
  <c r="L32" i="73" s="1"/>
  <c r="B32" i="73"/>
  <c r="X31" i="73"/>
  <c r="T31" i="73"/>
  <c r="Z31" i="73" s="1"/>
  <c r="P31" i="73"/>
  <c r="H31" i="73"/>
  <c r="L31" i="73" s="1"/>
  <c r="N31" i="73" s="1"/>
  <c r="D31" i="73"/>
  <c r="B31" i="73"/>
  <c r="T30" i="73"/>
  <c r="P30" i="73"/>
  <c r="H30" i="73"/>
  <c r="D30" i="73"/>
  <c r="L30" i="73" s="1"/>
  <c r="N30" i="73" s="1"/>
  <c r="B30" i="73"/>
  <c r="T29" i="73"/>
  <c r="P29" i="73"/>
  <c r="X29" i="73" s="1"/>
  <c r="Z29" i="73" s="1"/>
  <c r="L29" i="73"/>
  <c r="N29" i="73" s="1"/>
  <c r="H29" i="73"/>
  <c r="D29" i="73"/>
  <c r="B29" i="73"/>
  <c r="X28" i="73"/>
  <c r="T28" i="73"/>
  <c r="Z28" i="73" s="1"/>
  <c r="P28" i="73"/>
  <c r="H28" i="73"/>
  <c r="D28" i="73"/>
  <c r="L28" i="73" s="1"/>
  <c r="B28" i="73"/>
  <c r="X27" i="73"/>
  <c r="T27" i="73"/>
  <c r="Z27" i="73" s="1"/>
  <c r="P27" i="73"/>
  <c r="N27" i="73"/>
  <c r="H27" i="73"/>
  <c r="L27" i="73" s="1"/>
  <c r="D27" i="73"/>
  <c r="B27" i="73"/>
  <c r="T26" i="73"/>
  <c r="P26" i="73"/>
  <c r="N26" i="73"/>
  <c r="H26" i="73"/>
  <c r="D26" i="73"/>
  <c r="L26" i="73" s="1"/>
  <c r="B26" i="73"/>
  <c r="T25" i="73"/>
  <c r="P25" i="73"/>
  <c r="X25" i="73" s="1"/>
  <c r="Z25" i="73" s="1"/>
  <c r="L25" i="73"/>
  <c r="N25" i="73" s="1"/>
  <c r="H25" i="73"/>
  <c r="D25" i="73"/>
  <c r="B25" i="73"/>
  <c r="X24" i="73"/>
  <c r="T24" i="73"/>
  <c r="Z24" i="73" s="1"/>
  <c r="P24" i="73"/>
  <c r="H24" i="73"/>
  <c r="N24" i="73" s="1"/>
  <c r="D24" i="73"/>
  <c r="L24" i="73" s="1"/>
  <c r="B24" i="73"/>
  <c r="X23" i="73"/>
  <c r="T23" i="73"/>
  <c r="Z23" i="73" s="1"/>
  <c r="P23" i="73"/>
  <c r="H23" i="73"/>
  <c r="L23" i="73" s="1"/>
  <c r="N23" i="73" s="1"/>
  <c r="D23" i="73"/>
  <c r="B23" i="73"/>
  <c r="T22" i="73"/>
  <c r="P22" i="73"/>
  <c r="H22" i="73"/>
  <c r="D22" i="73"/>
  <c r="L22" i="73" s="1"/>
  <c r="N22" i="73" s="1"/>
  <c r="B22" i="73"/>
  <c r="T21" i="73"/>
  <c r="P21" i="73"/>
  <c r="X21" i="73" s="1"/>
  <c r="Z21" i="73" s="1"/>
  <c r="L21" i="73"/>
  <c r="N21" i="73" s="1"/>
  <c r="H21" i="73"/>
  <c r="D21" i="73"/>
  <c r="B21" i="73"/>
  <c r="X20" i="73"/>
  <c r="T20" i="73"/>
  <c r="Z20" i="73" s="1"/>
  <c r="P20" i="73"/>
  <c r="H20" i="73"/>
  <c r="D20" i="73"/>
  <c r="L20" i="73" s="1"/>
  <c r="B20" i="73"/>
  <c r="X19" i="73"/>
  <c r="T19" i="73"/>
  <c r="Z19" i="73" s="1"/>
  <c r="P19" i="73"/>
  <c r="N19" i="73"/>
  <c r="H19" i="73"/>
  <c r="L19" i="73" s="1"/>
  <c r="D19" i="73"/>
  <c r="B19" i="73"/>
  <c r="T18" i="73"/>
  <c r="P18" i="73"/>
  <c r="H18" i="73"/>
  <c r="D18" i="73"/>
  <c r="L18" i="73" s="1"/>
  <c r="N18" i="73" s="1"/>
  <c r="B18" i="73"/>
  <c r="T17" i="73"/>
  <c r="P17" i="73"/>
  <c r="X17" i="73" s="1"/>
  <c r="Z17" i="73" s="1"/>
  <c r="L17" i="73"/>
  <c r="N17" i="73" s="1"/>
  <c r="H17" i="73"/>
  <c r="D17" i="73"/>
  <c r="B17" i="73"/>
  <c r="X16" i="73"/>
  <c r="T16" i="73"/>
  <c r="Z16" i="73" s="1"/>
  <c r="P16" i="73"/>
  <c r="H16" i="73"/>
  <c r="D16" i="73"/>
  <c r="L16" i="73" s="1"/>
  <c r="B16" i="73"/>
  <c r="X15" i="73"/>
  <c r="T15" i="73"/>
  <c r="Z15" i="73" s="1"/>
  <c r="P15" i="73"/>
  <c r="H15" i="73"/>
  <c r="L15" i="73" s="1"/>
  <c r="N15" i="73" s="1"/>
  <c r="D15" i="73"/>
  <c r="B15" i="73"/>
  <c r="T14" i="73"/>
  <c r="P14" i="73"/>
  <c r="N14" i="73"/>
  <c r="H14" i="73"/>
  <c r="D14" i="73"/>
  <c r="L14" i="73" s="1"/>
  <c r="B14" i="73"/>
  <c r="T13" i="73"/>
  <c r="P13" i="73"/>
  <c r="P12" i="73" s="1"/>
  <c r="L13" i="73"/>
  <c r="N13" i="73" s="1"/>
  <c r="H13" i="73"/>
  <c r="D13" i="73"/>
  <c r="D12" i="73" s="1"/>
  <c r="F73" i="73" s="1"/>
  <c r="B13" i="73"/>
  <c r="H12" i="73"/>
  <c r="J78" i="73" s="1"/>
  <c r="D6" i="73"/>
  <c r="D4" i="73"/>
  <c r="Z75" i="72"/>
  <c r="X75" i="72"/>
  <c r="L75" i="72"/>
  <c r="N75" i="72" s="1"/>
  <c r="Z71" i="72"/>
  <c r="T71" i="72"/>
  <c r="P71" i="72"/>
  <c r="X71" i="72" s="1"/>
  <c r="L71" i="72"/>
  <c r="H71" i="72"/>
  <c r="N71" i="72" s="1"/>
  <c r="D71" i="72"/>
  <c r="Z69" i="72"/>
  <c r="X69" i="72"/>
  <c r="N69" i="72"/>
  <c r="L69" i="72"/>
  <c r="B69" i="72"/>
  <c r="T68" i="72"/>
  <c r="P68" i="72"/>
  <c r="X68" i="72" s="1"/>
  <c r="N68" i="72"/>
  <c r="L68" i="72"/>
  <c r="H68" i="72"/>
  <c r="D68" i="72"/>
  <c r="B68" i="72"/>
  <c r="X67" i="72"/>
  <c r="Z67" i="72" s="1"/>
  <c r="N67" i="72"/>
  <c r="L67" i="72"/>
  <c r="B67" i="72"/>
  <c r="T66" i="72"/>
  <c r="P66" i="72"/>
  <c r="X66" i="72" s="1"/>
  <c r="Z66" i="72" s="1"/>
  <c r="L66" i="72"/>
  <c r="H66" i="72"/>
  <c r="N66" i="72" s="1"/>
  <c r="D66" i="72"/>
  <c r="B66" i="72"/>
  <c r="X65" i="72"/>
  <c r="Z65" i="72" s="1"/>
  <c r="N65" i="72"/>
  <c r="L65" i="72"/>
  <c r="B65" i="72"/>
  <c r="Z64" i="72"/>
  <c r="X64" i="72"/>
  <c r="N64" i="72"/>
  <c r="L64" i="72"/>
  <c r="B64" i="72"/>
  <c r="Z63" i="72"/>
  <c r="X63" i="72"/>
  <c r="N63" i="72"/>
  <c r="L63" i="72"/>
  <c r="B63" i="72"/>
  <c r="X62" i="72"/>
  <c r="Z62" i="72" s="1"/>
  <c r="N62" i="72"/>
  <c r="L62" i="72"/>
  <c r="B62" i="72"/>
  <c r="X61" i="72"/>
  <c r="Z61" i="72" s="1"/>
  <c r="N61" i="72"/>
  <c r="L61" i="72"/>
  <c r="B61" i="72"/>
  <c r="T60" i="72"/>
  <c r="X60" i="72" s="1"/>
  <c r="Z60" i="72" s="1"/>
  <c r="P60" i="72"/>
  <c r="H60" i="72"/>
  <c r="D60" i="72"/>
  <c r="B60" i="72"/>
  <c r="X59" i="72"/>
  <c r="Z59" i="72" s="1"/>
  <c r="L59" i="72"/>
  <c r="N59" i="72" s="1"/>
  <c r="B59" i="72"/>
  <c r="X58" i="72"/>
  <c r="Z58" i="72" s="1"/>
  <c r="T58" i="72"/>
  <c r="P58" i="72"/>
  <c r="H58" i="72"/>
  <c r="D58" i="72"/>
  <c r="L58" i="72" s="1"/>
  <c r="B58" i="72"/>
  <c r="Z57" i="72"/>
  <c r="X57" i="72"/>
  <c r="N57" i="72"/>
  <c r="L57" i="72"/>
  <c r="B57" i="72"/>
  <c r="X56" i="72"/>
  <c r="Z56" i="72" s="1"/>
  <c r="N56" i="72"/>
  <c r="L56" i="72"/>
  <c r="B56" i="72"/>
  <c r="X55" i="72"/>
  <c r="Z55" i="72" s="1"/>
  <c r="N55" i="72"/>
  <c r="L55" i="72"/>
  <c r="B55" i="72"/>
  <c r="T54" i="72"/>
  <c r="P54" i="72"/>
  <c r="X54" i="72" s="1"/>
  <c r="Z54" i="72" s="1"/>
  <c r="L54" i="72"/>
  <c r="H54" i="72"/>
  <c r="N54" i="72" s="1"/>
  <c r="D54" i="72"/>
  <c r="B54" i="72"/>
  <c r="X53" i="72"/>
  <c r="Z53" i="72" s="1"/>
  <c r="N53" i="72"/>
  <c r="L53" i="72"/>
  <c r="B53" i="72"/>
  <c r="T52" i="72"/>
  <c r="X52" i="72" s="1"/>
  <c r="Z52" i="72" s="1"/>
  <c r="P52" i="72"/>
  <c r="H52" i="72"/>
  <c r="D52" i="72"/>
  <c r="B52" i="72"/>
  <c r="X51" i="72"/>
  <c r="Z51" i="72" s="1"/>
  <c r="L51" i="72"/>
  <c r="N51" i="72" s="1"/>
  <c r="B51" i="72"/>
  <c r="X50" i="72"/>
  <c r="Z50" i="72" s="1"/>
  <c r="T50" i="72"/>
  <c r="P50" i="72"/>
  <c r="H50" i="72"/>
  <c r="D50" i="72"/>
  <c r="L50" i="72" s="1"/>
  <c r="B50" i="72"/>
  <c r="Z49" i="72"/>
  <c r="X49" i="72"/>
  <c r="L49" i="72"/>
  <c r="N49" i="72" s="1"/>
  <c r="B49" i="72"/>
  <c r="X48" i="72"/>
  <c r="T48" i="72"/>
  <c r="Z48" i="72" s="1"/>
  <c r="P48" i="72"/>
  <c r="H48" i="72"/>
  <c r="D48" i="72"/>
  <c r="L48" i="72" s="1"/>
  <c r="N48" i="72" s="1"/>
  <c r="B48" i="72"/>
  <c r="Z47" i="72"/>
  <c r="X47" i="72"/>
  <c r="L47" i="72"/>
  <c r="N47" i="72" s="1"/>
  <c r="B47" i="72"/>
  <c r="T46" i="72"/>
  <c r="P46" i="72"/>
  <c r="H46" i="72"/>
  <c r="D46" i="72"/>
  <c r="L46" i="72" s="1"/>
  <c r="N46" i="72" s="1"/>
  <c r="B46" i="72"/>
  <c r="Z45" i="72"/>
  <c r="X45" i="72"/>
  <c r="N45" i="72"/>
  <c r="L45" i="72"/>
  <c r="B45" i="72"/>
  <c r="T44" i="72"/>
  <c r="Z44" i="72" s="1"/>
  <c r="P44" i="72"/>
  <c r="X44" i="72" s="1"/>
  <c r="L44" i="72"/>
  <c r="N44" i="72" s="1"/>
  <c r="H44" i="72"/>
  <c r="D44" i="72"/>
  <c r="B44" i="72"/>
  <c r="X43" i="72"/>
  <c r="Z43" i="72" s="1"/>
  <c r="N43" i="72"/>
  <c r="L43" i="72"/>
  <c r="B43" i="72"/>
  <c r="T42" i="72"/>
  <c r="P42" i="72"/>
  <c r="X42" i="72" s="1"/>
  <c r="Z42" i="72" s="1"/>
  <c r="L42" i="72"/>
  <c r="H42" i="72"/>
  <c r="D42" i="72"/>
  <c r="B42" i="72"/>
  <c r="X41" i="72"/>
  <c r="Z41" i="72" s="1"/>
  <c r="N41" i="72"/>
  <c r="L41" i="72"/>
  <c r="B41" i="72"/>
  <c r="Z40" i="72"/>
  <c r="X40" i="72"/>
  <c r="N40" i="72"/>
  <c r="L40" i="72"/>
  <c r="B40" i="72"/>
  <c r="Z39" i="72"/>
  <c r="X39" i="72"/>
  <c r="N39" i="72"/>
  <c r="L39" i="72"/>
  <c r="B39" i="72"/>
  <c r="X38" i="72"/>
  <c r="Z38" i="72" s="1"/>
  <c r="L38" i="72"/>
  <c r="N38" i="72" s="1"/>
  <c r="B38" i="72"/>
  <c r="X37" i="72"/>
  <c r="Z37" i="72" s="1"/>
  <c r="N37" i="72"/>
  <c r="L37" i="72"/>
  <c r="B37" i="72"/>
  <c r="T36" i="72"/>
  <c r="P36" i="72"/>
  <c r="X36" i="72" s="1"/>
  <c r="Z36" i="72" s="1"/>
  <c r="H36" i="72"/>
  <c r="D36" i="72"/>
  <c r="L36" i="72" s="1"/>
  <c r="B36" i="72"/>
  <c r="X35" i="72"/>
  <c r="Z35" i="72" s="1"/>
  <c r="N35" i="72"/>
  <c r="L35" i="72"/>
  <c r="B35" i="72"/>
  <c r="X34" i="72"/>
  <c r="Z34" i="72" s="1"/>
  <c r="N34" i="72"/>
  <c r="L34" i="72"/>
  <c r="B34" i="72"/>
  <c r="Z33" i="72"/>
  <c r="X33" i="72"/>
  <c r="V33" i="72"/>
  <c r="N33" i="72"/>
  <c r="L33" i="72"/>
  <c r="B33" i="72"/>
  <c r="Z32" i="72"/>
  <c r="X32" i="72"/>
  <c r="L32" i="72"/>
  <c r="N32" i="72" s="1"/>
  <c r="B32" i="72"/>
  <c r="X31" i="72"/>
  <c r="Z31" i="72" s="1"/>
  <c r="L31" i="72"/>
  <c r="N31" i="72" s="1"/>
  <c r="B31" i="72"/>
  <c r="X30" i="72"/>
  <c r="Z30" i="72" s="1"/>
  <c r="N30" i="72"/>
  <c r="L30" i="72"/>
  <c r="B30" i="72"/>
  <c r="Z29" i="72"/>
  <c r="X29" i="72"/>
  <c r="N29" i="72"/>
  <c r="L29" i="72"/>
  <c r="B29" i="72"/>
  <c r="Z28" i="72"/>
  <c r="X28" i="72"/>
  <c r="L28" i="72"/>
  <c r="N28" i="72" s="1"/>
  <c r="B28" i="72"/>
  <c r="X27" i="72"/>
  <c r="T27" i="72"/>
  <c r="Z27" i="72" s="1"/>
  <c r="P27" i="72"/>
  <c r="H27" i="72"/>
  <c r="D27" i="72"/>
  <c r="L27" i="72" s="1"/>
  <c r="N27" i="72" s="1"/>
  <c r="B27" i="72"/>
  <c r="T26" i="72"/>
  <c r="P26" i="72"/>
  <c r="X26" i="72" s="1"/>
  <c r="Z26" i="72" s="1"/>
  <c r="H26" i="72"/>
  <c r="D26" i="72"/>
  <c r="L26" i="72" s="1"/>
  <c r="Z22" i="72"/>
  <c r="X22" i="72"/>
  <c r="L22" i="72"/>
  <c r="N22" i="72" s="1"/>
  <c r="B22" i="72"/>
  <c r="Z21" i="72"/>
  <c r="X21" i="72"/>
  <c r="L21" i="72"/>
  <c r="N21" i="72" s="1"/>
  <c r="B21" i="72"/>
  <c r="X20" i="72"/>
  <c r="T20" i="72"/>
  <c r="Z20" i="72" s="1"/>
  <c r="P20" i="72"/>
  <c r="H20" i="72"/>
  <c r="D20" i="72"/>
  <c r="L20" i="72" s="1"/>
  <c r="N20" i="72" s="1"/>
  <c r="X18" i="72"/>
  <c r="Z18" i="72" s="1"/>
  <c r="T18" i="72"/>
  <c r="P18" i="72"/>
  <c r="H18" i="72"/>
  <c r="N18" i="72" s="1"/>
  <c r="D18" i="72"/>
  <c r="L18" i="72" s="1"/>
  <c r="B18" i="72"/>
  <c r="T17" i="72"/>
  <c r="P17" i="72"/>
  <c r="X17" i="72" s="1"/>
  <c r="N17" i="72"/>
  <c r="H17" i="72"/>
  <c r="D17" i="72"/>
  <c r="L17" i="72" s="1"/>
  <c r="B17" i="72"/>
  <c r="T16" i="72"/>
  <c r="X16" i="72" s="1"/>
  <c r="Z16" i="72" s="1"/>
  <c r="P16" i="72"/>
  <c r="H16" i="72"/>
  <c r="D16" i="72"/>
  <c r="L16" i="72" s="1"/>
  <c r="B16" i="72"/>
  <c r="T15" i="72"/>
  <c r="P15" i="72"/>
  <c r="X15" i="72" s="1"/>
  <c r="Z15" i="72" s="1"/>
  <c r="L15" i="72"/>
  <c r="N15" i="72" s="1"/>
  <c r="H15" i="72"/>
  <c r="D15" i="72"/>
  <c r="B15" i="72"/>
  <c r="X14" i="72"/>
  <c r="Z14" i="72" s="1"/>
  <c r="T14" i="72"/>
  <c r="P14" i="72"/>
  <c r="H14" i="72"/>
  <c r="D14" i="72"/>
  <c r="L14" i="72" s="1"/>
  <c r="B14" i="72"/>
  <c r="T13" i="72"/>
  <c r="T12" i="72" s="1"/>
  <c r="V45" i="72" s="1"/>
  <c r="P13" i="72"/>
  <c r="P12" i="72" s="1"/>
  <c r="R38" i="72" s="1"/>
  <c r="N13" i="72"/>
  <c r="H13" i="72"/>
  <c r="H12" i="72" s="1"/>
  <c r="J65" i="72" s="1"/>
  <c r="D13" i="72"/>
  <c r="L13" i="72" s="1"/>
  <c r="B13" i="72"/>
  <c r="D6" i="72"/>
  <c r="D4" i="72"/>
  <c r="X122" i="70"/>
  <c r="Z122" i="70" s="1"/>
  <c r="L122" i="70"/>
  <c r="N122" i="70" s="1"/>
  <c r="T118" i="70"/>
  <c r="P118" i="70"/>
  <c r="X118" i="70" s="1"/>
  <c r="Z118" i="70" s="1"/>
  <c r="L118" i="70"/>
  <c r="H118" i="70"/>
  <c r="D118" i="70"/>
  <c r="B118" i="70"/>
  <c r="X117" i="70"/>
  <c r="Z117" i="70" s="1"/>
  <c r="T117" i="70"/>
  <c r="P117" i="70"/>
  <c r="N117" i="70"/>
  <c r="H117" i="70"/>
  <c r="D117" i="70"/>
  <c r="B117" i="70"/>
  <c r="T116" i="70"/>
  <c r="P116" i="70"/>
  <c r="L116" i="70"/>
  <c r="H116" i="70"/>
  <c r="N116" i="70" s="1"/>
  <c r="D116" i="70"/>
  <c r="B116" i="70"/>
  <c r="H115" i="70"/>
  <c r="Z113" i="70"/>
  <c r="X113" i="70"/>
  <c r="N113" i="70"/>
  <c r="L113" i="70"/>
  <c r="B113" i="70"/>
  <c r="T112" i="70"/>
  <c r="P112" i="70"/>
  <c r="X112" i="70" s="1"/>
  <c r="Z112" i="70" s="1"/>
  <c r="L112" i="70"/>
  <c r="H112" i="70"/>
  <c r="N112" i="70" s="1"/>
  <c r="D112" i="70"/>
  <c r="B112" i="70"/>
  <c r="X111" i="70"/>
  <c r="Z111" i="70" s="1"/>
  <c r="N111" i="70"/>
  <c r="L111" i="70"/>
  <c r="B111" i="70"/>
  <c r="T110" i="70"/>
  <c r="P110" i="70"/>
  <c r="X110" i="70" s="1"/>
  <c r="Z110" i="70" s="1"/>
  <c r="H110" i="70"/>
  <c r="D110" i="70"/>
  <c r="L110" i="70" s="1"/>
  <c r="B110" i="70"/>
  <c r="X109" i="70"/>
  <c r="Z109" i="70" s="1"/>
  <c r="N109" i="70"/>
  <c r="L109" i="70"/>
  <c r="B109" i="70"/>
  <c r="X108" i="70"/>
  <c r="Z108" i="70" s="1"/>
  <c r="N108" i="70"/>
  <c r="L108" i="70"/>
  <c r="B108" i="70"/>
  <c r="T107" i="70"/>
  <c r="P107" i="70"/>
  <c r="X107" i="70" s="1"/>
  <c r="Z107" i="70" s="1"/>
  <c r="L107" i="70"/>
  <c r="H107" i="70"/>
  <c r="N107" i="70" s="1"/>
  <c r="D107" i="70"/>
  <c r="B107" i="70"/>
  <c r="X106" i="70"/>
  <c r="Z106" i="70" s="1"/>
  <c r="N106" i="70"/>
  <c r="L106" i="70"/>
  <c r="B106" i="70"/>
  <c r="Z105" i="70"/>
  <c r="X105" i="70"/>
  <c r="N105" i="70"/>
  <c r="L105" i="70"/>
  <c r="B105" i="70"/>
  <c r="Z104" i="70"/>
  <c r="X104" i="70"/>
  <c r="L104" i="70"/>
  <c r="N104" i="70" s="1"/>
  <c r="B104" i="70"/>
  <c r="T103" i="70"/>
  <c r="P103" i="70"/>
  <c r="H103" i="70"/>
  <c r="D103" i="70"/>
  <c r="L103" i="70" s="1"/>
  <c r="N103" i="70" s="1"/>
  <c r="B103" i="70"/>
  <c r="Z102" i="70"/>
  <c r="X102" i="70"/>
  <c r="N102" i="70"/>
  <c r="L102" i="70"/>
  <c r="B102" i="70"/>
  <c r="Z101" i="70"/>
  <c r="X101" i="70"/>
  <c r="L101" i="70"/>
  <c r="N101" i="70" s="1"/>
  <c r="B101" i="70"/>
  <c r="T100" i="70"/>
  <c r="P100" i="70"/>
  <c r="H100" i="70"/>
  <c r="D100" i="70"/>
  <c r="L100" i="70" s="1"/>
  <c r="N100" i="70" s="1"/>
  <c r="B100" i="70"/>
  <c r="Z99" i="70"/>
  <c r="X99" i="70"/>
  <c r="N99" i="70"/>
  <c r="L99" i="70"/>
  <c r="B99" i="70"/>
  <c r="Z98" i="70"/>
  <c r="X98" i="70"/>
  <c r="N98" i="70"/>
  <c r="L98" i="70"/>
  <c r="B98" i="70"/>
  <c r="X97" i="70"/>
  <c r="T97" i="70"/>
  <c r="P97" i="70"/>
  <c r="N97" i="70"/>
  <c r="H97" i="70"/>
  <c r="D97" i="70"/>
  <c r="L97" i="70" s="1"/>
  <c r="B97" i="70"/>
  <c r="Z96" i="70"/>
  <c r="X96" i="70"/>
  <c r="L96" i="70"/>
  <c r="N96" i="70" s="1"/>
  <c r="B96" i="70"/>
  <c r="T95" i="70"/>
  <c r="P95" i="70"/>
  <c r="H95" i="70"/>
  <c r="D95" i="70"/>
  <c r="L95" i="70" s="1"/>
  <c r="N95" i="70" s="1"/>
  <c r="B95" i="70"/>
  <c r="X94" i="70"/>
  <c r="Z94" i="70" s="1"/>
  <c r="N94" i="70"/>
  <c r="L94" i="70"/>
  <c r="B94" i="70"/>
  <c r="T93" i="70"/>
  <c r="P93" i="70"/>
  <c r="X93" i="70" s="1"/>
  <c r="Z93" i="70" s="1"/>
  <c r="L93" i="70"/>
  <c r="H93" i="70"/>
  <c r="N93" i="70" s="1"/>
  <c r="D93" i="70"/>
  <c r="B93" i="70"/>
  <c r="X92" i="70"/>
  <c r="Z92" i="70" s="1"/>
  <c r="N92" i="70"/>
  <c r="L92" i="70"/>
  <c r="B92" i="70"/>
  <c r="Z91" i="70"/>
  <c r="X91" i="70"/>
  <c r="N91" i="70"/>
  <c r="L91" i="70"/>
  <c r="B91" i="70"/>
  <c r="T90" i="70"/>
  <c r="P90" i="70"/>
  <c r="X90" i="70" s="1"/>
  <c r="L90" i="70"/>
  <c r="H90" i="70"/>
  <c r="N90" i="70" s="1"/>
  <c r="D90" i="70"/>
  <c r="B90" i="70"/>
  <c r="Z89" i="70"/>
  <c r="X89" i="70"/>
  <c r="N89" i="70"/>
  <c r="L89" i="70"/>
  <c r="B89" i="70"/>
  <c r="Z88" i="70"/>
  <c r="T88" i="70"/>
  <c r="P88" i="70"/>
  <c r="X88" i="70" s="1"/>
  <c r="H88" i="70"/>
  <c r="D88" i="70"/>
  <c r="B88" i="70"/>
  <c r="X87" i="70"/>
  <c r="Z87" i="70" s="1"/>
  <c r="N87" i="70"/>
  <c r="L87" i="70"/>
  <c r="B87" i="70"/>
  <c r="X86" i="70"/>
  <c r="Z86" i="70" s="1"/>
  <c r="T86" i="70"/>
  <c r="P86" i="70"/>
  <c r="H86" i="70"/>
  <c r="N86" i="70" s="1"/>
  <c r="D86" i="70"/>
  <c r="L86" i="70" s="1"/>
  <c r="B86" i="70"/>
  <c r="X85" i="70"/>
  <c r="Z85" i="70" s="1"/>
  <c r="N85" i="70"/>
  <c r="L85" i="70"/>
  <c r="B85" i="70"/>
  <c r="X84" i="70"/>
  <c r="Z84" i="70" s="1"/>
  <c r="N84" i="70"/>
  <c r="L84" i="70"/>
  <c r="B84" i="70"/>
  <c r="T83" i="70"/>
  <c r="P83" i="70"/>
  <c r="X83" i="70" s="1"/>
  <c r="Z83" i="70" s="1"/>
  <c r="L83" i="70"/>
  <c r="H83" i="70"/>
  <c r="D83" i="70"/>
  <c r="B83" i="70"/>
  <c r="X82" i="70"/>
  <c r="Z82" i="70" s="1"/>
  <c r="L82" i="70"/>
  <c r="N82" i="70" s="1"/>
  <c r="B82" i="70"/>
  <c r="T81" i="70"/>
  <c r="X81" i="70" s="1"/>
  <c r="Z81" i="70" s="1"/>
  <c r="P81" i="70"/>
  <c r="H81" i="70"/>
  <c r="D81" i="70"/>
  <c r="B81" i="70"/>
  <c r="Z80" i="70"/>
  <c r="X80" i="70"/>
  <c r="N80" i="70"/>
  <c r="L80" i="70"/>
  <c r="B80" i="70"/>
  <c r="X79" i="70"/>
  <c r="Z79" i="70" s="1"/>
  <c r="N79" i="70"/>
  <c r="L79" i="70"/>
  <c r="B79" i="70"/>
  <c r="Z78" i="70"/>
  <c r="X78" i="70"/>
  <c r="N78" i="70"/>
  <c r="L78" i="70"/>
  <c r="B78" i="70"/>
  <c r="Z77" i="70"/>
  <c r="X77" i="70"/>
  <c r="L77" i="70"/>
  <c r="N77" i="70" s="1"/>
  <c r="B77" i="70"/>
  <c r="X76" i="70"/>
  <c r="Z76" i="70" s="1"/>
  <c r="L76" i="70"/>
  <c r="N76" i="70" s="1"/>
  <c r="B76" i="70"/>
  <c r="X75" i="70"/>
  <c r="Z75" i="70" s="1"/>
  <c r="N75" i="70"/>
  <c r="L75" i="70"/>
  <c r="B75" i="70"/>
  <c r="Z74" i="70"/>
  <c r="X74" i="70"/>
  <c r="N74" i="70"/>
  <c r="L74" i="70"/>
  <c r="B74" i="70"/>
  <c r="T73" i="70"/>
  <c r="P73" i="70"/>
  <c r="X73" i="70" s="1"/>
  <c r="Z73" i="70" s="1"/>
  <c r="L73" i="70"/>
  <c r="H73" i="70"/>
  <c r="N73" i="70" s="1"/>
  <c r="D73" i="70"/>
  <c r="B73" i="70"/>
  <c r="X72" i="70"/>
  <c r="Z72" i="70" s="1"/>
  <c r="N72" i="70"/>
  <c r="L72" i="70"/>
  <c r="B72" i="70"/>
  <c r="Z71" i="70"/>
  <c r="X71" i="70"/>
  <c r="N71" i="70"/>
  <c r="L71" i="70"/>
  <c r="B71" i="70"/>
  <c r="Z70" i="70"/>
  <c r="X70" i="70"/>
  <c r="L70" i="70"/>
  <c r="N70" i="70" s="1"/>
  <c r="B70" i="70"/>
  <c r="X69" i="70"/>
  <c r="Z69" i="70" s="1"/>
  <c r="N69" i="70"/>
  <c r="L69" i="70"/>
  <c r="B69" i="70"/>
  <c r="X68" i="70"/>
  <c r="Z68" i="70" s="1"/>
  <c r="N68" i="70"/>
  <c r="L68" i="70"/>
  <c r="B68" i="70"/>
  <c r="Z67" i="70"/>
  <c r="X67" i="70"/>
  <c r="N67" i="70"/>
  <c r="L67" i="70"/>
  <c r="B67" i="70"/>
  <c r="Z66" i="70"/>
  <c r="X66" i="70"/>
  <c r="L66" i="70"/>
  <c r="N66" i="70" s="1"/>
  <c r="B66" i="70"/>
  <c r="X65" i="70"/>
  <c r="Z65" i="70" s="1"/>
  <c r="N65" i="70"/>
  <c r="L65" i="70"/>
  <c r="B65" i="70"/>
  <c r="X64" i="70"/>
  <c r="Z64" i="70" s="1"/>
  <c r="N64" i="70"/>
  <c r="L64" i="70"/>
  <c r="B64" i="70"/>
  <c r="T63" i="70"/>
  <c r="P63" i="70"/>
  <c r="X63" i="70" s="1"/>
  <c r="Z63" i="70" s="1"/>
  <c r="L63" i="70"/>
  <c r="H63" i="70"/>
  <c r="D63" i="70"/>
  <c r="B63" i="70"/>
  <c r="T62" i="70"/>
  <c r="P62" i="70"/>
  <c r="H62" i="70"/>
  <c r="D62" i="70"/>
  <c r="L62" i="70" s="1"/>
  <c r="N62" i="70" s="1"/>
  <c r="X58" i="70"/>
  <c r="Z58" i="70" s="1"/>
  <c r="N58" i="70"/>
  <c r="L58" i="70"/>
  <c r="B58" i="70"/>
  <c r="Z57" i="70"/>
  <c r="X57" i="70"/>
  <c r="N57" i="70"/>
  <c r="L57" i="70"/>
  <c r="B57" i="70"/>
  <c r="Z56" i="70"/>
  <c r="X56" i="70"/>
  <c r="N56" i="70"/>
  <c r="L56" i="70"/>
  <c r="B56" i="70"/>
  <c r="Z55" i="70"/>
  <c r="X55" i="70"/>
  <c r="L55" i="70"/>
  <c r="N55" i="70" s="1"/>
  <c r="B55" i="70"/>
  <c r="X54" i="70"/>
  <c r="Z54" i="70" s="1"/>
  <c r="L54" i="70"/>
  <c r="N54" i="70" s="1"/>
  <c r="B54" i="70"/>
  <c r="Z53" i="70"/>
  <c r="X53" i="70"/>
  <c r="N53" i="70"/>
  <c r="L53" i="70"/>
  <c r="B53" i="70"/>
  <c r="Z52" i="70"/>
  <c r="X52" i="70"/>
  <c r="L52" i="70"/>
  <c r="N52" i="70" s="1"/>
  <c r="B52" i="70"/>
  <c r="X51" i="70"/>
  <c r="Z51" i="70" s="1"/>
  <c r="L51" i="70"/>
  <c r="N51" i="70" s="1"/>
  <c r="B51" i="70"/>
  <c r="X50" i="70"/>
  <c r="Z50" i="70" s="1"/>
  <c r="L50" i="70"/>
  <c r="N50" i="70" s="1"/>
  <c r="B50" i="70"/>
  <c r="Z49" i="70"/>
  <c r="X49" i="70"/>
  <c r="N49" i="70"/>
  <c r="L49" i="70"/>
  <c r="B49" i="70"/>
  <c r="Z48" i="70"/>
  <c r="X48" i="70"/>
  <c r="L48" i="70"/>
  <c r="N48" i="70" s="1"/>
  <c r="B48" i="70"/>
  <c r="X47" i="70"/>
  <c r="Z47" i="70" s="1"/>
  <c r="L47" i="70"/>
  <c r="N47" i="70" s="1"/>
  <c r="B47" i="70"/>
  <c r="X46" i="70"/>
  <c r="Z46" i="70" s="1"/>
  <c r="N46" i="70"/>
  <c r="L46" i="70"/>
  <c r="B46" i="70"/>
  <c r="Z45" i="70"/>
  <c r="X45" i="70"/>
  <c r="N45" i="70"/>
  <c r="L45" i="70"/>
  <c r="B45" i="70"/>
  <c r="Z44" i="70"/>
  <c r="X44" i="70"/>
  <c r="L44" i="70"/>
  <c r="N44" i="70" s="1"/>
  <c r="F44" i="70"/>
  <c r="B44" i="70"/>
  <c r="Z43" i="70"/>
  <c r="X43" i="70"/>
  <c r="L43" i="70"/>
  <c r="N43" i="70" s="1"/>
  <c r="B43" i="70"/>
  <c r="X42" i="70"/>
  <c r="T42" i="70"/>
  <c r="Z42" i="70" s="1"/>
  <c r="P42" i="70"/>
  <c r="H42" i="70"/>
  <c r="D42" i="70"/>
  <c r="T40" i="70"/>
  <c r="P40" i="70"/>
  <c r="X40" i="70" s="1"/>
  <c r="L40" i="70"/>
  <c r="H40" i="70"/>
  <c r="N40" i="70" s="1"/>
  <c r="D40" i="70"/>
  <c r="B40" i="70"/>
  <c r="T39" i="70"/>
  <c r="P39" i="70"/>
  <c r="X39" i="70" s="1"/>
  <c r="Z39" i="70" s="1"/>
  <c r="H39" i="70"/>
  <c r="D39" i="70"/>
  <c r="B39" i="70"/>
  <c r="T38" i="70"/>
  <c r="X38" i="70" s="1"/>
  <c r="P38" i="70"/>
  <c r="H38" i="70"/>
  <c r="N38" i="70" s="1"/>
  <c r="D38" i="70"/>
  <c r="B38" i="70"/>
  <c r="T37" i="70"/>
  <c r="P37" i="70"/>
  <c r="X37" i="70" s="1"/>
  <c r="Z37" i="70" s="1"/>
  <c r="L37" i="70"/>
  <c r="N37" i="70" s="1"/>
  <c r="H37" i="70"/>
  <c r="D37" i="70"/>
  <c r="B37" i="70"/>
  <c r="T36" i="70"/>
  <c r="Z36" i="70" s="1"/>
  <c r="P36" i="70"/>
  <c r="X36" i="70" s="1"/>
  <c r="L36" i="70"/>
  <c r="H36" i="70"/>
  <c r="N36" i="70" s="1"/>
  <c r="D36" i="70"/>
  <c r="B36" i="70"/>
  <c r="T35" i="70"/>
  <c r="P35" i="70"/>
  <c r="X35" i="70" s="1"/>
  <c r="Z35" i="70" s="1"/>
  <c r="H35" i="70"/>
  <c r="D35" i="70"/>
  <c r="B35" i="70"/>
  <c r="T34" i="70"/>
  <c r="X34" i="70" s="1"/>
  <c r="P34" i="70"/>
  <c r="H34" i="70"/>
  <c r="N34" i="70" s="1"/>
  <c r="D34" i="70"/>
  <c r="B34" i="70"/>
  <c r="T33" i="70"/>
  <c r="P33" i="70"/>
  <c r="X33" i="70" s="1"/>
  <c r="Z33" i="70" s="1"/>
  <c r="L33" i="70"/>
  <c r="N33" i="70" s="1"/>
  <c r="H33" i="70"/>
  <c r="D33" i="70"/>
  <c r="B33" i="70"/>
  <c r="T32" i="70"/>
  <c r="P32" i="70"/>
  <c r="X32" i="70" s="1"/>
  <c r="L32" i="70"/>
  <c r="H32" i="70"/>
  <c r="N32" i="70" s="1"/>
  <c r="D32" i="70"/>
  <c r="B32" i="70"/>
  <c r="T31" i="70"/>
  <c r="P31" i="70"/>
  <c r="X31" i="70" s="1"/>
  <c r="Z31" i="70" s="1"/>
  <c r="H31" i="70"/>
  <c r="N31" i="70" s="1"/>
  <c r="D31" i="70"/>
  <c r="B31" i="70"/>
  <c r="T30" i="70"/>
  <c r="X30" i="70" s="1"/>
  <c r="P30" i="70"/>
  <c r="H30" i="70"/>
  <c r="D30" i="70"/>
  <c r="B30" i="70"/>
  <c r="T29" i="70"/>
  <c r="P29" i="70"/>
  <c r="X29" i="70" s="1"/>
  <c r="Z29" i="70" s="1"/>
  <c r="L29" i="70"/>
  <c r="N29" i="70" s="1"/>
  <c r="H29" i="70"/>
  <c r="D29" i="70"/>
  <c r="B29" i="70"/>
  <c r="T28" i="70"/>
  <c r="P28" i="70"/>
  <c r="X28" i="70" s="1"/>
  <c r="L28" i="70"/>
  <c r="H28" i="70"/>
  <c r="N28" i="70" s="1"/>
  <c r="D28" i="70"/>
  <c r="B28" i="70"/>
  <c r="T27" i="70"/>
  <c r="P27" i="70"/>
  <c r="X27" i="70" s="1"/>
  <c r="Z27" i="70" s="1"/>
  <c r="H27" i="70"/>
  <c r="N27" i="70" s="1"/>
  <c r="D27" i="70"/>
  <c r="B27" i="70"/>
  <c r="T26" i="70"/>
  <c r="X26" i="70" s="1"/>
  <c r="P26" i="70"/>
  <c r="H26" i="70"/>
  <c r="D26" i="70"/>
  <c r="B26" i="70"/>
  <c r="T25" i="70"/>
  <c r="P25" i="70"/>
  <c r="X25" i="70" s="1"/>
  <c r="Z25" i="70" s="1"/>
  <c r="L25" i="70"/>
  <c r="N25" i="70" s="1"/>
  <c r="H25" i="70"/>
  <c r="D25" i="70"/>
  <c r="B25" i="70"/>
  <c r="T24" i="70"/>
  <c r="P24" i="70"/>
  <c r="X24" i="70" s="1"/>
  <c r="L24" i="70"/>
  <c r="H24" i="70"/>
  <c r="N24" i="70" s="1"/>
  <c r="D24" i="70"/>
  <c r="B24" i="70"/>
  <c r="T23" i="70"/>
  <c r="P23" i="70"/>
  <c r="X23" i="70" s="1"/>
  <c r="Z23" i="70" s="1"/>
  <c r="H23" i="70"/>
  <c r="D23" i="70"/>
  <c r="B23" i="70"/>
  <c r="T22" i="70"/>
  <c r="X22" i="70" s="1"/>
  <c r="P22" i="70"/>
  <c r="H22" i="70"/>
  <c r="D22" i="70"/>
  <c r="B22" i="70"/>
  <c r="T21" i="70"/>
  <c r="P21" i="70"/>
  <c r="X21" i="70" s="1"/>
  <c r="Z21" i="70" s="1"/>
  <c r="L21" i="70"/>
  <c r="N21" i="70" s="1"/>
  <c r="H21" i="70"/>
  <c r="D21" i="70"/>
  <c r="B21" i="70"/>
  <c r="T20" i="70"/>
  <c r="P20" i="70"/>
  <c r="X20" i="70" s="1"/>
  <c r="L20" i="70"/>
  <c r="H20" i="70"/>
  <c r="N20" i="70" s="1"/>
  <c r="D20" i="70"/>
  <c r="B20" i="70"/>
  <c r="T19" i="70"/>
  <c r="P19" i="70"/>
  <c r="X19" i="70" s="1"/>
  <c r="Z19" i="70" s="1"/>
  <c r="H19" i="70"/>
  <c r="D19" i="70"/>
  <c r="B19" i="70"/>
  <c r="T18" i="70"/>
  <c r="X18" i="70" s="1"/>
  <c r="P18" i="70"/>
  <c r="H18" i="70"/>
  <c r="N18" i="70" s="1"/>
  <c r="D18" i="70"/>
  <c r="B18" i="70"/>
  <c r="T17" i="70"/>
  <c r="P17" i="70"/>
  <c r="X17" i="70" s="1"/>
  <c r="Z17" i="70" s="1"/>
  <c r="L17" i="70"/>
  <c r="N17" i="70" s="1"/>
  <c r="H17" i="70"/>
  <c r="D17" i="70"/>
  <c r="B17" i="70"/>
  <c r="T16" i="70"/>
  <c r="P16" i="70"/>
  <c r="X16" i="70" s="1"/>
  <c r="L16" i="70"/>
  <c r="H16" i="70"/>
  <c r="N16" i="70" s="1"/>
  <c r="D16" i="70"/>
  <c r="B16" i="70"/>
  <c r="T15" i="70"/>
  <c r="P15" i="70"/>
  <c r="X15" i="70" s="1"/>
  <c r="H15" i="70"/>
  <c r="D15" i="70"/>
  <c r="B15" i="70"/>
  <c r="T14" i="70"/>
  <c r="X14" i="70" s="1"/>
  <c r="P14" i="70"/>
  <c r="H14" i="70"/>
  <c r="D14" i="70"/>
  <c r="B14" i="70"/>
  <c r="Z13" i="70"/>
  <c r="T13" i="70"/>
  <c r="T12" i="70" s="1"/>
  <c r="P13" i="70"/>
  <c r="X13" i="70" s="1"/>
  <c r="N13" i="70"/>
  <c r="L13" i="70"/>
  <c r="H13" i="70"/>
  <c r="H12" i="70" s="1"/>
  <c r="D13" i="70"/>
  <c r="B13" i="70"/>
  <c r="P12" i="70"/>
  <c r="R81" i="70" s="1"/>
  <c r="D12" i="70"/>
  <c r="F104" i="70" s="1"/>
  <c r="D6" i="70"/>
  <c r="D4" i="70"/>
  <c r="X70" i="69"/>
  <c r="Z70" i="69" s="1"/>
  <c r="L70" i="69"/>
  <c r="N70" i="69" s="1"/>
  <c r="X66" i="69"/>
  <c r="T66" i="69"/>
  <c r="Z66" i="69" s="1"/>
  <c r="P66" i="69"/>
  <c r="H66" i="69"/>
  <c r="N66" i="69" s="1"/>
  <c r="D66" i="69"/>
  <c r="L66" i="69" s="1"/>
  <c r="X64" i="69"/>
  <c r="Z64" i="69" s="1"/>
  <c r="L64" i="69"/>
  <c r="N64" i="69" s="1"/>
  <c r="B64" i="69"/>
  <c r="T63" i="69"/>
  <c r="P63" i="69"/>
  <c r="X63" i="69" s="1"/>
  <c r="Z63" i="69" s="1"/>
  <c r="H63" i="69"/>
  <c r="D63" i="69"/>
  <c r="L63" i="69" s="1"/>
  <c r="N63" i="69" s="1"/>
  <c r="B63" i="69"/>
  <c r="X62" i="69"/>
  <c r="Z62" i="69" s="1"/>
  <c r="N62" i="69"/>
  <c r="L62" i="69"/>
  <c r="B62" i="69"/>
  <c r="X61" i="69"/>
  <c r="Z61" i="69" s="1"/>
  <c r="N61" i="69"/>
  <c r="L61" i="69"/>
  <c r="B61" i="69"/>
  <c r="X60" i="69"/>
  <c r="Z60" i="69" s="1"/>
  <c r="L60" i="69"/>
  <c r="N60" i="69" s="1"/>
  <c r="B60" i="69"/>
  <c r="X59" i="69"/>
  <c r="Z59" i="69" s="1"/>
  <c r="T59" i="69"/>
  <c r="P59" i="69"/>
  <c r="L59" i="69"/>
  <c r="H59" i="69"/>
  <c r="N59" i="69" s="1"/>
  <c r="D59" i="69"/>
  <c r="B59" i="69"/>
  <c r="Z58" i="69"/>
  <c r="X58" i="69"/>
  <c r="N58" i="69"/>
  <c r="L58" i="69"/>
  <c r="B58" i="69"/>
  <c r="Z57" i="69"/>
  <c r="X57" i="69"/>
  <c r="N57" i="69"/>
  <c r="L57" i="69"/>
  <c r="B57" i="69"/>
  <c r="X56" i="69"/>
  <c r="Z56" i="69" s="1"/>
  <c r="L56" i="69"/>
  <c r="N56" i="69" s="1"/>
  <c r="B56" i="69"/>
  <c r="T55" i="69"/>
  <c r="P55" i="69"/>
  <c r="H55" i="69"/>
  <c r="L55" i="69" s="1"/>
  <c r="N55" i="69" s="1"/>
  <c r="D55" i="69"/>
  <c r="B55" i="69"/>
  <c r="Z54" i="69"/>
  <c r="X54" i="69"/>
  <c r="L54" i="69"/>
  <c r="N54" i="69" s="1"/>
  <c r="B54" i="69"/>
  <c r="Z53" i="69"/>
  <c r="X53" i="69"/>
  <c r="N53" i="69"/>
  <c r="L53" i="69"/>
  <c r="B53" i="69"/>
  <c r="X52" i="69"/>
  <c r="T52" i="69"/>
  <c r="Z52" i="69" s="1"/>
  <c r="P52" i="69"/>
  <c r="H52" i="69"/>
  <c r="N52" i="69" s="1"/>
  <c r="D52" i="69"/>
  <c r="L52" i="69" s="1"/>
  <c r="B52" i="69"/>
  <c r="X51" i="69"/>
  <c r="Z51" i="69" s="1"/>
  <c r="L51" i="69"/>
  <c r="N51" i="69" s="1"/>
  <c r="B51" i="69"/>
  <c r="X50" i="69"/>
  <c r="T50" i="69"/>
  <c r="Z50" i="69" s="1"/>
  <c r="P50" i="69"/>
  <c r="H50" i="69"/>
  <c r="D50" i="69"/>
  <c r="L50" i="69" s="1"/>
  <c r="N50" i="69" s="1"/>
  <c r="B50" i="69"/>
  <c r="Z49" i="69"/>
  <c r="X49" i="69"/>
  <c r="N49" i="69"/>
  <c r="L49" i="69"/>
  <c r="B49" i="69"/>
  <c r="X48" i="69"/>
  <c r="T48" i="69"/>
  <c r="Z48" i="69" s="1"/>
  <c r="P48" i="69"/>
  <c r="N48" i="69"/>
  <c r="L48" i="69"/>
  <c r="H48" i="69"/>
  <c r="D48" i="69"/>
  <c r="B48" i="69"/>
  <c r="Z47" i="69"/>
  <c r="X47" i="69"/>
  <c r="L47" i="69"/>
  <c r="N47" i="69" s="1"/>
  <c r="B47" i="69"/>
  <c r="T46" i="69"/>
  <c r="P46" i="69"/>
  <c r="X46" i="69" s="1"/>
  <c r="L46" i="69"/>
  <c r="H46" i="69"/>
  <c r="N46" i="69" s="1"/>
  <c r="D46" i="69"/>
  <c r="B46" i="69"/>
  <c r="X45" i="69"/>
  <c r="Z45" i="69" s="1"/>
  <c r="N45" i="69"/>
  <c r="L45" i="69"/>
  <c r="B45" i="69"/>
  <c r="T44" i="69"/>
  <c r="P44" i="69"/>
  <c r="X44" i="69" s="1"/>
  <c r="Z44" i="69" s="1"/>
  <c r="L44" i="69"/>
  <c r="H44" i="69"/>
  <c r="N44" i="69" s="1"/>
  <c r="D44" i="69"/>
  <c r="B44" i="69"/>
  <c r="Z43" i="69"/>
  <c r="X43" i="69"/>
  <c r="N43" i="69"/>
  <c r="L43" i="69"/>
  <c r="B43" i="69"/>
  <c r="Z42" i="69"/>
  <c r="X42" i="69"/>
  <c r="T42" i="69"/>
  <c r="P42" i="69"/>
  <c r="L42" i="69"/>
  <c r="H42" i="69"/>
  <c r="N42" i="69" s="1"/>
  <c r="D42" i="69"/>
  <c r="B42" i="69"/>
  <c r="Z41" i="69"/>
  <c r="X41" i="69"/>
  <c r="L41" i="69"/>
  <c r="N41" i="69" s="1"/>
  <c r="B41" i="69"/>
  <c r="X40" i="69"/>
  <c r="T40" i="69"/>
  <c r="Z40" i="69" s="1"/>
  <c r="P40" i="69"/>
  <c r="H40" i="69"/>
  <c r="D40" i="69"/>
  <c r="L40" i="69" s="1"/>
  <c r="B40" i="69"/>
  <c r="X39" i="69"/>
  <c r="Z39" i="69" s="1"/>
  <c r="N39" i="69"/>
  <c r="L39" i="69"/>
  <c r="B39" i="69"/>
  <c r="X38" i="69"/>
  <c r="T38" i="69"/>
  <c r="Z38" i="69" s="1"/>
  <c r="P38" i="69"/>
  <c r="H38" i="69"/>
  <c r="D38" i="69"/>
  <c r="L38" i="69" s="1"/>
  <c r="N38" i="69" s="1"/>
  <c r="B38" i="69"/>
  <c r="Z37" i="69"/>
  <c r="X37" i="69"/>
  <c r="N37" i="69"/>
  <c r="L37" i="69"/>
  <c r="B37" i="69"/>
  <c r="X36" i="69"/>
  <c r="Z36" i="69" s="1"/>
  <c r="L36" i="69"/>
  <c r="N36" i="69" s="1"/>
  <c r="B36" i="69"/>
  <c r="Z35" i="69"/>
  <c r="X35" i="69"/>
  <c r="N35" i="69"/>
  <c r="L35" i="69"/>
  <c r="B35" i="69"/>
  <c r="Z34" i="69"/>
  <c r="X34" i="69"/>
  <c r="N34" i="69"/>
  <c r="L34" i="69"/>
  <c r="B34" i="69"/>
  <c r="Z33" i="69"/>
  <c r="X33" i="69"/>
  <c r="N33" i="69"/>
  <c r="L33" i="69"/>
  <c r="B33" i="69"/>
  <c r="X32" i="69"/>
  <c r="T32" i="69"/>
  <c r="Z32" i="69" s="1"/>
  <c r="P32" i="69"/>
  <c r="N32" i="69"/>
  <c r="L32" i="69"/>
  <c r="H32" i="69"/>
  <c r="D32" i="69"/>
  <c r="B32" i="69"/>
  <c r="Z31" i="69"/>
  <c r="X31" i="69"/>
  <c r="N31" i="69"/>
  <c r="L31" i="69"/>
  <c r="B31" i="69"/>
  <c r="Z30" i="69"/>
  <c r="X30" i="69"/>
  <c r="R30" i="69"/>
  <c r="N30" i="69"/>
  <c r="L30" i="69"/>
  <c r="B30" i="69"/>
  <c r="Z29" i="69"/>
  <c r="X29" i="69"/>
  <c r="N29" i="69"/>
  <c r="L29" i="69"/>
  <c r="B29" i="69"/>
  <c r="X28" i="69"/>
  <c r="Z28" i="69" s="1"/>
  <c r="N28" i="69"/>
  <c r="L28" i="69"/>
  <c r="B28" i="69"/>
  <c r="Z27" i="69"/>
  <c r="X27" i="69"/>
  <c r="L27" i="69"/>
  <c r="N27" i="69" s="1"/>
  <c r="B27" i="69"/>
  <c r="Z26" i="69"/>
  <c r="X26" i="69"/>
  <c r="R26" i="69"/>
  <c r="N26" i="69"/>
  <c r="L26" i="69"/>
  <c r="B26" i="69"/>
  <c r="Z25" i="69"/>
  <c r="X25" i="69"/>
  <c r="L25" i="69"/>
  <c r="N25" i="69" s="1"/>
  <c r="B25" i="69"/>
  <c r="X24" i="69"/>
  <c r="Z24" i="69" s="1"/>
  <c r="L24" i="69"/>
  <c r="N24" i="69" s="1"/>
  <c r="B24" i="69"/>
  <c r="T23" i="69"/>
  <c r="P23" i="69"/>
  <c r="X23" i="69" s="1"/>
  <c r="Z23" i="69" s="1"/>
  <c r="H23" i="69"/>
  <c r="D23" i="69"/>
  <c r="L23" i="69" s="1"/>
  <c r="N23" i="69" s="1"/>
  <c r="B23" i="69"/>
  <c r="X22" i="69"/>
  <c r="T22" i="69"/>
  <c r="P22" i="69"/>
  <c r="H22" i="69"/>
  <c r="D22" i="69"/>
  <c r="L22" i="69" s="1"/>
  <c r="R20" i="69"/>
  <c r="X18" i="69"/>
  <c r="Z18" i="69" s="1"/>
  <c r="N18" i="69"/>
  <c r="L18" i="69"/>
  <c r="B18" i="69"/>
  <c r="X17" i="69"/>
  <c r="Z17" i="69" s="1"/>
  <c r="N17" i="69"/>
  <c r="L17" i="69"/>
  <c r="B17" i="69"/>
  <c r="T16" i="69"/>
  <c r="Z16" i="69" s="1"/>
  <c r="R16" i="69"/>
  <c r="P16" i="69"/>
  <c r="X16" i="69" s="1"/>
  <c r="L16" i="69"/>
  <c r="H16" i="69"/>
  <c r="N16" i="69" s="1"/>
  <c r="D16" i="69"/>
  <c r="T14" i="69"/>
  <c r="P14" i="69"/>
  <c r="X14" i="69" s="1"/>
  <c r="L14" i="69"/>
  <c r="N14" i="69" s="1"/>
  <c r="H14" i="69"/>
  <c r="D14" i="69"/>
  <c r="B14" i="69"/>
  <c r="X13" i="69"/>
  <c r="T13" i="69"/>
  <c r="Z13" i="69" s="1"/>
  <c r="P13" i="69"/>
  <c r="H13" i="69"/>
  <c r="H12" i="69" s="1"/>
  <c r="D13" i="69"/>
  <c r="D12" i="69" s="1"/>
  <c r="B13" i="69"/>
  <c r="P12" i="69"/>
  <c r="R63" i="69" s="1"/>
  <c r="D6" i="69"/>
  <c r="D4" i="69"/>
  <c r="X116" i="68"/>
  <c r="Z116" i="68" s="1"/>
  <c r="L116" i="68"/>
  <c r="N116" i="68" s="1"/>
  <c r="T112" i="68"/>
  <c r="Z112" i="68" s="1"/>
  <c r="P112" i="68"/>
  <c r="X112" i="68" s="1"/>
  <c r="L112" i="68"/>
  <c r="H112" i="68"/>
  <c r="N112" i="68" s="1"/>
  <c r="D112" i="68"/>
  <c r="D111" i="68" s="1"/>
  <c r="L111" i="68" s="1"/>
  <c r="B112" i="68"/>
  <c r="T111" i="68"/>
  <c r="N111" i="68"/>
  <c r="H111" i="68"/>
  <c r="Z109" i="68"/>
  <c r="X109" i="68"/>
  <c r="N109" i="68"/>
  <c r="L109" i="68"/>
  <c r="B109" i="68"/>
  <c r="Z108" i="68"/>
  <c r="X108" i="68"/>
  <c r="T108" i="68"/>
  <c r="P108" i="68"/>
  <c r="L108" i="68"/>
  <c r="H108" i="68"/>
  <c r="N108" i="68" s="1"/>
  <c r="D108" i="68"/>
  <c r="B108" i="68"/>
  <c r="Z107" i="68"/>
  <c r="X107" i="68"/>
  <c r="L107" i="68"/>
  <c r="N107" i="68" s="1"/>
  <c r="B107" i="68"/>
  <c r="X106" i="68"/>
  <c r="T106" i="68"/>
  <c r="Z106" i="68" s="1"/>
  <c r="P106" i="68"/>
  <c r="H106" i="68"/>
  <c r="D106" i="68"/>
  <c r="L106" i="68" s="1"/>
  <c r="B106" i="68"/>
  <c r="X105" i="68"/>
  <c r="Z105" i="68" s="1"/>
  <c r="N105" i="68"/>
  <c r="L105" i="68"/>
  <c r="B105" i="68"/>
  <c r="X104" i="68"/>
  <c r="Z104" i="68" s="1"/>
  <c r="N104" i="68"/>
  <c r="L104" i="68"/>
  <c r="B104" i="68"/>
  <c r="X103" i="68"/>
  <c r="Z103" i="68" s="1"/>
  <c r="N103" i="68"/>
  <c r="L103" i="68"/>
  <c r="B103" i="68"/>
  <c r="Z102" i="68"/>
  <c r="X102" i="68"/>
  <c r="N102" i="68"/>
  <c r="L102" i="68"/>
  <c r="B102" i="68"/>
  <c r="X101" i="68"/>
  <c r="Z101" i="68" s="1"/>
  <c r="T101" i="68"/>
  <c r="P101" i="68"/>
  <c r="L101" i="68"/>
  <c r="N101" i="68" s="1"/>
  <c r="H101" i="68"/>
  <c r="D101" i="68"/>
  <c r="B101" i="68"/>
  <c r="Z100" i="68"/>
  <c r="X100" i="68"/>
  <c r="L100" i="68"/>
  <c r="N100" i="68" s="1"/>
  <c r="B100" i="68"/>
  <c r="Z99" i="68"/>
  <c r="X99" i="68"/>
  <c r="N99" i="68"/>
  <c r="L99" i="68"/>
  <c r="B99" i="68"/>
  <c r="X98" i="68"/>
  <c r="T98" i="68"/>
  <c r="Z98" i="68" s="1"/>
  <c r="P98" i="68"/>
  <c r="N98" i="68"/>
  <c r="L98" i="68"/>
  <c r="H98" i="68"/>
  <c r="D98" i="68"/>
  <c r="B98" i="68"/>
  <c r="Z97" i="68"/>
  <c r="X97" i="68"/>
  <c r="N97" i="68"/>
  <c r="L97" i="68"/>
  <c r="B97" i="68"/>
  <c r="X96" i="68"/>
  <c r="Z96" i="68" s="1"/>
  <c r="N96" i="68"/>
  <c r="L96" i="68"/>
  <c r="B96" i="68"/>
  <c r="T95" i="68"/>
  <c r="P95" i="68"/>
  <c r="X95" i="68" s="1"/>
  <c r="Z95" i="68" s="1"/>
  <c r="N95" i="68"/>
  <c r="H95" i="68"/>
  <c r="D95" i="68"/>
  <c r="L95" i="68" s="1"/>
  <c r="B95" i="68"/>
  <c r="X94" i="68"/>
  <c r="Z94" i="68" s="1"/>
  <c r="N94" i="68"/>
  <c r="L94" i="68"/>
  <c r="B94" i="68"/>
  <c r="Z93" i="68"/>
  <c r="X93" i="68"/>
  <c r="T93" i="68"/>
  <c r="P93" i="68"/>
  <c r="N93" i="68"/>
  <c r="L93" i="68"/>
  <c r="H93" i="68"/>
  <c r="D93" i="68"/>
  <c r="B93" i="68"/>
  <c r="Z92" i="68"/>
  <c r="X92" i="68"/>
  <c r="N92" i="68"/>
  <c r="L92" i="68"/>
  <c r="B92" i="68"/>
  <c r="T91" i="68"/>
  <c r="X91" i="68" s="1"/>
  <c r="Z91" i="68" s="1"/>
  <c r="P91" i="68"/>
  <c r="H91" i="68"/>
  <c r="N91" i="68" s="1"/>
  <c r="D91" i="68"/>
  <c r="L91" i="68" s="1"/>
  <c r="B91" i="68"/>
  <c r="Z90" i="68"/>
  <c r="X90" i="68"/>
  <c r="N90" i="68"/>
  <c r="L90" i="68"/>
  <c r="B90" i="68"/>
  <c r="Z89" i="68"/>
  <c r="X89" i="68"/>
  <c r="N89" i="68"/>
  <c r="L89" i="68"/>
  <c r="B89" i="68"/>
  <c r="T88" i="68"/>
  <c r="P88" i="68"/>
  <c r="X88" i="68" s="1"/>
  <c r="L88" i="68"/>
  <c r="H88" i="68"/>
  <c r="N88" i="68" s="1"/>
  <c r="D88" i="68"/>
  <c r="B88" i="68"/>
  <c r="X87" i="68"/>
  <c r="Z87" i="68" s="1"/>
  <c r="N87" i="68"/>
  <c r="L87" i="68"/>
  <c r="B87" i="68"/>
  <c r="T86" i="68"/>
  <c r="P86" i="68"/>
  <c r="X86" i="68" s="1"/>
  <c r="L86" i="68"/>
  <c r="H86" i="68"/>
  <c r="N86" i="68" s="1"/>
  <c r="D86" i="68"/>
  <c r="B86" i="68"/>
  <c r="Z85" i="68"/>
  <c r="X85" i="68"/>
  <c r="N85" i="68"/>
  <c r="L85" i="68"/>
  <c r="B85" i="68"/>
  <c r="X84" i="68"/>
  <c r="Z84" i="68" s="1"/>
  <c r="T84" i="68"/>
  <c r="P84" i="68"/>
  <c r="L84" i="68"/>
  <c r="H84" i="68"/>
  <c r="N84" i="68" s="1"/>
  <c r="D84" i="68"/>
  <c r="B84" i="68"/>
  <c r="Z83" i="68"/>
  <c r="X83" i="68"/>
  <c r="L83" i="68"/>
  <c r="N83" i="68" s="1"/>
  <c r="B83" i="68"/>
  <c r="X82" i="68"/>
  <c r="Z82" i="68" s="1"/>
  <c r="N82" i="68"/>
  <c r="L82" i="68"/>
  <c r="B82" i="68"/>
  <c r="Z81" i="68"/>
  <c r="X81" i="68"/>
  <c r="N81" i="68"/>
  <c r="L81" i="68"/>
  <c r="B81" i="68"/>
  <c r="X80" i="68"/>
  <c r="Z80" i="68" s="1"/>
  <c r="L80" i="68"/>
  <c r="N80" i="68" s="1"/>
  <c r="B80" i="68"/>
  <c r="T79" i="68"/>
  <c r="P79" i="68"/>
  <c r="X79" i="68" s="1"/>
  <c r="Z79" i="68" s="1"/>
  <c r="H79" i="68"/>
  <c r="D79" i="68"/>
  <c r="L79" i="68" s="1"/>
  <c r="N79" i="68" s="1"/>
  <c r="B79" i="68"/>
  <c r="X78" i="68"/>
  <c r="Z78" i="68" s="1"/>
  <c r="L78" i="68"/>
  <c r="N78" i="68" s="1"/>
  <c r="B78" i="68"/>
  <c r="Z77" i="68"/>
  <c r="X77" i="68"/>
  <c r="N77" i="68"/>
  <c r="L77" i="68"/>
  <c r="B77" i="68"/>
  <c r="X76" i="68"/>
  <c r="Z76" i="68" s="1"/>
  <c r="N76" i="68"/>
  <c r="L76" i="68"/>
  <c r="B76" i="68"/>
  <c r="X75" i="68"/>
  <c r="Z75" i="68" s="1"/>
  <c r="N75" i="68"/>
  <c r="L75" i="68"/>
  <c r="B75" i="68"/>
  <c r="X74" i="68"/>
  <c r="Z74" i="68" s="1"/>
  <c r="L74" i="68"/>
  <c r="N74" i="68" s="1"/>
  <c r="B74" i="68"/>
  <c r="Z73" i="68"/>
  <c r="X73" i="68"/>
  <c r="N73" i="68"/>
  <c r="L73" i="68"/>
  <c r="B73" i="68"/>
  <c r="X72" i="68"/>
  <c r="Z72" i="68" s="1"/>
  <c r="L72" i="68"/>
  <c r="N72" i="68" s="1"/>
  <c r="B72" i="68"/>
  <c r="X71" i="68"/>
  <c r="Z71" i="68" s="1"/>
  <c r="N71" i="68"/>
  <c r="L71" i="68"/>
  <c r="B71" i="68"/>
  <c r="T70" i="68"/>
  <c r="P70" i="68"/>
  <c r="X70" i="68" s="1"/>
  <c r="L70" i="68"/>
  <c r="H70" i="68"/>
  <c r="N70" i="68" s="1"/>
  <c r="D70" i="68"/>
  <c r="B70" i="68"/>
  <c r="T69" i="68"/>
  <c r="P69" i="68"/>
  <c r="H69" i="68"/>
  <c r="D69" i="68"/>
  <c r="L69" i="68" s="1"/>
  <c r="N69" i="68" s="1"/>
  <c r="Z65" i="68"/>
  <c r="X65" i="68"/>
  <c r="N65" i="68"/>
  <c r="L65" i="68"/>
  <c r="B65" i="68"/>
  <c r="Z64" i="68"/>
  <c r="X64" i="68"/>
  <c r="L64" i="68"/>
  <c r="N64" i="68" s="1"/>
  <c r="B64" i="68"/>
  <c r="Z63" i="68"/>
  <c r="X63" i="68"/>
  <c r="N63" i="68"/>
  <c r="L63" i="68"/>
  <c r="B63" i="68"/>
  <c r="X62" i="68"/>
  <c r="Z62" i="68" s="1"/>
  <c r="L62" i="68"/>
  <c r="N62" i="68" s="1"/>
  <c r="B62" i="68"/>
  <c r="Z61" i="68"/>
  <c r="X61" i="68"/>
  <c r="N61" i="68"/>
  <c r="L61" i="68"/>
  <c r="B61" i="68"/>
  <c r="Z60" i="68"/>
  <c r="X60" i="68"/>
  <c r="L60" i="68"/>
  <c r="N60" i="68" s="1"/>
  <c r="B60" i="68"/>
  <c r="Z59" i="68"/>
  <c r="X59" i="68"/>
  <c r="N59" i="68"/>
  <c r="L59" i="68"/>
  <c r="B59" i="68"/>
  <c r="X58" i="68"/>
  <c r="Z58" i="68" s="1"/>
  <c r="N58" i="68"/>
  <c r="L58" i="68"/>
  <c r="B58" i="68"/>
  <c r="Z57" i="68"/>
  <c r="X57" i="68"/>
  <c r="N57" i="68"/>
  <c r="L57" i="68"/>
  <c r="B57" i="68"/>
  <c r="Z56" i="68"/>
  <c r="X56" i="68"/>
  <c r="N56" i="68"/>
  <c r="L56" i="68"/>
  <c r="B56" i="68"/>
  <c r="Z55" i="68"/>
  <c r="X55" i="68"/>
  <c r="N55" i="68"/>
  <c r="L55" i="68"/>
  <c r="B55" i="68"/>
  <c r="X54" i="68"/>
  <c r="Z54" i="68" s="1"/>
  <c r="N54" i="68"/>
  <c r="L54" i="68"/>
  <c r="B54" i="68"/>
  <c r="Z53" i="68"/>
  <c r="X53" i="68"/>
  <c r="N53" i="68"/>
  <c r="L53" i="68"/>
  <c r="B53" i="68"/>
  <c r="Z52" i="68"/>
  <c r="X52" i="68"/>
  <c r="L52" i="68"/>
  <c r="N52" i="68" s="1"/>
  <c r="B52" i="68"/>
  <c r="Z51" i="68"/>
  <c r="X51" i="68"/>
  <c r="N51" i="68"/>
  <c r="L51" i="68"/>
  <c r="B51" i="68"/>
  <c r="X50" i="68"/>
  <c r="Z50" i="68" s="1"/>
  <c r="L50" i="68"/>
  <c r="N50" i="68" s="1"/>
  <c r="B50" i="68"/>
  <c r="Z49" i="68"/>
  <c r="X49" i="68"/>
  <c r="N49" i="68"/>
  <c r="L49" i="68"/>
  <c r="B49" i="68"/>
  <c r="Z48" i="68"/>
  <c r="X48" i="68"/>
  <c r="L48" i="68"/>
  <c r="N48" i="68" s="1"/>
  <c r="B48" i="68"/>
  <c r="Z47" i="68"/>
  <c r="X47" i="68"/>
  <c r="N47" i="68"/>
  <c r="L47" i="68"/>
  <c r="B47" i="68"/>
  <c r="X46" i="68"/>
  <c r="Z46" i="68" s="1"/>
  <c r="N46" i="68"/>
  <c r="L46" i="68"/>
  <c r="B46" i="68"/>
  <c r="T45" i="68"/>
  <c r="Z45" i="68" s="1"/>
  <c r="P45" i="68"/>
  <c r="X45" i="68" s="1"/>
  <c r="H45" i="68"/>
  <c r="D45" i="68"/>
  <c r="L45" i="68" s="1"/>
  <c r="N45" i="68" s="1"/>
  <c r="T43" i="68"/>
  <c r="Z43" i="68" s="1"/>
  <c r="P43" i="68"/>
  <c r="X43" i="68" s="1"/>
  <c r="N43" i="68"/>
  <c r="H43" i="68"/>
  <c r="L43" i="68" s="1"/>
  <c r="D43" i="68"/>
  <c r="B43" i="68"/>
  <c r="Z42" i="68"/>
  <c r="X42" i="68"/>
  <c r="T42" i="68"/>
  <c r="P42" i="68"/>
  <c r="H42" i="68"/>
  <c r="N42" i="68" s="1"/>
  <c r="D42" i="68"/>
  <c r="L42" i="68" s="1"/>
  <c r="B42" i="68"/>
  <c r="T41" i="68"/>
  <c r="P41" i="68"/>
  <c r="X41" i="68" s="1"/>
  <c r="N41" i="68"/>
  <c r="L41" i="68"/>
  <c r="H41" i="68"/>
  <c r="D41" i="68"/>
  <c r="B41" i="68"/>
  <c r="X40" i="68"/>
  <c r="Z40" i="68" s="1"/>
  <c r="T40" i="68"/>
  <c r="P40" i="68"/>
  <c r="L40" i="68"/>
  <c r="H40" i="68"/>
  <c r="N40" i="68" s="1"/>
  <c r="D40" i="68"/>
  <c r="B40" i="68"/>
  <c r="T39" i="68"/>
  <c r="Z39" i="68" s="1"/>
  <c r="P39" i="68"/>
  <c r="X39" i="68" s="1"/>
  <c r="H39" i="68"/>
  <c r="L39" i="68" s="1"/>
  <c r="N39" i="68" s="1"/>
  <c r="D39" i="68"/>
  <c r="B39" i="68"/>
  <c r="Z38" i="68"/>
  <c r="X38" i="68"/>
  <c r="T38" i="68"/>
  <c r="P38" i="68"/>
  <c r="H38" i="68"/>
  <c r="N38" i="68" s="1"/>
  <c r="D38" i="68"/>
  <c r="L38" i="68" s="1"/>
  <c r="B38" i="68"/>
  <c r="T37" i="68"/>
  <c r="Z37" i="68" s="1"/>
  <c r="P37" i="68"/>
  <c r="X37" i="68" s="1"/>
  <c r="N37" i="68"/>
  <c r="L37" i="68"/>
  <c r="H37" i="68"/>
  <c r="D37" i="68"/>
  <c r="B37" i="68"/>
  <c r="X36" i="68"/>
  <c r="Z36" i="68" s="1"/>
  <c r="T36" i="68"/>
  <c r="P36" i="68"/>
  <c r="L36" i="68"/>
  <c r="H36" i="68"/>
  <c r="N36" i="68" s="1"/>
  <c r="D36" i="68"/>
  <c r="B36" i="68"/>
  <c r="T35" i="68"/>
  <c r="P35" i="68"/>
  <c r="X35" i="68" s="1"/>
  <c r="H35" i="68"/>
  <c r="L35" i="68" s="1"/>
  <c r="N35" i="68" s="1"/>
  <c r="D35" i="68"/>
  <c r="B35" i="68"/>
  <c r="X34" i="68"/>
  <c r="Z34" i="68" s="1"/>
  <c r="T34" i="68"/>
  <c r="P34" i="68"/>
  <c r="H34" i="68"/>
  <c r="D34" i="68"/>
  <c r="L34" i="68" s="1"/>
  <c r="B34" i="68"/>
  <c r="T33" i="68"/>
  <c r="P33" i="68"/>
  <c r="X33" i="68" s="1"/>
  <c r="N33" i="68"/>
  <c r="L33" i="68"/>
  <c r="H33" i="68"/>
  <c r="D33" i="68"/>
  <c r="B33" i="68"/>
  <c r="X32" i="68"/>
  <c r="Z32" i="68" s="1"/>
  <c r="T32" i="68"/>
  <c r="P32" i="68"/>
  <c r="L32" i="68"/>
  <c r="H32" i="68"/>
  <c r="N32" i="68" s="1"/>
  <c r="D32" i="68"/>
  <c r="B32" i="68"/>
  <c r="T31" i="68"/>
  <c r="Z31" i="68" s="1"/>
  <c r="P31" i="68"/>
  <c r="X31" i="68" s="1"/>
  <c r="H31" i="68"/>
  <c r="L31" i="68" s="1"/>
  <c r="N31" i="68" s="1"/>
  <c r="D31" i="68"/>
  <c r="B31" i="68"/>
  <c r="X30" i="68"/>
  <c r="T30" i="68"/>
  <c r="Z30" i="68" s="1"/>
  <c r="P30" i="68"/>
  <c r="H30" i="68"/>
  <c r="N30" i="68" s="1"/>
  <c r="D30" i="68"/>
  <c r="L30" i="68" s="1"/>
  <c r="B30" i="68"/>
  <c r="T29" i="68"/>
  <c r="P29" i="68"/>
  <c r="X29" i="68" s="1"/>
  <c r="N29" i="68"/>
  <c r="L29" i="68"/>
  <c r="H29" i="68"/>
  <c r="D29" i="68"/>
  <c r="B29" i="68"/>
  <c r="X28" i="68"/>
  <c r="Z28" i="68" s="1"/>
  <c r="T28" i="68"/>
  <c r="P28" i="68"/>
  <c r="L28" i="68"/>
  <c r="H28" i="68"/>
  <c r="N28" i="68" s="1"/>
  <c r="D28" i="68"/>
  <c r="B28" i="68"/>
  <c r="T27" i="68"/>
  <c r="P27" i="68"/>
  <c r="X27" i="68" s="1"/>
  <c r="H27" i="68"/>
  <c r="L27" i="68" s="1"/>
  <c r="N27" i="68" s="1"/>
  <c r="D27" i="68"/>
  <c r="B27" i="68"/>
  <c r="T26" i="68"/>
  <c r="P26" i="68"/>
  <c r="H26" i="68"/>
  <c r="N26" i="68" s="1"/>
  <c r="D26" i="68"/>
  <c r="L26" i="68" s="1"/>
  <c r="B26" i="68"/>
  <c r="T25" i="68"/>
  <c r="P25" i="68"/>
  <c r="X25" i="68" s="1"/>
  <c r="L25" i="68"/>
  <c r="N25" i="68" s="1"/>
  <c r="H25" i="68"/>
  <c r="D25" i="68"/>
  <c r="B25" i="68"/>
  <c r="X24" i="68"/>
  <c r="Z24" i="68" s="1"/>
  <c r="T24" i="68"/>
  <c r="P24" i="68"/>
  <c r="L24" i="68"/>
  <c r="H24" i="68"/>
  <c r="N24" i="68" s="1"/>
  <c r="D24" i="68"/>
  <c r="B24" i="68"/>
  <c r="T23" i="68"/>
  <c r="Z23" i="68" s="1"/>
  <c r="P23" i="68"/>
  <c r="X23" i="68" s="1"/>
  <c r="H23" i="68"/>
  <c r="L23" i="68" s="1"/>
  <c r="N23" i="68" s="1"/>
  <c r="D23" i="68"/>
  <c r="B23" i="68"/>
  <c r="T22" i="68"/>
  <c r="P22" i="68"/>
  <c r="H22" i="68"/>
  <c r="D22" i="68"/>
  <c r="L22" i="68" s="1"/>
  <c r="B22" i="68"/>
  <c r="T21" i="68"/>
  <c r="P21" i="68"/>
  <c r="X21" i="68" s="1"/>
  <c r="L21" i="68"/>
  <c r="N21" i="68" s="1"/>
  <c r="H21" i="68"/>
  <c r="D21" i="68"/>
  <c r="B21" i="68"/>
  <c r="X20" i="68"/>
  <c r="Z20" i="68" s="1"/>
  <c r="T20" i="68"/>
  <c r="P20" i="68"/>
  <c r="L20" i="68"/>
  <c r="H20" i="68"/>
  <c r="N20" i="68" s="1"/>
  <c r="D20" i="68"/>
  <c r="B20" i="68"/>
  <c r="T19" i="68"/>
  <c r="P19" i="68"/>
  <c r="X19" i="68" s="1"/>
  <c r="H19" i="68"/>
  <c r="L19" i="68" s="1"/>
  <c r="N19" i="68" s="1"/>
  <c r="D19" i="68"/>
  <c r="B19" i="68"/>
  <c r="T18" i="68"/>
  <c r="P18" i="68"/>
  <c r="H18" i="68"/>
  <c r="N18" i="68" s="1"/>
  <c r="D18" i="68"/>
  <c r="L18" i="68" s="1"/>
  <c r="B18" i="68"/>
  <c r="T17" i="68"/>
  <c r="Z17" i="68" s="1"/>
  <c r="P17" i="68"/>
  <c r="X17" i="68" s="1"/>
  <c r="L17" i="68"/>
  <c r="N17" i="68" s="1"/>
  <c r="H17" i="68"/>
  <c r="D17" i="68"/>
  <c r="B17" i="68"/>
  <c r="X16" i="68"/>
  <c r="Z16" i="68" s="1"/>
  <c r="T16" i="68"/>
  <c r="P16" i="68"/>
  <c r="L16" i="68"/>
  <c r="H16" i="68"/>
  <c r="N16" i="68" s="1"/>
  <c r="D16" i="68"/>
  <c r="B16" i="68"/>
  <c r="T15" i="68"/>
  <c r="P15" i="68"/>
  <c r="X15" i="68" s="1"/>
  <c r="H15" i="68"/>
  <c r="L15" i="68" s="1"/>
  <c r="N15" i="68" s="1"/>
  <c r="D15" i="68"/>
  <c r="B15" i="68"/>
  <c r="T14" i="68"/>
  <c r="P14" i="68"/>
  <c r="H14" i="68"/>
  <c r="H12" i="68" s="1"/>
  <c r="D14" i="68"/>
  <c r="D12" i="68" s="1"/>
  <c r="B14" i="68"/>
  <c r="T13" i="68"/>
  <c r="T12" i="68" s="1"/>
  <c r="P13" i="68"/>
  <c r="X13" i="68" s="1"/>
  <c r="N13" i="68"/>
  <c r="L13" i="68"/>
  <c r="H13" i="68"/>
  <c r="D13" i="68"/>
  <c r="B13" i="68"/>
  <c r="D6" i="68"/>
  <c r="D4" i="68"/>
  <c r="Z60" i="67"/>
  <c r="X60" i="67"/>
  <c r="N60" i="67"/>
  <c r="L60" i="67"/>
  <c r="Z56" i="67"/>
  <c r="X56" i="67"/>
  <c r="T56" i="67"/>
  <c r="P56" i="67"/>
  <c r="N56" i="67"/>
  <c r="L56" i="67"/>
  <c r="H56" i="67"/>
  <c r="D56" i="67"/>
  <c r="X54" i="67"/>
  <c r="Z54" i="67" s="1"/>
  <c r="N54" i="67"/>
  <c r="L54" i="67"/>
  <c r="B54" i="67"/>
  <c r="T53" i="67"/>
  <c r="P53" i="67"/>
  <c r="X53" i="67" s="1"/>
  <c r="Z53" i="67" s="1"/>
  <c r="H53" i="67"/>
  <c r="N53" i="67" s="1"/>
  <c r="D53" i="67"/>
  <c r="L53" i="67" s="1"/>
  <c r="B53" i="67"/>
  <c r="X52" i="67"/>
  <c r="Z52" i="67" s="1"/>
  <c r="N52" i="67"/>
  <c r="L52" i="67"/>
  <c r="B52" i="67"/>
  <c r="Z51" i="67"/>
  <c r="X51" i="67"/>
  <c r="T51" i="67"/>
  <c r="P51" i="67"/>
  <c r="H51" i="67"/>
  <c r="D51" i="67"/>
  <c r="L51" i="67" s="1"/>
  <c r="N51" i="67" s="1"/>
  <c r="B51" i="67"/>
  <c r="X50" i="67"/>
  <c r="Z50" i="67" s="1"/>
  <c r="N50" i="67"/>
  <c r="L50" i="67"/>
  <c r="B50" i="67"/>
  <c r="X49" i="67"/>
  <c r="Z49" i="67" s="1"/>
  <c r="N49" i="67"/>
  <c r="L49" i="67"/>
  <c r="J49" i="67"/>
  <c r="B49" i="67"/>
  <c r="Z48" i="67"/>
  <c r="X48" i="67"/>
  <c r="N48" i="67"/>
  <c r="L48" i="67"/>
  <c r="B48" i="67"/>
  <c r="T47" i="67"/>
  <c r="X47" i="67" s="1"/>
  <c r="Z47" i="67" s="1"/>
  <c r="P47" i="67"/>
  <c r="L47" i="67"/>
  <c r="J47" i="67"/>
  <c r="H47" i="67"/>
  <c r="N47" i="67" s="1"/>
  <c r="D47" i="67"/>
  <c r="B47" i="67"/>
  <c r="X46" i="67"/>
  <c r="Z46" i="67" s="1"/>
  <c r="N46" i="67"/>
  <c r="L46" i="67"/>
  <c r="J46" i="67"/>
  <c r="B46" i="67"/>
  <c r="Z45" i="67"/>
  <c r="X45" i="67"/>
  <c r="N45" i="67"/>
  <c r="L45" i="67"/>
  <c r="B45" i="67"/>
  <c r="X44" i="67"/>
  <c r="Z44" i="67" s="1"/>
  <c r="T44" i="67"/>
  <c r="P44" i="67"/>
  <c r="N44" i="67"/>
  <c r="L44" i="67"/>
  <c r="H44" i="67"/>
  <c r="D44" i="67"/>
  <c r="B44" i="67"/>
  <c r="Z43" i="67"/>
  <c r="X43" i="67"/>
  <c r="N43" i="67"/>
  <c r="L43" i="67"/>
  <c r="B43" i="67"/>
  <c r="T42" i="67"/>
  <c r="Z42" i="67" s="1"/>
  <c r="P42" i="67"/>
  <c r="X42" i="67" s="1"/>
  <c r="L42" i="67"/>
  <c r="H42" i="67"/>
  <c r="N42" i="67" s="1"/>
  <c r="D42" i="67"/>
  <c r="B42" i="67"/>
  <c r="X41" i="67"/>
  <c r="Z41" i="67" s="1"/>
  <c r="N41" i="67"/>
  <c r="L41" i="67"/>
  <c r="J41" i="67"/>
  <c r="B41" i="67"/>
  <c r="T40" i="67"/>
  <c r="P40" i="67"/>
  <c r="X40" i="67" s="1"/>
  <c r="Z40" i="67" s="1"/>
  <c r="H40" i="67"/>
  <c r="D40" i="67"/>
  <c r="L40" i="67" s="1"/>
  <c r="B40" i="67"/>
  <c r="Z39" i="67"/>
  <c r="X39" i="67"/>
  <c r="N39" i="67"/>
  <c r="L39" i="67"/>
  <c r="B39" i="67"/>
  <c r="X38" i="67"/>
  <c r="Z38" i="67" s="1"/>
  <c r="T38" i="67"/>
  <c r="P38" i="67"/>
  <c r="L38" i="67"/>
  <c r="N38" i="67" s="1"/>
  <c r="H38" i="67"/>
  <c r="D38" i="67"/>
  <c r="B38" i="67"/>
  <c r="Z37" i="67"/>
  <c r="X37" i="67"/>
  <c r="L37" i="67"/>
  <c r="N37" i="67" s="1"/>
  <c r="J37" i="67"/>
  <c r="B37" i="67"/>
  <c r="X36" i="67"/>
  <c r="T36" i="67"/>
  <c r="Z36" i="67" s="1"/>
  <c r="P36" i="67"/>
  <c r="J36" i="67"/>
  <c r="H36" i="67"/>
  <c r="D36" i="67"/>
  <c r="L36" i="67" s="1"/>
  <c r="B36" i="67"/>
  <c r="Z35" i="67"/>
  <c r="X35" i="67"/>
  <c r="N35" i="67"/>
  <c r="L35" i="67"/>
  <c r="B35" i="67"/>
  <c r="X34" i="67"/>
  <c r="Z34" i="67" s="1"/>
  <c r="L34" i="67"/>
  <c r="N34" i="67" s="1"/>
  <c r="J34" i="67"/>
  <c r="B34" i="67"/>
  <c r="X33" i="67"/>
  <c r="Z33" i="67" s="1"/>
  <c r="V33" i="67"/>
  <c r="N33" i="67"/>
  <c r="L33" i="67"/>
  <c r="J33" i="67"/>
  <c r="B33" i="67"/>
  <c r="Z32" i="67"/>
  <c r="X32" i="67"/>
  <c r="L32" i="67"/>
  <c r="N32" i="67" s="1"/>
  <c r="B32" i="67"/>
  <c r="Z31" i="67"/>
  <c r="X31" i="67"/>
  <c r="N31" i="67"/>
  <c r="L31" i="67"/>
  <c r="B31" i="67"/>
  <c r="X30" i="67"/>
  <c r="Z30" i="67" s="1"/>
  <c r="L30" i="67"/>
  <c r="N30" i="67" s="1"/>
  <c r="J30" i="67"/>
  <c r="B30" i="67"/>
  <c r="X29" i="67"/>
  <c r="V29" i="67"/>
  <c r="T29" i="67"/>
  <c r="Z29" i="67" s="1"/>
  <c r="P29" i="67"/>
  <c r="J29" i="67"/>
  <c r="H29" i="67"/>
  <c r="L29" i="67" s="1"/>
  <c r="N29" i="67" s="1"/>
  <c r="D29" i="67"/>
  <c r="B29" i="67"/>
  <c r="X28" i="67"/>
  <c r="Z28" i="67" s="1"/>
  <c r="L28" i="67"/>
  <c r="N28" i="67" s="1"/>
  <c r="B28" i="67"/>
  <c r="X27" i="67"/>
  <c r="Z27" i="67" s="1"/>
  <c r="N27" i="67"/>
  <c r="L27" i="67"/>
  <c r="J27" i="67"/>
  <c r="B27" i="67"/>
  <c r="X26" i="67"/>
  <c r="Z26" i="67" s="1"/>
  <c r="L26" i="67"/>
  <c r="N26" i="67" s="1"/>
  <c r="J26" i="67"/>
  <c r="F26" i="67"/>
  <c r="B26" i="67"/>
  <c r="Z25" i="67"/>
  <c r="X25" i="67"/>
  <c r="V25" i="67"/>
  <c r="N25" i="67"/>
  <c r="L25" i="67"/>
  <c r="B25" i="67"/>
  <c r="X24" i="67"/>
  <c r="Z24" i="67" s="1"/>
  <c r="L24" i="67"/>
  <c r="N24" i="67" s="1"/>
  <c r="B24" i="67"/>
  <c r="X23" i="67"/>
  <c r="Z23" i="67" s="1"/>
  <c r="N23" i="67"/>
  <c r="L23" i="67"/>
  <c r="J23" i="67"/>
  <c r="B23" i="67"/>
  <c r="X22" i="67"/>
  <c r="Z22" i="67" s="1"/>
  <c r="L22" i="67"/>
  <c r="N22" i="67" s="1"/>
  <c r="J22" i="67"/>
  <c r="B22" i="67"/>
  <c r="Z21" i="67"/>
  <c r="X21" i="67"/>
  <c r="V21" i="67"/>
  <c r="N21" i="67"/>
  <c r="L21" i="67"/>
  <c r="B21" i="67"/>
  <c r="X20" i="67"/>
  <c r="Z20" i="67" s="1"/>
  <c r="L20" i="67"/>
  <c r="N20" i="67" s="1"/>
  <c r="B20" i="67"/>
  <c r="T19" i="67"/>
  <c r="Z19" i="67" s="1"/>
  <c r="P19" i="67"/>
  <c r="X19" i="67" s="1"/>
  <c r="J19" i="67"/>
  <c r="H19" i="67"/>
  <c r="D19" i="67"/>
  <c r="L19" i="67" s="1"/>
  <c r="N19" i="67" s="1"/>
  <c r="B19" i="67"/>
  <c r="T18" i="67"/>
  <c r="P18" i="67"/>
  <c r="X18" i="67" s="1"/>
  <c r="L18" i="67"/>
  <c r="J18" i="67"/>
  <c r="H18" i="67"/>
  <c r="D18" i="67"/>
  <c r="P16" i="67"/>
  <c r="J16" i="67"/>
  <c r="T14" i="67"/>
  <c r="Z14" i="67" s="1"/>
  <c r="P14" i="67"/>
  <c r="L14" i="67"/>
  <c r="J14" i="67"/>
  <c r="H14" i="67"/>
  <c r="N14" i="67" s="1"/>
  <c r="D14" i="67"/>
  <c r="T12" i="67"/>
  <c r="V53" i="67" s="1"/>
  <c r="P12" i="67"/>
  <c r="N12" i="67"/>
  <c r="L12" i="67"/>
  <c r="H12" i="67"/>
  <c r="J65" i="67" s="1"/>
  <c r="D12" i="67"/>
  <c r="D6" i="67"/>
  <c r="D4" i="67"/>
  <c r="Z103" i="63"/>
  <c r="X103" i="63"/>
  <c r="N103" i="63"/>
  <c r="L103" i="63"/>
  <c r="V101" i="63"/>
  <c r="T99" i="63"/>
  <c r="P99" i="63"/>
  <c r="X99" i="63" s="1"/>
  <c r="H99" i="63"/>
  <c r="D99" i="63"/>
  <c r="B99" i="63"/>
  <c r="X98" i="63"/>
  <c r="T98" i="63"/>
  <c r="P98" i="63"/>
  <c r="H98" i="63"/>
  <c r="L98" i="63" s="1"/>
  <c r="D98" i="63"/>
  <c r="B98" i="63"/>
  <c r="T97" i="63"/>
  <c r="P97" i="63"/>
  <c r="L97" i="63"/>
  <c r="N97" i="63" s="1"/>
  <c r="H97" i="63"/>
  <c r="D97" i="63"/>
  <c r="B97" i="63"/>
  <c r="D96" i="63"/>
  <c r="Z94" i="63"/>
  <c r="X94" i="63"/>
  <c r="N94" i="63"/>
  <c r="L94" i="63"/>
  <c r="B94" i="63"/>
  <c r="T93" i="63"/>
  <c r="P93" i="63"/>
  <c r="H93" i="63"/>
  <c r="D93" i="63"/>
  <c r="B93" i="63"/>
  <c r="X92" i="63"/>
  <c r="Z92" i="63" s="1"/>
  <c r="N92" i="63"/>
  <c r="L92" i="63"/>
  <c r="B92" i="63"/>
  <c r="Z91" i="63"/>
  <c r="X91" i="63"/>
  <c r="L91" i="63"/>
  <c r="N91" i="63" s="1"/>
  <c r="B91" i="63"/>
  <c r="Z90" i="63"/>
  <c r="X90" i="63"/>
  <c r="N90" i="63"/>
  <c r="L90" i="63"/>
  <c r="B90" i="63"/>
  <c r="Z89" i="63"/>
  <c r="X89" i="63"/>
  <c r="T89" i="63"/>
  <c r="P89" i="63"/>
  <c r="H89" i="63"/>
  <c r="D89" i="63"/>
  <c r="L89" i="63" s="1"/>
  <c r="N89" i="63" s="1"/>
  <c r="B89" i="63"/>
  <c r="Z88" i="63"/>
  <c r="X88" i="63"/>
  <c r="N88" i="63"/>
  <c r="L88" i="63"/>
  <c r="B88" i="63"/>
  <c r="T87" i="63"/>
  <c r="P87" i="63"/>
  <c r="L87" i="63"/>
  <c r="H87" i="63"/>
  <c r="N87" i="63" s="1"/>
  <c r="D87" i="63"/>
  <c r="B87" i="63"/>
  <c r="X86" i="63"/>
  <c r="Z86" i="63" s="1"/>
  <c r="V86" i="63"/>
  <c r="N86" i="63"/>
  <c r="L86" i="63"/>
  <c r="B86" i="63"/>
  <c r="T85" i="63"/>
  <c r="Z85" i="63" s="1"/>
  <c r="P85" i="63"/>
  <c r="X85" i="63" s="1"/>
  <c r="H85" i="63"/>
  <c r="N85" i="63" s="1"/>
  <c r="D85" i="63"/>
  <c r="L85" i="63" s="1"/>
  <c r="B85" i="63"/>
  <c r="X84" i="63"/>
  <c r="Z84" i="63" s="1"/>
  <c r="N84" i="63"/>
  <c r="L84" i="63"/>
  <c r="B84" i="63"/>
  <c r="X83" i="63"/>
  <c r="Z83" i="63" s="1"/>
  <c r="N83" i="63"/>
  <c r="L83" i="63"/>
  <c r="F83" i="63"/>
  <c r="B83" i="63"/>
  <c r="Z82" i="63"/>
  <c r="X82" i="63"/>
  <c r="V82" i="63"/>
  <c r="N82" i="63"/>
  <c r="L82" i="63"/>
  <c r="B82" i="63"/>
  <c r="X81" i="63"/>
  <c r="Z81" i="63" s="1"/>
  <c r="L81" i="63"/>
  <c r="N81" i="63" s="1"/>
  <c r="B81" i="63"/>
  <c r="Z80" i="63"/>
  <c r="X80" i="63"/>
  <c r="N80" i="63"/>
  <c r="L80" i="63"/>
  <c r="B80" i="63"/>
  <c r="X79" i="63"/>
  <c r="Z79" i="63" s="1"/>
  <c r="L79" i="63"/>
  <c r="N79" i="63" s="1"/>
  <c r="F79" i="63"/>
  <c r="B79" i="63"/>
  <c r="V78" i="63"/>
  <c r="T78" i="63"/>
  <c r="P78" i="63"/>
  <c r="X78" i="63" s="1"/>
  <c r="Z78" i="63" s="1"/>
  <c r="H78" i="63"/>
  <c r="F78" i="63"/>
  <c r="D78" i="63"/>
  <c r="B78" i="63"/>
  <c r="X77" i="63"/>
  <c r="Z77" i="63" s="1"/>
  <c r="N77" i="63"/>
  <c r="L77" i="63"/>
  <c r="B77" i="63"/>
  <c r="Z76" i="63"/>
  <c r="X76" i="63"/>
  <c r="T76" i="63"/>
  <c r="P76" i="63"/>
  <c r="N76" i="63"/>
  <c r="H76" i="63"/>
  <c r="D76" i="63"/>
  <c r="L76" i="63" s="1"/>
  <c r="B76" i="63"/>
  <c r="Z75" i="63"/>
  <c r="X75" i="63"/>
  <c r="L75" i="63"/>
  <c r="N75" i="63" s="1"/>
  <c r="B75" i="63"/>
  <c r="X74" i="63"/>
  <c r="Z74" i="63" s="1"/>
  <c r="V74" i="63"/>
  <c r="N74" i="63"/>
  <c r="L74" i="63"/>
  <c r="B74" i="63"/>
  <c r="Z73" i="63"/>
  <c r="X73" i="63"/>
  <c r="L73" i="63"/>
  <c r="N73" i="63" s="1"/>
  <c r="B73" i="63"/>
  <c r="T72" i="63"/>
  <c r="P72" i="63"/>
  <c r="X72" i="63" s="1"/>
  <c r="Z72" i="63" s="1"/>
  <c r="L72" i="63"/>
  <c r="N72" i="63" s="1"/>
  <c r="H72" i="63"/>
  <c r="D72" i="63"/>
  <c r="B72" i="63"/>
  <c r="X71" i="63"/>
  <c r="Z71" i="63" s="1"/>
  <c r="L71" i="63"/>
  <c r="N71" i="63" s="1"/>
  <c r="F71" i="63"/>
  <c r="B71" i="63"/>
  <c r="Z70" i="63"/>
  <c r="X70" i="63"/>
  <c r="V70" i="63"/>
  <c r="N70" i="63"/>
  <c r="L70" i="63"/>
  <c r="B70" i="63"/>
  <c r="X69" i="63"/>
  <c r="Z69" i="63" s="1"/>
  <c r="L69" i="63"/>
  <c r="N69" i="63" s="1"/>
  <c r="B69" i="63"/>
  <c r="X68" i="63"/>
  <c r="Z68" i="63" s="1"/>
  <c r="N68" i="63"/>
  <c r="L68" i="63"/>
  <c r="B68" i="63"/>
  <c r="T67" i="63"/>
  <c r="Z67" i="63" s="1"/>
  <c r="P67" i="63"/>
  <c r="X67" i="63" s="1"/>
  <c r="L67" i="63"/>
  <c r="N67" i="63" s="1"/>
  <c r="H67" i="63"/>
  <c r="D67" i="63"/>
  <c r="B67" i="63"/>
  <c r="Z66" i="63"/>
  <c r="X66" i="63"/>
  <c r="L66" i="63"/>
  <c r="N66" i="63" s="1"/>
  <c r="B66" i="63"/>
  <c r="X65" i="63"/>
  <c r="T65" i="63"/>
  <c r="Z65" i="63" s="1"/>
  <c r="P65" i="63"/>
  <c r="H65" i="63"/>
  <c r="D65" i="63"/>
  <c r="B65" i="63"/>
  <c r="Z64" i="63"/>
  <c r="X64" i="63"/>
  <c r="N64" i="63"/>
  <c r="L64" i="63"/>
  <c r="B64" i="63"/>
  <c r="T63" i="63"/>
  <c r="Z63" i="63" s="1"/>
  <c r="P63" i="63"/>
  <c r="X63" i="63" s="1"/>
  <c r="H63" i="63"/>
  <c r="N63" i="63" s="1"/>
  <c r="D63" i="63"/>
  <c r="L63" i="63" s="1"/>
  <c r="B63" i="63"/>
  <c r="Z62" i="63"/>
  <c r="X62" i="63"/>
  <c r="V62" i="63"/>
  <c r="N62" i="63"/>
  <c r="L62" i="63"/>
  <c r="B62" i="63"/>
  <c r="X61" i="63"/>
  <c r="Z61" i="63" s="1"/>
  <c r="T61" i="63"/>
  <c r="P61" i="63"/>
  <c r="H61" i="63"/>
  <c r="N61" i="63" s="1"/>
  <c r="D61" i="63"/>
  <c r="L61" i="63" s="1"/>
  <c r="B61" i="63"/>
  <c r="Z60" i="63"/>
  <c r="X60" i="63"/>
  <c r="N60" i="63"/>
  <c r="L60" i="63"/>
  <c r="B60" i="63"/>
  <c r="T59" i="63"/>
  <c r="P59" i="63"/>
  <c r="L59" i="63"/>
  <c r="H59" i="63"/>
  <c r="N59" i="63" s="1"/>
  <c r="D59" i="63"/>
  <c r="B59" i="63"/>
  <c r="X58" i="63"/>
  <c r="Z58" i="63" s="1"/>
  <c r="V58" i="63"/>
  <c r="N58" i="63"/>
  <c r="L58" i="63"/>
  <c r="B58" i="63"/>
  <c r="T57" i="63"/>
  <c r="P57" i="63"/>
  <c r="X57" i="63" s="1"/>
  <c r="H57" i="63"/>
  <c r="N57" i="63" s="1"/>
  <c r="D57" i="63"/>
  <c r="L57" i="63" s="1"/>
  <c r="B57" i="63"/>
  <c r="Z56" i="63"/>
  <c r="X56" i="63"/>
  <c r="N56" i="63"/>
  <c r="L56" i="63"/>
  <c r="B56" i="63"/>
  <c r="T55" i="63"/>
  <c r="Z55" i="63" s="1"/>
  <c r="P55" i="63"/>
  <c r="X55" i="63" s="1"/>
  <c r="N55" i="63"/>
  <c r="L55" i="63"/>
  <c r="H55" i="63"/>
  <c r="D55" i="63"/>
  <c r="B55" i="63"/>
  <c r="Z54" i="63"/>
  <c r="X54" i="63"/>
  <c r="N54" i="63"/>
  <c r="L54" i="63"/>
  <c r="B54" i="63"/>
  <c r="X53" i="63"/>
  <c r="T53" i="63"/>
  <c r="Z53" i="63" s="1"/>
  <c r="P53" i="63"/>
  <c r="H53" i="63"/>
  <c r="D53" i="63"/>
  <c r="B53" i="63"/>
  <c r="Z52" i="63"/>
  <c r="X52" i="63"/>
  <c r="N52" i="63"/>
  <c r="L52" i="63"/>
  <c r="B52" i="63"/>
  <c r="T51" i="63"/>
  <c r="P51" i="63"/>
  <c r="X51" i="63" s="1"/>
  <c r="H51" i="63"/>
  <c r="N51" i="63" s="1"/>
  <c r="D51" i="63"/>
  <c r="L51" i="63" s="1"/>
  <c r="B51" i="63"/>
  <c r="Z50" i="63"/>
  <c r="X50" i="63"/>
  <c r="V50" i="63"/>
  <c r="N50" i="63"/>
  <c r="L50" i="63"/>
  <c r="B50" i="63"/>
  <c r="X49" i="63"/>
  <c r="Z49" i="63" s="1"/>
  <c r="L49" i="63"/>
  <c r="N49" i="63" s="1"/>
  <c r="B49" i="63"/>
  <c r="V48" i="63"/>
  <c r="T48" i="63"/>
  <c r="R48" i="63"/>
  <c r="P48" i="63"/>
  <c r="H48" i="63"/>
  <c r="D48" i="63"/>
  <c r="L48" i="63" s="1"/>
  <c r="N48" i="63" s="1"/>
  <c r="B48" i="63"/>
  <c r="X47" i="63"/>
  <c r="Z47" i="63" s="1"/>
  <c r="V47" i="63"/>
  <c r="R47" i="63"/>
  <c r="L47" i="63"/>
  <c r="N47" i="63" s="1"/>
  <c r="F47" i="63"/>
  <c r="B47" i="63"/>
  <c r="Z46" i="63"/>
  <c r="X46" i="63"/>
  <c r="L46" i="63"/>
  <c r="N46" i="63" s="1"/>
  <c r="B46" i="63"/>
  <c r="X45" i="63"/>
  <c r="T45" i="63"/>
  <c r="Z45" i="63" s="1"/>
  <c r="P45" i="63"/>
  <c r="H45" i="63"/>
  <c r="D45" i="63"/>
  <c r="B45" i="63"/>
  <c r="Z44" i="63"/>
  <c r="X44" i="63"/>
  <c r="L44" i="63"/>
  <c r="N44" i="63" s="1"/>
  <c r="F44" i="63"/>
  <c r="B44" i="63"/>
  <c r="T43" i="63"/>
  <c r="Z43" i="63" s="1"/>
  <c r="P43" i="63"/>
  <c r="X43" i="63" s="1"/>
  <c r="H43" i="63"/>
  <c r="F43" i="63"/>
  <c r="D43" i="63"/>
  <c r="L43" i="63" s="1"/>
  <c r="B43" i="63"/>
  <c r="Z42" i="63"/>
  <c r="X42" i="63"/>
  <c r="V42" i="63"/>
  <c r="N42" i="63"/>
  <c r="L42" i="63"/>
  <c r="B42" i="63"/>
  <c r="X41" i="63"/>
  <c r="Z41" i="63" s="1"/>
  <c r="L41" i="63"/>
  <c r="N41" i="63" s="1"/>
  <c r="B41" i="63"/>
  <c r="V40" i="63"/>
  <c r="T40" i="63"/>
  <c r="R40" i="63"/>
  <c r="P40" i="63"/>
  <c r="H40" i="63"/>
  <c r="D40" i="63"/>
  <c r="L40" i="63" s="1"/>
  <c r="N40" i="63" s="1"/>
  <c r="B40" i="63"/>
  <c r="X39" i="63"/>
  <c r="Z39" i="63" s="1"/>
  <c r="V39" i="63"/>
  <c r="R39" i="63"/>
  <c r="L39" i="63"/>
  <c r="N39" i="63" s="1"/>
  <c r="F39" i="63"/>
  <c r="B39" i="63"/>
  <c r="T38" i="63"/>
  <c r="P38" i="63"/>
  <c r="X38" i="63" s="1"/>
  <c r="Z38" i="63" s="1"/>
  <c r="N38" i="63"/>
  <c r="L38" i="63"/>
  <c r="H38" i="63"/>
  <c r="F38" i="63"/>
  <c r="D38" i="63"/>
  <c r="B38" i="63"/>
  <c r="Z37" i="63"/>
  <c r="X37" i="63"/>
  <c r="L37" i="63"/>
  <c r="N37" i="63" s="1"/>
  <c r="B37" i="63"/>
  <c r="Z36" i="63"/>
  <c r="X36" i="63"/>
  <c r="V36" i="63"/>
  <c r="L36" i="63"/>
  <c r="N36" i="63" s="1"/>
  <c r="F36" i="63"/>
  <c r="B36" i="63"/>
  <c r="X35" i="63"/>
  <c r="Z35" i="63" s="1"/>
  <c r="R35" i="63"/>
  <c r="N35" i="63"/>
  <c r="L35" i="63"/>
  <c r="B35" i="63"/>
  <c r="Z34" i="63"/>
  <c r="X34" i="63"/>
  <c r="V34" i="63"/>
  <c r="N34" i="63"/>
  <c r="L34" i="63"/>
  <c r="B34" i="63"/>
  <c r="Z33" i="63"/>
  <c r="X33" i="63"/>
  <c r="N33" i="63"/>
  <c r="L33" i="63"/>
  <c r="B33" i="63"/>
  <c r="Z32" i="63"/>
  <c r="X32" i="63"/>
  <c r="V32" i="63"/>
  <c r="L32" i="63"/>
  <c r="N32" i="63" s="1"/>
  <c r="F32" i="63"/>
  <c r="B32" i="63"/>
  <c r="X31" i="63"/>
  <c r="Z31" i="63" s="1"/>
  <c r="R31" i="63"/>
  <c r="L31" i="63"/>
  <c r="N31" i="63" s="1"/>
  <c r="B31" i="63"/>
  <c r="X30" i="63"/>
  <c r="Z30" i="63" s="1"/>
  <c r="V30" i="63"/>
  <c r="T30" i="63"/>
  <c r="P30" i="63"/>
  <c r="H30" i="63"/>
  <c r="D30" i="63"/>
  <c r="L30" i="63" s="1"/>
  <c r="N30" i="63" s="1"/>
  <c r="B30" i="63"/>
  <c r="X29" i="63"/>
  <c r="Z29" i="63" s="1"/>
  <c r="L29" i="63"/>
  <c r="N29" i="63" s="1"/>
  <c r="F29" i="63"/>
  <c r="B29" i="63"/>
  <c r="X28" i="63"/>
  <c r="Z28" i="63" s="1"/>
  <c r="V28" i="63"/>
  <c r="N28" i="63"/>
  <c r="L28" i="63"/>
  <c r="B28" i="63"/>
  <c r="X27" i="63"/>
  <c r="Z27" i="63" s="1"/>
  <c r="V27" i="63"/>
  <c r="L27" i="63"/>
  <c r="N27" i="63" s="1"/>
  <c r="F27" i="63"/>
  <c r="B27" i="63"/>
  <c r="Z26" i="63"/>
  <c r="X26" i="63"/>
  <c r="V26" i="63"/>
  <c r="N26" i="63"/>
  <c r="L26" i="63"/>
  <c r="F26" i="63"/>
  <c r="B26" i="63"/>
  <c r="Z25" i="63"/>
  <c r="X25" i="63"/>
  <c r="N25" i="63"/>
  <c r="L25" i="63"/>
  <c r="F25" i="63"/>
  <c r="B25" i="63"/>
  <c r="X24" i="63"/>
  <c r="Z24" i="63" s="1"/>
  <c r="V24" i="63"/>
  <c r="N24" i="63"/>
  <c r="L24" i="63"/>
  <c r="B24" i="63"/>
  <c r="X23" i="63"/>
  <c r="Z23" i="63" s="1"/>
  <c r="V23" i="63"/>
  <c r="L23" i="63"/>
  <c r="N23" i="63" s="1"/>
  <c r="F23" i="63"/>
  <c r="B23" i="63"/>
  <c r="Z22" i="63"/>
  <c r="X22" i="63"/>
  <c r="V22" i="63"/>
  <c r="N22" i="63"/>
  <c r="L22" i="63"/>
  <c r="F22" i="63"/>
  <c r="B22" i="63"/>
  <c r="X21" i="63"/>
  <c r="Z21" i="63" s="1"/>
  <c r="L21" i="63"/>
  <c r="N21" i="63" s="1"/>
  <c r="F21" i="63"/>
  <c r="B21" i="63"/>
  <c r="X20" i="63"/>
  <c r="Z20" i="63" s="1"/>
  <c r="V20" i="63"/>
  <c r="N20" i="63"/>
  <c r="L20" i="63"/>
  <c r="B20" i="63"/>
  <c r="V19" i="63"/>
  <c r="T19" i="63"/>
  <c r="P19" i="63"/>
  <c r="X19" i="63" s="1"/>
  <c r="L19" i="63"/>
  <c r="N19" i="63" s="1"/>
  <c r="H19" i="63"/>
  <c r="D19" i="63"/>
  <c r="B19" i="63"/>
  <c r="T18" i="63"/>
  <c r="P18" i="63"/>
  <c r="H18" i="63"/>
  <c r="F18" i="63"/>
  <c r="D18" i="63"/>
  <c r="L18" i="63" s="1"/>
  <c r="N18" i="63" s="1"/>
  <c r="F16" i="63"/>
  <c r="T14" i="63"/>
  <c r="Z14" i="63" s="1"/>
  <c r="P14" i="63"/>
  <c r="X14" i="63" s="1"/>
  <c r="N14" i="63"/>
  <c r="H14" i="63"/>
  <c r="F14" i="63"/>
  <c r="D14" i="63"/>
  <c r="D16" i="63" s="1"/>
  <c r="Z12" i="63"/>
  <c r="T12" i="63"/>
  <c r="V94" i="63" s="1"/>
  <c r="P12" i="63"/>
  <c r="R73" i="63" s="1"/>
  <c r="H12" i="63"/>
  <c r="J94" i="63" s="1"/>
  <c r="D12" i="63"/>
  <c r="D6" i="63"/>
  <c r="D4" i="63"/>
  <c r="V56" i="61"/>
  <c r="V53" i="61"/>
  <c r="Z51" i="61"/>
  <c r="X51" i="61"/>
  <c r="V51" i="61"/>
  <c r="N51" i="61"/>
  <c r="L51" i="61"/>
  <c r="J51" i="61"/>
  <c r="T47" i="61"/>
  <c r="Z47" i="61" s="1"/>
  <c r="R47" i="61"/>
  <c r="P47" i="61"/>
  <c r="X47" i="61" s="1"/>
  <c r="N47" i="61"/>
  <c r="H47" i="61"/>
  <c r="D47" i="61"/>
  <c r="L47" i="61" s="1"/>
  <c r="Z45" i="61"/>
  <c r="X45" i="61"/>
  <c r="R45" i="61"/>
  <c r="N45" i="61"/>
  <c r="L45" i="61"/>
  <c r="J45" i="61"/>
  <c r="B45" i="61"/>
  <c r="X44" i="61"/>
  <c r="Z44" i="61" s="1"/>
  <c r="T44" i="61"/>
  <c r="P44" i="61"/>
  <c r="H44" i="61"/>
  <c r="D44" i="61"/>
  <c r="B44" i="61"/>
  <c r="Z43" i="61"/>
  <c r="X43" i="61"/>
  <c r="L43" i="61"/>
  <c r="N43" i="61" s="1"/>
  <c r="B43" i="61"/>
  <c r="T42" i="61"/>
  <c r="P42" i="61"/>
  <c r="X42" i="61" s="1"/>
  <c r="H42" i="61"/>
  <c r="D42" i="61"/>
  <c r="L42" i="61" s="1"/>
  <c r="B42" i="61"/>
  <c r="X41" i="61"/>
  <c r="Z41" i="61" s="1"/>
  <c r="V41" i="61"/>
  <c r="N41" i="61"/>
  <c r="L41" i="61"/>
  <c r="B41" i="61"/>
  <c r="X40" i="61"/>
  <c r="Z40" i="61" s="1"/>
  <c r="L40" i="61"/>
  <c r="N40" i="61" s="1"/>
  <c r="B40" i="61"/>
  <c r="V39" i="61"/>
  <c r="T39" i="61"/>
  <c r="R39" i="61"/>
  <c r="P39" i="61"/>
  <c r="L39" i="61"/>
  <c r="J39" i="61"/>
  <c r="H39" i="61"/>
  <c r="N39" i="61" s="1"/>
  <c r="D39" i="61"/>
  <c r="B39" i="61"/>
  <c r="Z38" i="61"/>
  <c r="X38" i="61"/>
  <c r="V38" i="61"/>
  <c r="R38" i="61"/>
  <c r="L38" i="61"/>
  <c r="N38" i="61" s="1"/>
  <c r="B38" i="61"/>
  <c r="T37" i="61"/>
  <c r="Z37" i="61" s="1"/>
  <c r="R37" i="61"/>
  <c r="P37" i="61"/>
  <c r="X37" i="61" s="1"/>
  <c r="H37" i="61"/>
  <c r="D37" i="61"/>
  <c r="L37" i="61" s="1"/>
  <c r="N37" i="61" s="1"/>
  <c r="B37" i="61"/>
  <c r="Z36" i="61"/>
  <c r="X36" i="61"/>
  <c r="V36" i="61"/>
  <c r="R36" i="61"/>
  <c r="L36" i="61"/>
  <c r="N36" i="61" s="1"/>
  <c r="B36" i="61"/>
  <c r="T35" i="61"/>
  <c r="P35" i="61"/>
  <c r="X35" i="61" s="1"/>
  <c r="Z35" i="61" s="1"/>
  <c r="L35" i="61"/>
  <c r="N35" i="61" s="1"/>
  <c r="J35" i="61"/>
  <c r="H35" i="61"/>
  <c r="D35" i="61"/>
  <c r="B35" i="61"/>
  <c r="Z34" i="61"/>
  <c r="X34" i="61"/>
  <c r="N34" i="61"/>
  <c r="L34" i="61"/>
  <c r="B34" i="61"/>
  <c r="X33" i="61"/>
  <c r="V33" i="61"/>
  <c r="T33" i="61"/>
  <c r="Z33" i="61" s="1"/>
  <c r="P33" i="61"/>
  <c r="H33" i="61"/>
  <c r="D33" i="61"/>
  <c r="B33" i="61"/>
  <c r="X32" i="61"/>
  <c r="Z32" i="61" s="1"/>
  <c r="V32" i="61"/>
  <c r="N32" i="61"/>
  <c r="L32" i="61"/>
  <c r="B32" i="61"/>
  <c r="Z31" i="61"/>
  <c r="X31" i="61"/>
  <c r="R31" i="61"/>
  <c r="N31" i="61"/>
  <c r="L31" i="61"/>
  <c r="B31" i="61"/>
  <c r="Z30" i="61"/>
  <c r="X30" i="61"/>
  <c r="V30" i="61"/>
  <c r="R30" i="61"/>
  <c r="N30" i="61"/>
  <c r="L30" i="61"/>
  <c r="B30" i="61"/>
  <c r="Z29" i="61"/>
  <c r="X29" i="61"/>
  <c r="R29" i="61"/>
  <c r="L29" i="61"/>
  <c r="N29" i="61" s="1"/>
  <c r="J29" i="61"/>
  <c r="B29" i="61"/>
  <c r="X28" i="61"/>
  <c r="Z28" i="61" s="1"/>
  <c r="V28" i="61"/>
  <c r="T28" i="61"/>
  <c r="P28" i="61"/>
  <c r="H28" i="61"/>
  <c r="D28" i="61"/>
  <c r="B28" i="61"/>
  <c r="Z27" i="61"/>
  <c r="X27" i="61"/>
  <c r="V27" i="61"/>
  <c r="L27" i="61"/>
  <c r="N27" i="61" s="1"/>
  <c r="B27" i="61"/>
  <c r="X26" i="61"/>
  <c r="Z26" i="61" s="1"/>
  <c r="V26" i="61"/>
  <c r="R26" i="61"/>
  <c r="N26" i="61"/>
  <c r="L26" i="61"/>
  <c r="B26" i="61"/>
  <c r="X25" i="61"/>
  <c r="Z25" i="61" s="1"/>
  <c r="V25" i="61"/>
  <c r="L25" i="61"/>
  <c r="N25" i="61" s="1"/>
  <c r="J25" i="61"/>
  <c r="B25" i="61"/>
  <c r="Z24" i="61"/>
  <c r="X24" i="61"/>
  <c r="V24" i="61"/>
  <c r="R24" i="61"/>
  <c r="N24" i="61"/>
  <c r="L24" i="61"/>
  <c r="B24" i="61"/>
  <c r="Z23" i="61"/>
  <c r="X23" i="61"/>
  <c r="V23" i="61"/>
  <c r="L23" i="61"/>
  <c r="N23" i="61" s="1"/>
  <c r="B23" i="61"/>
  <c r="X22" i="61"/>
  <c r="Z22" i="61" s="1"/>
  <c r="V22" i="61"/>
  <c r="R22" i="61"/>
  <c r="N22" i="61"/>
  <c r="L22" i="61"/>
  <c r="B22" i="61"/>
  <c r="X21" i="61"/>
  <c r="Z21" i="61" s="1"/>
  <c r="V21" i="61"/>
  <c r="L21" i="61"/>
  <c r="N21" i="61" s="1"/>
  <c r="J21" i="61"/>
  <c r="B21" i="61"/>
  <c r="Z20" i="61"/>
  <c r="X20" i="61"/>
  <c r="V20" i="61"/>
  <c r="R20" i="61"/>
  <c r="L20" i="61"/>
  <c r="N20" i="61" s="1"/>
  <c r="B20" i="61"/>
  <c r="V19" i="61"/>
  <c r="T19" i="61"/>
  <c r="P19" i="61"/>
  <c r="X19" i="61" s="1"/>
  <c r="Z19" i="61" s="1"/>
  <c r="L19" i="61"/>
  <c r="N19" i="61" s="1"/>
  <c r="J19" i="61"/>
  <c r="H19" i="61"/>
  <c r="D19" i="61"/>
  <c r="B19" i="61"/>
  <c r="T18" i="61"/>
  <c r="R18" i="61"/>
  <c r="P18" i="61"/>
  <c r="L18" i="61"/>
  <c r="N18" i="61" s="1"/>
  <c r="H18" i="61"/>
  <c r="D18" i="61"/>
  <c r="R16" i="61"/>
  <c r="Z14" i="61"/>
  <c r="T14" i="61"/>
  <c r="R14" i="61"/>
  <c r="P14" i="61"/>
  <c r="X14" i="61" s="1"/>
  <c r="N14" i="61"/>
  <c r="L14" i="61"/>
  <c r="H14" i="61"/>
  <c r="D14" i="61"/>
  <c r="Z12" i="61"/>
  <c r="X12" i="61"/>
  <c r="T12" i="61"/>
  <c r="V31" i="61" s="1"/>
  <c r="P12" i="61"/>
  <c r="R56" i="61" s="1"/>
  <c r="H12" i="61"/>
  <c r="J49" i="61" s="1"/>
  <c r="D12" i="61"/>
  <c r="F34" i="61" s="1"/>
  <c r="D6" i="61"/>
  <c r="D4" i="61"/>
  <c r="Z52" i="60"/>
  <c r="X52" i="60"/>
  <c r="N52" i="60"/>
  <c r="L52" i="60"/>
  <c r="Z48" i="60"/>
  <c r="X48" i="60"/>
  <c r="T48" i="60"/>
  <c r="P48" i="60"/>
  <c r="N48" i="60"/>
  <c r="H48" i="60"/>
  <c r="D48" i="60"/>
  <c r="L48" i="60" s="1"/>
  <c r="X46" i="60"/>
  <c r="Z46" i="60" s="1"/>
  <c r="N46" i="60"/>
  <c r="L46" i="60"/>
  <c r="B46" i="60"/>
  <c r="V45" i="60"/>
  <c r="T45" i="60"/>
  <c r="R45" i="60"/>
  <c r="P45" i="60"/>
  <c r="L45" i="60"/>
  <c r="J45" i="60"/>
  <c r="H45" i="60"/>
  <c r="N45" i="60" s="1"/>
  <c r="D45" i="60"/>
  <c r="B45" i="60"/>
  <c r="X44" i="60"/>
  <c r="Z44" i="60" s="1"/>
  <c r="V44" i="60"/>
  <c r="R44" i="60"/>
  <c r="L44" i="60"/>
  <c r="N44" i="60" s="1"/>
  <c r="F44" i="60"/>
  <c r="B44" i="60"/>
  <c r="T43" i="60"/>
  <c r="Z43" i="60" s="1"/>
  <c r="P43" i="60"/>
  <c r="X43" i="60" s="1"/>
  <c r="N43" i="60"/>
  <c r="H43" i="60"/>
  <c r="F43" i="60"/>
  <c r="D43" i="60"/>
  <c r="L43" i="60" s="1"/>
  <c r="B43" i="60"/>
  <c r="Z42" i="60"/>
  <c r="X42" i="60"/>
  <c r="V42" i="60"/>
  <c r="N42" i="60"/>
  <c r="L42" i="60"/>
  <c r="B42" i="60"/>
  <c r="Z41" i="60"/>
  <c r="X41" i="60"/>
  <c r="N41" i="60"/>
  <c r="L41" i="60"/>
  <c r="B41" i="60"/>
  <c r="X40" i="60"/>
  <c r="Z40" i="60" s="1"/>
  <c r="V40" i="60"/>
  <c r="R40" i="60"/>
  <c r="N40" i="60"/>
  <c r="L40" i="60"/>
  <c r="B40" i="60"/>
  <c r="Z39" i="60"/>
  <c r="X39" i="60"/>
  <c r="V39" i="60"/>
  <c r="T39" i="60"/>
  <c r="P39" i="60"/>
  <c r="N39" i="60"/>
  <c r="H39" i="60"/>
  <c r="D39" i="60"/>
  <c r="L39" i="60" s="1"/>
  <c r="B39" i="60"/>
  <c r="X38" i="60"/>
  <c r="Z38" i="60" s="1"/>
  <c r="L38" i="60"/>
  <c r="N38" i="60" s="1"/>
  <c r="B38" i="60"/>
  <c r="X37" i="60"/>
  <c r="V37" i="60"/>
  <c r="T37" i="60"/>
  <c r="Z37" i="60" s="1"/>
  <c r="R37" i="60"/>
  <c r="P37" i="60"/>
  <c r="L37" i="60"/>
  <c r="J37" i="60"/>
  <c r="H37" i="60"/>
  <c r="N37" i="60" s="1"/>
  <c r="D37" i="60"/>
  <c r="B37" i="60"/>
  <c r="X36" i="60"/>
  <c r="Z36" i="60" s="1"/>
  <c r="V36" i="60"/>
  <c r="R36" i="60"/>
  <c r="L36" i="60"/>
  <c r="N36" i="60" s="1"/>
  <c r="F36" i="60"/>
  <c r="B36" i="60"/>
  <c r="Z35" i="60"/>
  <c r="X35" i="60"/>
  <c r="N35" i="60"/>
  <c r="L35" i="60"/>
  <c r="J35" i="60"/>
  <c r="B35" i="60"/>
  <c r="X34" i="60"/>
  <c r="Z34" i="60" s="1"/>
  <c r="V34" i="60"/>
  <c r="T34" i="60"/>
  <c r="P34" i="60"/>
  <c r="H34" i="60"/>
  <c r="D34" i="60"/>
  <c r="B34" i="60"/>
  <c r="Z33" i="60"/>
  <c r="X33" i="60"/>
  <c r="V33" i="60"/>
  <c r="L33" i="60"/>
  <c r="N33" i="60" s="1"/>
  <c r="J33" i="60"/>
  <c r="F33" i="60"/>
  <c r="B33" i="60"/>
  <c r="V32" i="60"/>
  <c r="T32" i="60"/>
  <c r="P32" i="60"/>
  <c r="J32" i="60"/>
  <c r="H32" i="60"/>
  <c r="F32" i="60"/>
  <c r="D32" i="60"/>
  <c r="L32" i="60" s="1"/>
  <c r="B32" i="60"/>
  <c r="X31" i="60"/>
  <c r="Z31" i="60" s="1"/>
  <c r="V31" i="60"/>
  <c r="N31" i="60"/>
  <c r="L31" i="60"/>
  <c r="F31" i="60"/>
  <c r="B31" i="60"/>
  <c r="X30" i="60"/>
  <c r="Z30" i="60" s="1"/>
  <c r="T30" i="60"/>
  <c r="P30" i="60"/>
  <c r="N30" i="60"/>
  <c r="H30" i="60"/>
  <c r="F30" i="60"/>
  <c r="D30" i="60"/>
  <c r="L30" i="60" s="1"/>
  <c r="B30" i="60"/>
  <c r="Z29" i="60"/>
  <c r="X29" i="60"/>
  <c r="V29" i="60"/>
  <c r="N29" i="60"/>
  <c r="L29" i="60"/>
  <c r="B29" i="60"/>
  <c r="V28" i="60"/>
  <c r="T28" i="60"/>
  <c r="P28" i="60"/>
  <c r="L28" i="60"/>
  <c r="N28" i="60" s="1"/>
  <c r="H28" i="60"/>
  <c r="D28" i="60"/>
  <c r="B28" i="60"/>
  <c r="Z27" i="60"/>
  <c r="X27" i="60"/>
  <c r="V27" i="60"/>
  <c r="L27" i="60"/>
  <c r="N27" i="60" s="1"/>
  <c r="J27" i="60"/>
  <c r="B27" i="60"/>
  <c r="Z26" i="60"/>
  <c r="X26" i="60"/>
  <c r="V26" i="60"/>
  <c r="R26" i="60"/>
  <c r="L26" i="60"/>
  <c r="N26" i="60" s="1"/>
  <c r="B26" i="60"/>
  <c r="Z25" i="60"/>
  <c r="X25" i="60"/>
  <c r="V25" i="60"/>
  <c r="L25" i="60"/>
  <c r="N25" i="60" s="1"/>
  <c r="J25" i="60"/>
  <c r="F25" i="60"/>
  <c r="B25" i="60"/>
  <c r="X24" i="60"/>
  <c r="Z24" i="60" s="1"/>
  <c r="V24" i="60"/>
  <c r="R24" i="60"/>
  <c r="N24" i="60"/>
  <c r="L24" i="60"/>
  <c r="B24" i="60"/>
  <c r="Z23" i="60"/>
  <c r="X23" i="60"/>
  <c r="V23" i="60"/>
  <c r="L23" i="60"/>
  <c r="N23" i="60" s="1"/>
  <c r="J23" i="60"/>
  <c r="B23" i="60"/>
  <c r="Z22" i="60"/>
  <c r="X22" i="60"/>
  <c r="V22" i="60"/>
  <c r="R22" i="60"/>
  <c r="L22" i="60"/>
  <c r="N22" i="60" s="1"/>
  <c r="B22" i="60"/>
  <c r="Z21" i="60"/>
  <c r="X21" i="60"/>
  <c r="V21" i="60"/>
  <c r="L21" i="60"/>
  <c r="N21" i="60" s="1"/>
  <c r="J21" i="60"/>
  <c r="F21" i="60"/>
  <c r="B21" i="60"/>
  <c r="X20" i="60"/>
  <c r="Z20" i="60" s="1"/>
  <c r="V20" i="60"/>
  <c r="R20" i="60"/>
  <c r="N20" i="60"/>
  <c r="L20" i="60"/>
  <c r="B20" i="60"/>
  <c r="Z19" i="60"/>
  <c r="X19" i="60"/>
  <c r="V19" i="60"/>
  <c r="T19" i="60"/>
  <c r="P19" i="60"/>
  <c r="N19" i="60"/>
  <c r="H19" i="60"/>
  <c r="D19" i="60"/>
  <c r="L19" i="60" s="1"/>
  <c r="B19" i="60"/>
  <c r="X18" i="60"/>
  <c r="Z18" i="60" s="1"/>
  <c r="T18" i="60"/>
  <c r="P18" i="60"/>
  <c r="H18" i="60"/>
  <c r="F18" i="60"/>
  <c r="D18" i="60"/>
  <c r="L18" i="60" s="1"/>
  <c r="N18" i="60" s="1"/>
  <c r="F16" i="60"/>
  <c r="Z14" i="60"/>
  <c r="T14" i="60"/>
  <c r="T16" i="60" s="1"/>
  <c r="P14" i="60"/>
  <c r="P16" i="60" s="1"/>
  <c r="N14" i="60"/>
  <c r="H14" i="60"/>
  <c r="F14" i="60"/>
  <c r="D14" i="60"/>
  <c r="L14" i="60" s="1"/>
  <c r="Z12" i="60"/>
  <c r="X12" i="60"/>
  <c r="T12" i="60"/>
  <c r="V57" i="60" s="1"/>
  <c r="P12" i="60"/>
  <c r="R46" i="60" s="1"/>
  <c r="N12" i="60"/>
  <c r="L12" i="60"/>
  <c r="H12" i="60"/>
  <c r="J43" i="60" s="1"/>
  <c r="D12" i="60"/>
  <c r="F42" i="60" s="1"/>
  <c r="D6" i="60"/>
  <c r="D4" i="60"/>
  <c r="Z63" i="59"/>
  <c r="X63" i="59"/>
  <c r="R63" i="59"/>
  <c r="N63" i="59"/>
  <c r="L63" i="59"/>
  <c r="F63" i="59"/>
  <c r="Z59" i="59"/>
  <c r="T59" i="59"/>
  <c r="P59" i="59"/>
  <c r="X59" i="59" s="1"/>
  <c r="N59" i="59"/>
  <c r="L59" i="59"/>
  <c r="H59" i="59"/>
  <c r="D59" i="59"/>
  <c r="Z57" i="59"/>
  <c r="X57" i="59"/>
  <c r="N57" i="59"/>
  <c r="L57" i="59"/>
  <c r="F57" i="59"/>
  <c r="B57" i="59"/>
  <c r="Z56" i="59"/>
  <c r="X56" i="59"/>
  <c r="V56" i="59"/>
  <c r="N56" i="59"/>
  <c r="L56" i="59"/>
  <c r="B56" i="59"/>
  <c r="T55" i="59"/>
  <c r="P55" i="59"/>
  <c r="X55" i="59" s="1"/>
  <c r="Z55" i="59" s="1"/>
  <c r="N55" i="59"/>
  <c r="H55" i="59"/>
  <c r="D55" i="59"/>
  <c r="L55" i="59" s="1"/>
  <c r="B55" i="59"/>
  <c r="Z54" i="59"/>
  <c r="X54" i="59"/>
  <c r="N54" i="59"/>
  <c r="L54" i="59"/>
  <c r="B54" i="59"/>
  <c r="T53" i="59"/>
  <c r="P53" i="59"/>
  <c r="L53" i="59"/>
  <c r="N53" i="59" s="1"/>
  <c r="H53" i="59"/>
  <c r="D53" i="59"/>
  <c r="B53" i="59"/>
  <c r="Z52" i="59"/>
  <c r="X52" i="59"/>
  <c r="V52" i="59"/>
  <c r="N52" i="59"/>
  <c r="L52" i="59"/>
  <c r="J52" i="59"/>
  <c r="B52" i="59"/>
  <c r="X51" i="59"/>
  <c r="Z51" i="59" s="1"/>
  <c r="R51" i="59"/>
  <c r="L51" i="59"/>
  <c r="N51" i="59" s="1"/>
  <c r="B51" i="59"/>
  <c r="T50" i="59"/>
  <c r="P50" i="59"/>
  <c r="X50" i="59" s="1"/>
  <c r="Z50" i="59" s="1"/>
  <c r="N50" i="59"/>
  <c r="L50" i="59"/>
  <c r="J50" i="59"/>
  <c r="H50" i="59"/>
  <c r="D50" i="59"/>
  <c r="B50" i="59"/>
  <c r="Z49" i="59"/>
  <c r="X49" i="59"/>
  <c r="L49" i="59"/>
  <c r="N49" i="59" s="1"/>
  <c r="F49" i="59"/>
  <c r="B49" i="59"/>
  <c r="X48" i="59"/>
  <c r="Z48" i="59" s="1"/>
  <c r="V48" i="59"/>
  <c r="T48" i="59"/>
  <c r="P48" i="59"/>
  <c r="L48" i="59"/>
  <c r="H48" i="59"/>
  <c r="N48" i="59" s="1"/>
  <c r="F48" i="59"/>
  <c r="D48" i="59"/>
  <c r="B48" i="59"/>
  <c r="X47" i="59"/>
  <c r="Z47" i="59" s="1"/>
  <c r="N47" i="59"/>
  <c r="L47" i="59"/>
  <c r="B47" i="59"/>
  <c r="Z46" i="59"/>
  <c r="X46" i="59"/>
  <c r="N46" i="59"/>
  <c r="L46" i="59"/>
  <c r="B46" i="59"/>
  <c r="X45" i="59"/>
  <c r="Z45" i="59" s="1"/>
  <c r="R45" i="59"/>
  <c r="L45" i="59"/>
  <c r="N45" i="59" s="1"/>
  <c r="F45" i="59"/>
  <c r="B45" i="59"/>
  <c r="T44" i="59"/>
  <c r="Z44" i="59" s="1"/>
  <c r="R44" i="59"/>
  <c r="P44" i="59"/>
  <c r="X44" i="59" s="1"/>
  <c r="N44" i="59"/>
  <c r="H44" i="59"/>
  <c r="F44" i="59"/>
  <c r="D44" i="59"/>
  <c r="L44" i="59" s="1"/>
  <c r="B44" i="59"/>
  <c r="X43" i="59"/>
  <c r="Z43" i="59" s="1"/>
  <c r="V43" i="59"/>
  <c r="R43" i="59"/>
  <c r="L43" i="59"/>
  <c r="N43" i="59" s="1"/>
  <c r="B43" i="59"/>
  <c r="T42" i="59"/>
  <c r="P42" i="59"/>
  <c r="X42" i="59" s="1"/>
  <c r="Z42" i="59" s="1"/>
  <c r="N42" i="59"/>
  <c r="L42" i="59"/>
  <c r="J42" i="59"/>
  <c r="H42" i="59"/>
  <c r="D42" i="59"/>
  <c r="B42" i="59"/>
  <c r="Z41" i="59"/>
  <c r="X41" i="59"/>
  <c r="N41" i="59"/>
  <c r="L41" i="59"/>
  <c r="F41" i="59"/>
  <c r="B41" i="59"/>
  <c r="Z40" i="59"/>
  <c r="X40" i="59"/>
  <c r="V40" i="59"/>
  <c r="T40" i="59"/>
  <c r="P40" i="59"/>
  <c r="L40" i="59"/>
  <c r="H40" i="59"/>
  <c r="N40" i="59" s="1"/>
  <c r="F40" i="59"/>
  <c r="D40" i="59"/>
  <c r="B40" i="59"/>
  <c r="X39" i="59"/>
  <c r="Z39" i="59" s="1"/>
  <c r="L39" i="59"/>
  <c r="N39" i="59" s="1"/>
  <c r="B39" i="59"/>
  <c r="T38" i="59"/>
  <c r="R38" i="59"/>
  <c r="P38" i="59"/>
  <c r="X38" i="59" s="1"/>
  <c r="Z38" i="59" s="1"/>
  <c r="H38" i="59"/>
  <c r="D38" i="59"/>
  <c r="L38" i="59" s="1"/>
  <c r="B38" i="59"/>
  <c r="X37" i="59"/>
  <c r="Z37" i="59" s="1"/>
  <c r="V37" i="59"/>
  <c r="R37" i="59"/>
  <c r="N37" i="59"/>
  <c r="L37" i="59"/>
  <c r="B37" i="59"/>
  <c r="Z36" i="59"/>
  <c r="X36" i="59"/>
  <c r="V36" i="59"/>
  <c r="T36" i="59"/>
  <c r="P36" i="59"/>
  <c r="N36" i="59"/>
  <c r="H36" i="59"/>
  <c r="D36" i="59"/>
  <c r="L36" i="59" s="1"/>
  <c r="B36" i="59"/>
  <c r="X35" i="59"/>
  <c r="Z35" i="59" s="1"/>
  <c r="N35" i="59"/>
  <c r="L35" i="59"/>
  <c r="B35" i="59"/>
  <c r="X34" i="59"/>
  <c r="Z34" i="59" s="1"/>
  <c r="V34" i="59"/>
  <c r="N34" i="59"/>
  <c r="L34" i="59"/>
  <c r="B34" i="59"/>
  <c r="Z33" i="59"/>
  <c r="X33" i="59"/>
  <c r="L33" i="59"/>
  <c r="N33" i="59" s="1"/>
  <c r="F33" i="59"/>
  <c r="B33" i="59"/>
  <c r="X32" i="59"/>
  <c r="Z32" i="59" s="1"/>
  <c r="V32" i="59"/>
  <c r="N32" i="59"/>
  <c r="L32" i="59"/>
  <c r="B32" i="59"/>
  <c r="X31" i="59"/>
  <c r="Z31" i="59" s="1"/>
  <c r="L31" i="59"/>
  <c r="N31" i="59" s="1"/>
  <c r="B31" i="59"/>
  <c r="X30" i="59"/>
  <c r="V30" i="59"/>
  <c r="T30" i="59"/>
  <c r="Z30" i="59" s="1"/>
  <c r="R30" i="59"/>
  <c r="P30" i="59"/>
  <c r="L30" i="59"/>
  <c r="N30" i="59" s="1"/>
  <c r="J30" i="59"/>
  <c r="H30" i="59"/>
  <c r="D30" i="59"/>
  <c r="B30" i="59"/>
  <c r="X29" i="59"/>
  <c r="Z29" i="59" s="1"/>
  <c r="V29" i="59"/>
  <c r="R29" i="59"/>
  <c r="L29" i="59"/>
  <c r="N29" i="59" s="1"/>
  <c r="F29" i="59"/>
  <c r="B29" i="59"/>
  <c r="Z28" i="59"/>
  <c r="X28" i="59"/>
  <c r="R28" i="59"/>
  <c r="N28" i="59"/>
  <c r="L28" i="59"/>
  <c r="J28" i="59"/>
  <c r="B28" i="59"/>
  <c r="X27" i="59"/>
  <c r="Z27" i="59" s="1"/>
  <c r="L27" i="59"/>
  <c r="N27" i="59" s="1"/>
  <c r="F27" i="59"/>
  <c r="B27" i="59"/>
  <c r="Z26" i="59"/>
  <c r="X26" i="59"/>
  <c r="V26" i="59"/>
  <c r="R26" i="59"/>
  <c r="N26" i="59"/>
  <c r="L26" i="59"/>
  <c r="B26" i="59"/>
  <c r="X25" i="59"/>
  <c r="Z25" i="59" s="1"/>
  <c r="V25" i="59"/>
  <c r="R25" i="59"/>
  <c r="N25" i="59"/>
  <c r="L25" i="59"/>
  <c r="F25" i="59"/>
  <c r="B25" i="59"/>
  <c r="Z24" i="59"/>
  <c r="X24" i="59"/>
  <c r="R24" i="59"/>
  <c r="N24" i="59"/>
  <c r="L24" i="59"/>
  <c r="J24" i="59"/>
  <c r="B24" i="59"/>
  <c r="X23" i="59"/>
  <c r="Z23" i="59" s="1"/>
  <c r="V23" i="59"/>
  <c r="L23" i="59"/>
  <c r="N23" i="59" s="1"/>
  <c r="F23" i="59"/>
  <c r="B23" i="59"/>
  <c r="Z22" i="59"/>
  <c r="X22" i="59"/>
  <c r="V22" i="59"/>
  <c r="R22" i="59"/>
  <c r="N22" i="59"/>
  <c r="L22" i="59"/>
  <c r="B22" i="59"/>
  <c r="X21" i="59"/>
  <c r="Z21" i="59" s="1"/>
  <c r="V21" i="59"/>
  <c r="R21" i="59"/>
  <c r="L21" i="59"/>
  <c r="N21" i="59" s="1"/>
  <c r="F21" i="59"/>
  <c r="B21" i="59"/>
  <c r="Z20" i="59"/>
  <c r="X20" i="59"/>
  <c r="R20" i="59"/>
  <c r="N20" i="59"/>
  <c r="L20" i="59"/>
  <c r="J20" i="59"/>
  <c r="B20" i="59"/>
  <c r="X19" i="59"/>
  <c r="Z19" i="59" s="1"/>
  <c r="V19" i="59"/>
  <c r="T19" i="59"/>
  <c r="P19" i="59"/>
  <c r="H19" i="59"/>
  <c r="D19" i="59"/>
  <c r="B19" i="59"/>
  <c r="T18" i="59"/>
  <c r="Z18" i="59" s="1"/>
  <c r="P18" i="59"/>
  <c r="X18" i="59" s="1"/>
  <c r="J18" i="59"/>
  <c r="H18" i="59"/>
  <c r="D18" i="59"/>
  <c r="L18" i="59" s="1"/>
  <c r="N18" i="59" s="1"/>
  <c r="Z16" i="59"/>
  <c r="J16" i="59"/>
  <c r="Z14" i="59"/>
  <c r="T14" i="59"/>
  <c r="T16" i="59" s="1"/>
  <c r="P14" i="59"/>
  <c r="X14" i="59" s="1"/>
  <c r="N14" i="59"/>
  <c r="J14" i="59"/>
  <c r="H14" i="59"/>
  <c r="D14" i="59"/>
  <c r="D16" i="59" s="1"/>
  <c r="Z12" i="59"/>
  <c r="X12" i="59"/>
  <c r="T12" i="59"/>
  <c r="V54" i="59" s="1"/>
  <c r="P12" i="59"/>
  <c r="R36" i="59" s="1"/>
  <c r="H12" i="59"/>
  <c r="J44" i="59" s="1"/>
  <c r="D12" i="59"/>
  <c r="F51" i="59" s="1"/>
  <c r="D6" i="59"/>
  <c r="D4" i="59"/>
  <c r="Z74" i="58"/>
  <c r="X74" i="58"/>
  <c r="N74" i="58"/>
  <c r="L74" i="58"/>
  <c r="Z70" i="58"/>
  <c r="T70" i="58"/>
  <c r="P70" i="58"/>
  <c r="X70" i="58" s="1"/>
  <c r="N70" i="58"/>
  <c r="H70" i="58"/>
  <c r="D70" i="58"/>
  <c r="L70" i="58" s="1"/>
  <c r="Z68" i="58"/>
  <c r="X68" i="58"/>
  <c r="N68" i="58"/>
  <c r="L68" i="58"/>
  <c r="B68" i="58"/>
  <c r="T67" i="58"/>
  <c r="P67" i="58"/>
  <c r="X67" i="58" s="1"/>
  <c r="H67" i="58"/>
  <c r="D67" i="58"/>
  <c r="B67" i="58"/>
  <c r="X66" i="58"/>
  <c r="Z66" i="58" s="1"/>
  <c r="N66" i="58"/>
  <c r="L66" i="58"/>
  <c r="B66" i="58"/>
  <c r="T65" i="58"/>
  <c r="P65" i="58"/>
  <c r="X65" i="58" s="1"/>
  <c r="Z65" i="58" s="1"/>
  <c r="L65" i="58"/>
  <c r="N65" i="58" s="1"/>
  <c r="H65" i="58"/>
  <c r="D65" i="58"/>
  <c r="B65" i="58"/>
  <c r="X64" i="58"/>
  <c r="Z64" i="58" s="1"/>
  <c r="N64" i="58"/>
  <c r="L64" i="58"/>
  <c r="B64" i="58"/>
  <c r="X63" i="58"/>
  <c r="Z63" i="58" s="1"/>
  <c r="T63" i="58"/>
  <c r="P63" i="58"/>
  <c r="H63" i="58"/>
  <c r="D63" i="58"/>
  <c r="B63" i="58"/>
  <c r="Z62" i="58"/>
  <c r="X62" i="58"/>
  <c r="L62" i="58"/>
  <c r="N62" i="58" s="1"/>
  <c r="B62" i="58"/>
  <c r="X61" i="58"/>
  <c r="Z61" i="58" s="1"/>
  <c r="N61" i="58"/>
  <c r="L61" i="58"/>
  <c r="B61" i="58"/>
  <c r="Z60" i="58"/>
  <c r="X60" i="58"/>
  <c r="L60" i="58"/>
  <c r="N60" i="58" s="1"/>
  <c r="B60" i="58"/>
  <c r="Z59" i="58"/>
  <c r="X59" i="58"/>
  <c r="N59" i="58"/>
  <c r="L59" i="58"/>
  <c r="B59" i="58"/>
  <c r="T58" i="58"/>
  <c r="P58" i="58"/>
  <c r="X58" i="58" s="1"/>
  <c r="Z58" i="58" s="1"/>
  <c r="H58" i="58"/>
  <c r="D58" i="58"/>
  <c r="L58" i="58" s="1"/>
  <c r="N58" i="58" s="1"/>
  <c r="B58" i="58"/>
  <c r="Z57" i="58"/>
  <c r="X57" i="58"/>
  <c r="N57" i="58"/>
  <c r="L57" i="58"/>
  <c r="B57" i="58"/>
  <c r="X56" i="58"/>
  <c r="Z56" i="58" s="1"/>
  <c r="T56" i="58"/>
  <c r="P56" i="58"/>
  <c r="L56" i="58"/>
  <c r="H56" i="58"/>
  <c r="N56" i="58" s="1"/>
  <c r="D56" i="58"/>
  <c r="B56" i="58"/>
  <c r="X55" i="58"/>
  <c r="Z55" i="58" s="1"/>
  <c r="N55" i="58"/>
  <c r="L55" i="58"/>
  <c r="B55" i="58"/>
  <c r="Z54" i="58"/>
  <c r="X54" i="58"/>
  <c r="N54" i="58"/>
  <c r="L54" i="58"/>
  <c r="B54" i="58"/>
  <c r="T53" i="58"/>
  <c r="P53" i="58"/>
  <c r="L53" i="58"/>
  <c r="N53" i="58" s="1"/>
  <c r="H53" i="58"/>
  <c r="D53" i="58"/>
  <c r="B53" i="58"/>
  <c r="Z52" i="58"/>
  <c r="X52" i="58"/>
  <c r="L52" i="58"/>
  <c r="N52" i="58" s="1"/>
  <c r="B52" i="58"/>
  <c r="Z51" i="58"/>
  <c r="X51" i="58"/>
  <c r="N51" i="58"/>
  <c r="L51" i="58"/>
  <c r="B51" i="58"/>
  <c r="T50" i="58"/>
  <c r="P50" i="58"/>
  <c r="X50" i="58" s="1"/>
  <c r="Z50" i="58" s="1"/>
  <c r="H50" i="58"/>
  <c r="D50" i="58"/>
  <c r="L50" i="58" s="1"/>
  <c r="N50" i="58" s="1"/>
  <c r="B50" i="58"/>
  <c r="Z49" i="58"/>
  <c r="X49" i="58"/>
  <c r="N49" i="58"/>
  <c r="L49" i="58"/>
  <c r="B49" i="58"/>
  <c r="X48" i="58"/>
  <c r="Z48" i="58" s="1"/>
  <c r="T48" i="58"/>
  <c r="P48" i="58"/>
  <c r="L48" i="58"/>
  <c r="H48" i="58"/>
  <c r="N48" i="58" s="1"/>
  <c r="D48" i="58"/>
  <c r="B48" i="58"/>
  <c r="X47" i="58"/>
  <c r="Z47" i="58" s="1"/>
  <c r="N47" i="58"/>
  <c r="L47" i="58"/>
  <c r="B47" i="58"/>
  <c r="T46" i="58"/>
  <c r="X46" i="58" s="1"/>
  <c r="Z46" i="58" s="1"/>
  <c r="P46" i="58"/>
  <c r="H46" i="58"/>
  <c r="N46" i="58" s="1"/>
  <c r="D46" i="58"/>
  <c r="L46" i="58" s="1"/>
  <c r="B46" i="58"/>
  <c r="X45" i="58"/>
  <c r="Z45" i="58" s="1"/>
  <c r="N45" i="58"/>
  <c r="L45" i="58"/>
  <c r="B45" i="58"/>
  <c r="T44" i="58"/>
  <c r="P44" i="58"/>
  <c r="X44" i="58" s="1"/>
  <c r="Z44" i="58" s="1"/>
  <c r="N44" i="58"/>
  <c r="H44" i="58"/>
  <c r="D44" i="58"/>
  <c r="L44" i="58" s="1"/>
  <c r="B44" i="58"/>
  <c r="X43" i="58"/>
  <c r="Z43" i="58" s="1"/>
  <c r="N43" i="58"/>
  <c r="L43" i="58"/>
  <c r="B43" i="58"/>
  <c r="X42" i="58"/>
  <c r="T42" i="58"/>
  <c r="P42" i="58"/>
  <c r="N42" i="58"/>
  <c r="L42" i="58"/>
  <c r="H42" i="58"/>
  <c r="D42" i="58"/>
  <c r="B42" i="58"/>
  <c r="Z41" i="58"/>
  <c r="X41" i="58"/>
  <c r="L41" i="58"/>
  <c r="N41" i="58" s="1"/>
  <c r="F41" i="58"/>
  <c r="B41" i="58"/>
  <c r="T40" i="58"/>
  <c r="P40" i="58"/>
  <c r="N40" i="58"/>
  <c r="H40" i="58"/>
  <c r="L40" i="58" s="1"/>
  <c r="D40" i="58"/>
  <c r="B40" i="58"/>
  <c r="Z39" i="58"/>
  <c r="X39" i="58"/>
  <c r="L39" i="58"/>
  <c r="N39" i="58" s="1"/>
  <c r="B39" i="58"/>
  <c r="Z38" i="58"/>
  <c r="T38" i="58"/>
  <c r="P38" i="58"/>
  <c r="X38" i="58" s="1"/>
  <c r="H38" i="58"/>
  <c r="D38" i="58"/>
  <c r="L38" i="58" s="1"/>
  <c r="N38" i="58" s="1"/>
  <c r="B38" i="58"/>
  <c r="Z37" i="58"/>
  <c r="X37" i="58"/>
  <c r="N37" i="58"/>
  <c r="L37" i="58"/>
  <c r="B37" i="58"/>
  <c r="X36" i="58"/>
  <c r="Z36" i="58" s="1"/>
  <c r="T36" i="58"/>
  <c r="P36" i="58"/>
  <c r="L36" i="58"/>
  <c r="H36" i="58"/>
  <c r="D36" i="58"/>
  <c r="B36" i="58"/>
  <c r="X35" i="58"/>
  <c r="Z35" i="58" s="1"/>
  <c r="N35" i="58"/>
  <c r="L35" i="58"/>
  <c r="B35" i="58"/>
  <c r="Z34" i="58"/>
  <c r="X34" i="58"/>
  <c r="N34" i="58"/>
  <c r="L34" i="58"/>
  <c r="B34" i="58"/>
  <c r="Z33" i="58"/>
  <c r="X33" i="58"/>
  <c r="N33" i="58"/>
  <c r="L33" i="58"/>
  <c r="F33" i="58"/>
  <c r="B33" i="58"/>
  <c r="X32" i="58"/>
  <c r="Z32" i="58" s="1"/>
  <c r="N32" i="58"/>
  <c r="L32" i="58"/>
  <c r="B32" i="58"/>
  <c r="X31" i="58"/>
  <c r="Z31" i="58" s="1"/>
  <c r="L31" i="58"/>
  <c r="N31" i="58" s="1"/>
  <c r="F31" i="58"/>
  <c r="B31" i="58"/>
  <c r="T30" i="58"/>
  <c r="X30" i="58" s="1"/>
  <c r="P30" i="58"/>
  <c r="H30" i="58"/>
  <c r="D30" i="58"/>
  <c r="B30" i="58"/>
  <c r="X29" i="58"/>
  <c r="Z29" i="58" s="1"/>
  <c r="N29" i="58"/>
  <c r="L29" i="58"/>
  <c r="B29" i="58"/>
  <c r="Z28" i="58"/>
  <c r="X28" i="58"/>
  <c r="L28" i="58"/>
  <c r="N28" i="58" s="1"/>
  <c r="B28" i="58"/>
  <c r="X27" i="58"/>
  <c r="Z27" i="58" s="1"/>
  <c r="L27" i="58"/>
  <c r="N27" i="58" s="1"/>
  <c r="B27" i="58"/>
  <c r="Z26" i="58"/>
  <c r="X26" i="58"/>
  <c r="L26" i="58"/>
  <c r="N26" i="58" s="1"/>
  <c r="B26" i="58"/>
  <c r="X25" i="58"/>
  <c r="Z25" i="58" s="1"/>
  <c r="N25" i="58"/>
  <c r="L25" i="58"/>
  <c r="B25" i="58"/>
  <c r="X24" i="58"/>
  <c r="Z24" i="58" s="1"/>
  <c r="L24" i="58"/>
  <c r="N24" i="58" s="1"/>
  <c r="B24" i="58"/>
  <c r="X23" i="58"/>
  <c r="Z23" i="58" s="1"/>
  <c r="N23" i="58"/>
  <c r="L23" i="58"/>
  <c r="B23" i="58"/>
  <c r="Z22" i="58"/>
  <c r="X22" i="58"/>
  <c r="L22" i="58"/>
  <c r="N22" i="58" s="1"/>
  <c r="F22" i="58"/>
  <c r="B22" i="58"/>
  <c r="X21" i="58"/>
  <c r="Z21" i="58" s="1"/>
  <c r="N21" i="58"/>
  <c r="L21" i="58"/>
  <c r="B21" i="58"/>
  <c r="X20" i="58"/>
  <c r="Z20" i="58" s="1"/>
  <c r="L20" i="58"/>
  <c r="N20" i="58" s="1"/>
  <c r="B20" i="58"/>
  <c r="T19" i="58"/>
  <c r="P19" i="58"/>
  <c r="X19" i="58" s="1"/>
  <c r="H19" i="58"/>
  <c r="D19" i="58"/>
  <c r="B19" i="58"/>
  <c r="T18" i="58"/>
  <c r="P18" i="58"/>
  <c r="J18" i="58"/>
  <c r="H18" i="58"/>
  <c r="D18" i="58"/>
  <c r="L18" i="58" s="1"/>
  <c r="P16" i="58"/>
  <c r="D16" i="58"/>
  <c r="X14" i="58"/>
  <c r="V14" i="58"/>
  <c r="T14" i="58"/>
  <c r="Z14" i="58" s="1"/>
  <c r="R14" i="58"/>
  <c r="P14" i="58"/>
  <c r="N14" i="58"/>
  <c r="L14" i="58"/>
  <c r="H14" i="58"/>
  <c r="D14" i="58"/>
  <c r="T12" i="58"/>
  <c r="V56" i="58" s="1"/>
  <c r="P12" i="58"/>
  <c r="N12" i="58"/>
  <c r="H12" i="58"/>
  <c r="J42" i="58" s="1"/>
  <c r="D12" i="58"/>
  <c r="F56" i="58" s="1"/>
  <c r="D6" i="58"/>
  <c r="D4" i="58"/>
  <c r="Z69" i="57"/>
  <c r="X69" i="57"/>
  <c r="N69" i="57"/>
  <c r="L69" i="57"/>
  <c r="X65" i="57"/>
  <c r="T65" i="57"/>
  <c r="Z65" i="57" s="1"/>
  <c r="P65" i="57"/>
  <c r="N65" i="57"/>
  <c r="H65" i="57"/>
  <c r="D65" i="57"/>
  <c r="L65" i="57" s="1"/>
  <c r="Z63" i="57"/>
  <c r="X63" i="57"/>
  <c r="N63" i="57"/>
  <c r="L63" i="57"/>
  <c r="B63" i="57"/>
  <c r="Z62" i="57"/>
  <c r="T62" i="57"/>
  <c r="P62" i="57"/>
  <c r="X62" i="57" s="1"/>
  <c r="H62" i="57"/>
  <c r="N62" i="57" s="1"/>
  <c r="D62" i="57"/>
  <c r="L62" i="57" s="1"/>
  <c r="B62" i="57"/>
  <c r="X61" i="57"/>
  <c r="Z61" i="57" s="1"/>
  <c r="N61" i="57"/>
  <c r="L61" i="57"/>
  <c r="B61" i="57"/>
  <c r="T60" i="57"/>
  <c r="P60" i="57"/>
  <c r="X60" i="57" s="1"/>
  <c r="Z60" i="57" s="1"/>
  <c r="N60" i="57"/>
  <c r="H60" i="57"/>
  <c r="D60" i="57"/>
  <c r="L60" i="57" s="1"/>
  <c r="B60" i="57"/>
  <c r="X59" i="57"/>
  <c r="Z59" i="57" s="1"/>
  <c r="L59" i="57"/>
  <c r="N59" i="57" s="1"/>
  <c r="B59" i="57"/>
  <c r="X58" i="57"/>
  <c r="Z58" i="57" s="1"/>
  <c r="T58" i="57"/>
  <c r="P58" i="57"/>
  <c r="N58" i="57"/>
  <c r="L58" i="57"/>
  <c r="H58" i="57"/>
  <c r="D58" i="57"/>
  <c r="B58" i="57"/>
  <c r="Z57" i="57"/>
  <c r="X57" i="57"/>
  <c r="N57" i="57"/>
  <c r="L57" i="57"/>
  <c r="B57" i="57"/>
  <c r="Z56" i="57"/>
  <c r="X56" i="57"/>
  <c r="N56" i="57"/>
  <c r="L56" i="57"/>
  <c r="B56" i="57"/>
  <c r="Z55" i="57"/>
  <c r="X55" i="57"/>
  <c r="N55" i="57"/>
  <c r="L55" i="57"/>
  <c r="B55" i="57"/>
  <c r="T54" i="57"/>
  <c r="P54" i="57"/>
  <c r="X54" i="57" s="1"/>
  <c r="Z54" i="57" s="1"/>
  <c r="H54" i="57"/>
  <c r="D54" i="57"/>
  <c r="L54" i="57" s="1"/>
  <c r="B54" i="57"/>
  <c r="X53" i="57"/>
  <c r="Z53" i="57" s="1"/>
  <c r="N53" i="57"/>
  <c r="L53" i="57"/>
  <c r="B53" i="57"/>
  <c r="T52" i="57"/>
  <c r="P52" i="57"/>
  <c r="X52" i="57" s="1"/>
  <c r="Z52" i="57" s="1"/>
  <c r="N52" i="57"/>
  <c r="H52" i="57"/>
  <c r="D52" i="57"/>
  <c r="L52" i="57" s="1"/>
  <c r="B52" i="57"/>
  <c r="X51" i="57"/>
  <c r="Z51" i="57" s="1"/>
  <c r="L51" i="57"/>
  <c r="N51" i="57" s="1"/>
  <c r="B51" i="57"/>
  <c r="X50" i="57"/>
  <c r="T50" i="57"/>
  <c r="Z50" i="57" s="1"/>
  <c r="P50" i="57"/>
  <c r="N50" i="57"/>
  <c r="L50" i="57"/>
  <c r="H50" i="57"/>
  <c r="D50" i="57"/>
  <c r="B50" i="57"/>
  <c r="Z49" i="57"/>
  <c r="X49" i="57"/>
  <c r="N49" i="57"/>
  <c r="L49" i="57"/>
  <c r="B49" i="57"/>
  <c r="Z48" i="57"/>
  <c r="X48" i="57"/>
  <c r="L48" i="57"/>
  <c r="N48" i="57" s="1"/>
  <c r="B48" i="57"/>
  <c r="X47" i="57"/>
  <c r="Z47" i="57" s="1"/>
  <c r="N47" i="57"/>
  <c r="L47" i="57"/>
  <c r="J47" i="57"/>
  <c r="B47" i="57"/>
  <c r="T46" i="57"/>
  <c r="P46" i="57"/>
  <c r="X46" i="57" s="1"/>
  <c r="Z46" i="57" s="1"/>
  <c r="H46" i="57"/>
  <c r="D46" i="57"/>
  <c r="L46" i="57" s="1"/>
  <c r="B46" i="57"/>
  <c r="X45" i="57"/>
  <c r="Z45" i="57" s="1"/>
  <c r="N45" i="57"/>
  <c r="L45" i="57"/>
  <c r="B45" i="57"/>
  <c r="T44" i="57"/>
  <c r="P44" i="57"/>
  <c r="X44" i="57" s="1"/>
  <c r="Z44" i="57" s="1"/>
  <c r="N44" i="57"/>
  <c r="H44" i="57"/>
  <c r="D44" i="57"/>
  <c r="L44" i="57" s="1"/>
  <c r="B44" i="57"/>
  <c r="X43" i="57"/>
  <c r="Z43" i="57" s="1"/>
  <c r="L43" i="57"/>
  <c r="N43" i="57" s="1"/>
  <c r="B43" i="57"/>
  <c r="X42" i="57"/>
  <c r="T42" i="57"/>
  <c r="Z42" i="57" s="1"/>
  <c r="P42" i="57"/>
  <c r="N42" i="57"/>
  <c r="L42" i="57"/>
  <c r="H42" i="57"/>
  <c r="D42" i="57"/>
  <c r="B42" i="57"/>
  <c r="Z41" i="57"/>
  <c r="X41" i="57"/>
  <c r="L41" i="57"/>
  <c r="N41" i="57" s="1"/>
  <c r="B41" i="57"/>
  <c r="Z40" i="57"/>
  <c r="X40" i="57"/>
  <c r="N40" i="57"/>
  <c r="L40" i="57"/>
  <c r="B40" i="57"/>
  <c r="X39" i="57"/>
  <c r="Z39" i="57" s="1"/>
  <c r="T39" i="57"/>
  <c r="P39" i="57"/>
  <c r="H39" i="57"/>
  <c r="D39" i="57"/>
  <c r="L39" i="57" s="1"/>
  <c r="N39" i="57" s="1"/>
  <c r="B39" i="57"/>
  <c r="Z38" i="57"/>
  <c r="X38" i="57"/>
  <c r="L38" i="57"/>
  <c r="N38" i="57" s="1"/>
  <c r="B38" i="57"/>
  <c r="X37" i="57"/>
  <c r="T37" i="57"/>
  <c r="Z37" i="57" s="1"/>
  <c r="P37" i="57"/>
  <c r="J37" i="57"/>
  <c r="H37" i="57"/>
  <c r="N37" i="57" s="1"/>
  <c r="D37" i="57"/>
  <c r="L37" i="57" s="1"/>
  <c r="B37" i="57"/>
  <c r="Z36" i="57"/>
  <c r="X36" i="57"/>
  <c r="N36" i="57"/>
  <c r="L36" i="57"/>
  <c r="F36" i="57"/>
  <c r="B36" i="57"/>
  <c r="T35" i="57"/>
  <c r="P35" i="57"/>
  <c r="L35" i="57"/>
  <c r="N35" i="57" s="1"/>
  <c r="H35" i="57"/>
  <c r="F35" i="57"/>
  <c r="D35" i="57"/>
  <c r="B35" i="57"/>
  <c r="Z34" i="57"/>
  <c r="X34" i="57"/>
  <c r="N34" i="57"/>
  <c r="L34" i="57"/>
  <c r="B34" i="57"/>
  <c r="T33" i="57"/>
  <c r="P33" i="57"/>
  <c r="X33" i="57" s="1"/>
  <c r="Z33" i="57" s="1"/>
  <c r="L33" i="57"/>
  <c r="N33" i="57" s="1"/>
  <c r="H33" i="57"/>
  <c r="D33" i="57"/>
  <c r="B33" i="57"/>
  <c r="X32" i="57"/>
  <c r="Z32" i="57" s="1"/>
  <c r="N32" i="57"/>
  <c r="L32" i="57"/>
  <c r="B32" i="57"/>
  <c r="X31" i="57"/>
  <c r="Z31" i="57" s="1"/>
  <c r="V31" i="57"/>
  <c r="L31" i="57"/>
  <c r="N31" i="57" s="1"/>
  <c r="F31" i="57"/>
  <c r="B31" i="57"/>
  <c r="Z30" i="57"/>
  <c r="X30" i="57"/>
  <c r="L30" i="57"/>
  <c r="N30" i="57" s="1"/>
  <c r="F30" i="57"/>
  <c r="B30" i="57"/>
  <c r="X29" i="57"/>
  <c r="Z29" i="57" s="1"/>
  <c r="L29" i="57"/>
  <c r="N29" i="57" s="1"/>
  <c r="B29" i="57"/>
  <c r="T28" i="57"/>
  <c r="P28" i="57"/>
  <c r="X28" i="57" s="1"/>
  <c r="Z28" i="57" s="1"/>
  <c r="H28" i="57"/>
  <c r="D28" i="57"/>
  <c r="L28" i="57" s="1"/>
  <c r="N28" i="57" s="1"/>
  <c r="B28" i="57"/>
  <c r="X27" i="57"/>
  <c r="Z27" i="57" s="1"/>
  <c r="L27" i="57"/>
  <c r="N27" i="57" s="1"/>
  <c r="F27" i="57"/>
  <c r="B27" i="57"/>
  <c r="X26" i="57"/>
  <c r="Z26" i="57" s="1"/>
  <c r="N26" i="57"/>
  <c r="L26" i="57"/>
  <c r="J26" i="57"/>
  <c r="F26" i="57"/>
  <c r="B26" i="57"/>
  <c r="X25" i="57"/>
  <c r="Z25" i="57" s="1"/>
  <c r="N25" i="57"/>
  <c r="L25" i="57"/>
  <c r="F25" i="57"/>
  <c r="B25" i="57"/>
  <c r="Z24" i="57"/>
  <c r="X24" i="57"/>
  <c r="N24" i="57"/>
  <c r="L24" i="57"/>
  <c r="F24" i="57"/>
  <c r="B24" i="57"/>
  <c r="X23" i="57"/>
  <c r="Z23" i="57" s="1"/>
  <c r="L23" i="57"/>
  <c r="N23" i="57" s="1"/>
  <c r="F23" i="57"/>
  <c r="B23" i="57"/>
  <c r="X22" i="57"/>
  <c r="Z22" i="57" s="1"/>
  <c r="N22" i="57"/>
  <c r="L22" i="57"/>
  <c r="J22" i="57"/>
  <c r="F22" i="57"/>
  <c r="B22" i="57"/>
  <c r="X21" i="57"/>
  <c r="Z21" i="57" s="1"/>
  <c r="N21" i="57"/>
  <c r="L21" i="57"/>
  <c r="F21" i="57"/>
  <c r="B21" i="57"/>
  <c r="Z20" i="57"/>
  <c r="X20" i="57"/>
  <c r="N20" i="57"/>
  <c r="L20" i="57"/>
  <c r="F20" i="57"/>
  <c r="B20" i="57"/>
  <c r="T19" i="57"/>
  <c r="P19" i="57"/>
  <c r="L19" i="57"/>
  <c r="H19" i="57"/>
  <c r="N19" i="57" s="1"/>
  <c r="F19" i="57"/>
  <c r="D19" i="57"/>
  <c r="B19" i="57"/>
  <c r="T18" i="57"/>
  <c r="P18" i="57"/>
  <c r="X18" i="57" s="1"/>
  <c r="H18" i="57"/>
  <c r="F18" i="57"/>
  <c r="D18" i="57"/>
  <c r="L18" i="57" s="1"/>
  <c r="F16" i="57"/>
  <c r="T14" i="57"/>
  <c r="Z14" i="57" s="1"/>
  <c r="P14" i="57"/>
  <c r="X14" i="57" s="1"/>
  <c r="H14" i="57"/>
  <c r="N14" i="57" s="1"/>
  <c r="F14" i="57"/>
  <c r="D14" i="57"/>
  <c r="L14" i="57" s="1"/>
  <c r="T12" i="57"/>
  <c r="V74" i="57" s="1"/>
  <c r="P12" i="57"/>
  <c r="R62" i="57" s="1"/>
  <c r="N12" i="57"/>
  <c r="L12" i="57"/>
  <c r="H12" i="57"/>
  <c r="J74" i="57" s="1"/>
  <c r="D12" i="57"/>
  <c r="F57" i="57" s="1"/>
  <c r="D6" i="57"/>
  <c r="D4" i="57"/>
  <c r="Z72" i="56"/>
  <c r="X72" i="56"/>
  <c r="N72" i="56"/>
  <c r="L72" i="56"/>
  <c r="T68" i="56"/>
  <c r="Z68" i="56" s="1"/>
  <c r="P68" i="56"/>
  <c r="X68" i="56" s="1"/>
  <c r="H68" i="56"/>
  <c r="N68" i="56" s="1"/>
  <c r="D68" i="56"/>
  <c r="L68" i="56" s="1"/>
  <c r="Z66" i="56"/>
  <c r="X66" i="56"/>
  <c r="R66" i="56"/>
  <c r="L66" i="56"/>
  <c r="N66" i="56" s="1"/>
  <c r="B66" i="56"/>
  <c r="Z65" i="56"/>
  <c r="X65" i="56"/>
  <c r="T65" i="56"/>
  <c r="P65" i="56"/>
  <c r="H65" i="56"/>
  <c r="D65" i="56"/>
  <c r="L65" i="56" s="1"/>
  <c r="N65" i="56" s="1"/>
  <c r="B65" i="56"/>
  <c r="X64" i="56"/>
  <c r="Z64" i="56" s="1"/>
  <c r="L64" i="56"/>
  <c r="N64" i="56" s="1"/>
  <c r="B64" i="56"/>
  <c r="X63" i="56"/>
  <c r="T63" i="56"/>
  <c r="Z63" i="56" s="1"/>
  <c r="P63" i="56"/>
  <c r="J63" i="56"/>
  <c r="H63" i="56"/>
  <c r="N63" i="56" s="1"/>
  <c r="D63" i="56"/>
  <c r="L63" i="56" s="1"/>
  <c r="B63" i="56"/>
  <c r="X62" i="56"/>
  <c r="Z62" i="56" s="1"/>
  <c r="N62" i="56"/>
  <c r="L62" i="56"/>
  <c r="B62" i="56"/>
  <c r="T61" i="56"/>
  <c r="P61" i="56"/>
  <c r="N61" i="56"/>
  <c r="L61" i="56"/>
  <c r="H61" i="56"/>
  <c r="D61" i="56"/>
  <c r="B61" i="56"/>
  <c r="Z60" i="56"/>
  <c r="X60" i="56"/>
  <c r="N60" i="56"/>
  <c r="L60" i="56"/>
  <c r="B60" i="56"/>
  <c r="Z59" i="56"/>
  <c r="X59" i="56"/>
  <c r="L59" i="56"/>
  <c r="N59" i="56" s="1"/>
  <c r="B59" i="56"/>
  <c r="Z58" i="56"/>
  <c r="X58" i="56"/>
  <c r="R58" i="56"/>
  <c r="N58" i="56"/>
  <c r="L58" i="56"/>
  <c r="B58" i="56"/>
  <c r="Z57" i="56"/>
  <c r="X57" i="56"/>
  <c r="N57" i="56"/>
  <c r="L57" i="56"/>
  <c r="J57" i="56"/>
  <c r="B57" i="56"/>
  <c r="T56" i="56"/>
  <c r="Z56" i="56" s="1"/>
  <c r="P56" i="56"/>
  <c r="X56" i="56" s="1"/>
  <c r="H56" i="56"/>
  <c r="D56" i="56"/>
  <c r="L56" i="56" s="1"/>
  <c r="B56" i="56"/>
  <c r="X55" i="56"/>
  <c r="Z55" i="56" s="1"/>
  <c r="N55" i="56"/>
  <c r="L55" i="56"/>
  <c r="B55" i="56"/>
  <c r="T54" i="56"/>
  <c r="P54" i="56"/>
  <c r="X54" i="56" s="1"/>
  <c r="Z54" i="56" s="1"/>
  <c r="N54" i="56"/>
  <c r="H54" i="56"/>
  <c r="D54" i="56"/>
  <c r="L54" i="56" s="1"/>
  <c r="B54" i="56"/>
  <c r="Z53" i="56"/>
  <c r="X53" i="56"/>
  <c r="N53" i="56"/>
  <c r="L53" i="56"/>
  <c r="B53" i="56"/>
  <c r="X52" i="56"/>
  <c r="Z52" i="56" s="1"/>
  <c r="N52" i="56"/>
  <c r="L52" i="56"/>
  <c r="B52" i="56"/>
  <c r="Z51" i="56"/>
  <c r="X51" i="56"/>
  <c r="N51" i="56"/>
  <c r="L51" i="56"/>
  <c r="B51" i="56"/>
  <c r="X50" i="56"/>
  <c r="Z50" i="56" s="1"/>
  <c r="T50" i="56"/>
  <c r="P50" i="56"/>
  <c r="L50" i="56"/>
  <c r="H50" i="56"/>
  <c r="N50" i="56" s="1"/>
  <c r="D50" i="56"/>
  <c r="B50" i="56"/>
  <c r="Z49" i="56"/>
  <c r="X49" i="56"/>
  <c r="N49" i="56"/>
  <c r="L49" i="56"/>
  <c r="J49" i="56"/>
  <c r="B49" i="56"/>
  <c r="Z48" i="56"/>
  <c r="X48" i="56"/>
  <c r="N48" i="56"/>
  <c r="L48" i="56"/>
  <c r="B48" i="56"/>
  <c r="Z47" i="56"/>
  <c r="X47" i="56"/>
  <c r="N47" i="56"/>
  <c r="L47" i="56"/>
  <c r="B47" i="56"/>
  <c r="T46" i="56"/>
  <c r="Z46" i="56" s="1"/>
  <c r="P46" i="56"/>
  <c r="X46" i="56" s="1"/>
  <c r="H46" i="56"/>
  <c r="N46" i="56" s="1"/>
  <c r="D46" i="56"/>
  <c r="L46" i="56" s="1"/>
  <c r="B46" i="56"/>
  <c r="X45" i="56"/>
  <c r="Z45" i="56" s="1"/>
  <c r="V45" i="56"/>
  <c r="N45" i="56"/>
  <c r="L45" i="56"/>
  <c r="B45" i="56"/>
  <c r="T44" i="56"/>
  <c r="P44" i="56"/>
  <c r="X44" i="56" s="1"/>
  <c r="Z44" i="56" s="1"/>
  <c r="H44" i="56"/>
  <c r="D44" i="56"/>
  <c r="L44" i="56" s="1"/>
  <c r="N44" i="56" s="1"/>
  <c r="B44" i="56"/>
  <c r="Z43" i="56"/>
  <c r="X43" i="56"/>
  <c r="N43" i="56"/>
  <c r="L43" i="56"/>
  <c r="B43" i="56"/>
  <c r="X42" i="56"/>
  <c r="Z42" i="56" s="1"/>
  <c r="T42" i="56"/>
  <c r="P42" i="56"/>
  <c r="L42" i="56"/>
  <c r="H42" i="56"/>
  <c r="N42" i="56" s="1"/>
  <c r="D42" i="56"/>
  <c r="B42" i="56"/>
  <c r="Z41" i="56"/>
  <c r="X41" i="56"/>
  <c r="N41" i="56"/>
  <c r="L41" i="56"/>
  <c r="J41" i="56"/>
  <c r="B41" i="56"/>
  <c r="T40" i="56"/>
  <c r="Z40" i="56" s="1"/>
  <c r="P40" i="56"/>
  <c r="X40" i="56" s="1"/>
  <c r="H40" i="56"/>
  <c r="N40" i="56" s="1"/>
  <c r="D40" i="56"/>
  <c r="L40" i="56" s="1"/>
  <c r="B40" i="56"/>
  <c r="X39" i="56"/>
  <c r="Z39" i="56" s="1"/>
  <c r="N39" i="56"/>
  <c r="L39" i="56"/>
  <c r="B39" i="56"/>
  <c r="T38" i="56"/>
  <c r="R38" i="56"/>
  <c r="P38" i="56"/>
  <c r="X38" i="56" s="1"/>
  <c r="Z38" i="56" s="1"/>
  <c r="H38" i="56"/>
  <c r="D38" i="56"/>
  <c r="L38" i="56" s="1"/>
  <c r="N38" i="56" s="1"/>
  <c r="B38" i="56"/>
  <c r="Z37" i="56"/>
  <c r="X37" i="56"/>
  <c r="R37" i="56"/>
  <c r="N37" i="56"/>
  <c r="L37" i="56"/>
  <c r="B37" i="56"/>
  <c r="X36" i="56"/>
  <c r="T36" i="56"/>
  <c r="Z36" i="56" s="1"/>
  <c r="P36" i="56"/>
  <c r="N36" i="56"/>
  <c r="L36" i="56"/>
  <c r="H36" i="56"/>
  <c r="D36" i="56"/>
  <c r="B36" i="56"/>
  <c r="Z35" i="56"/>
  <c r="X35" i="56"/>
  <c r="L35" i="56"/>
  <c r="N35" i="56" s="1"/>
  <c r="J35" i="56"/>
  <c r="B35" i="56"/>
  <c r="T34" i="56"/>
  <c r="Z34" i="56" s="1"/>
  <c r="P34" i="56"/>
  <c r="X34" i="56" s="1"/>
  <c r="J34" i="56"/>
  <c r="H34" i="56"/>
  <c r="D34" i="56"/>
  <c r="L34" i="56" s="1"/>
  <c r="B34" i="56"/>
  <c r="X33" i="56"/>
  <c r="Z33" i="56" s="1"/>
  <c r="V33" i="56"/>
  <c r="N33" i="56"/>
  <c r="L33" i="56"/>
  <c r="B33" i="56"/>
  <c r="T32" i="56"/>
  <c r="P32" i="56"/>
  <c r="X32" i="56" s="1"/>
  <c r="Z32" i="56" s="1"/>
  <c r="H32" i="56"/>
  <c r="F32" i="56"/>
  <c r="D32" i="56"/>
  <c r="L32" i="56" s="1"/>
  <c r="N32" i="56" s="1"/>
  <c r="B32" i="56"/>
  <c r="Z31" i="56"/>
  <c r="X31" i="56"/>
  <c r="N31" i="56"/>
  <c r="L31" i="56"/>
  <c r="J31" i="56"/>
  <c r="B31" i="56"/>
  <c r="X30" i="56"/>
  <c r="Z30" i="56" s="1"/>
  <c r="N30" i="56"/>
  <c r="L30" i="56"/>
  <c r="F30" i="56"/>
  <c r="B30" i="56"/>
  <c r="Z29" i="56"/>
  <c r="X29" i="56"/>
  <c r="R29" i="56"/>
  <c r="N29" i="56"/>
  <c r="L29" i="56"/>
  <c r="B29" i="56"/>
  <c r="X28" i="56"/>
  <c r="T28" i="56"/>
  <c r="Z28" i="56" s="1"/>
  <c r="R28" i="56"/>
  <c r="P28" i="56"/>
  <c r="L28" i="56"/>
  <c r="N28" i="56" s="1"/>
  <c r="H28" i="56"/>
  <c r="D28" i="56"/>
  <c r="B28" i="56"/>
  <c r="Z27" i="56"/>
  <c r="X27" i="56"/>
  <c r="R27" i="56"/>
  <c r="L27" i="56"/>
  <c r="N27" i="56" s="1"/>
  <c r="J27" i="56"/>
  <c r="B27" i="56"/>
  <c r="Z26" i="56"/>
  <c r="X26" i="56"/>
  <c r="R26" i="56"/>
  <c r="L26" i="56"/>
  <c r="N26" i="56" s="1"/>
  <c r="J26" i="56"/>
  <c r="B26" i="56"/>
  <c r="Z25" i="56"/>
  <c r="X25" i="56"/>
  <c r="L25" i="56"/>
  <c r="N25" i="56" s="1"/>
  <c r="J25" i="56"/>
  <c r="B25" i="56"/>
  <c r="Z24" i="56"/>
  <c r="X24" i="56"/>
  <c r="V24" i="56"/>
  <c r="R24" i="56"/>
  <c r="L24" i="56"/>
  <c r="N24" i="56" s="1"/>
  <c r="B24" i="56"/>
  <c r="Z23" i="56"/>
  <c r="X23" i="56"/>
  <c r="V23" i="56"/>
  <c r="R23" i="56"/>
  <c r="L23" i="56"/>
  <c r="N23" i="56" s="1"/>
  <c r="J23" i="56"/>
  <c r="B23" i="56"/>
  <c r="Z22" i="56"/>
  <c r="X22" i="56"/>
  <c r="R22" i="56"/>
  <c r="L22" i="56"/>
  <c r="N22" i="56" s="1"/>
  <c r="J22" i="56"/>
  <c r="B22" i="56"/>
  <c r="Z21" i="56"/>
  <c r="X21" i="56"/>
  <c r="L21" i="56"/>
  <c r="N21" i="56" s="1"/>
  <c r="J21" i="56"/>
  <c r="B21" i="56"/>
  <c r="Z20" i="56"/>
  <c r="X20" i="56"/>
  <c r="V20" i="56"/>
  <c r="R20" i="56"/>
  <c r="L20" i="56"/>
  <c r="N20" i="56" s="1"/>
  <c r="B20" i="56"/>
  <c r="V19" i="56"/>
  <c r="T19" i="56"/>
  <c r="P19" i="56"/>
  <c r="X19" i="56" s="1"/>
  <c r="Z19" i="56" s="1"/>
  <c r="N19" i="56"/>
  <c r="L19" i="56"/>
  <c r="J19" i="56"/>
  <c r="H19" i="56"/>
  <c r="D19" i="56"/>
  <c r="B19" i="56"/>
  <c r="T18" i="56"/>
  <c r="R18" i="56"/>
  <c r="P18" i="56"/>
  <c r="X18" i="56" s="1"/>
  <c r="H18" i="56"/>
  <c r="D18" i="56"/>
  <c r="R16" i="56"/>
  <c r="T14" i="56"/>
  <c r="Z14" i="56" s="1"/>
  <c r="R14" i="56"/>
  <c r="P14" i="56"/>
  <c r="X14" i="56" s="1"/>
  <c r="N14" i="56"/>
  <c r="H14" i="56"/>
  <c r="D14" i="56"/>
  <c r="L14" i="56" s="1"/>
  <c r="X12" i="56"/>
  <c r="T12" i="56"/>
  <c r="V62" i="56" s="1"/>
  <c r="P12" i="56"/>
  <c r="R56" i="56" s="1"/>
  <c r="N12" i="56"/>
  <c r="L12" i="56"/>
  <c r="H12" i="56"/>
  <c r="J72" i="56" s="1"/>
  <c r="D12" i="56"/>
  <c r="F70" i="56" s="1"/>
  <c r="D6" i="56"/>
  <c r="D4" i="56"/>
  <c r="Z35" i="55"/>
  <c r="X35" i="55"/>
  <c r="R35" i="55"/>
  <c r="N35" i="55"/>
  <c r="L35" i="55"/>
  <c r="F35" i="55"/>
  <c r="F33" i="55"/>
  <c r="T31" i="55"/>
  <c r="Z31" i="55" s="1"/>
  <c r="P31" i="55"/>
  <c r="X31" i="55" s="1"/>
  <c r="H31" i="55"/>
  <c r="N31" i="55" s="1"/>
  <c r="F31" i="55"/>
  <c r="D31" i="55"/>
  <c r="L31" i="55" s="1"/>
  <c r="X29" i="55"/>
  <c r="Z29" i="55" s="1"/>
  <c r="N29" i="55"/>
  <c r="L29" i="55"/>
  <c r="F29" i="55"/>
  <c r="B29" i="55"/>
  <c r="X28" i="55"/>
  <c r="Z28" i="55" s="1"/>
  <c r="V28" i="55"/>
  <c r="N28" i="55"/>
  <c r="L28" i="55"/>
  <c r="B28" i="55"/>
  <c r="T27" i="55"/>
  <c r="Z27" i="55" s="1"/>
  <c r="R27" i="55"/>
  <c r="P27" i="55"/>
  <c r="X27" i="55" s="1"/>
  <c r="H27" i="55"/>
  <c r="N27" i="55" s="1"/>
  <c r="D27" i="55"/>
  <c r="L27" i="55" s="1"/>
  <c r="B27" i="55"/>
  <c r="Z26" i="55"/>
  <c r="X26" i="55"/>
  <c r="R26" i="55"/>
  <c r="N26" i="55"/>
  <c r="L26" i="55"/>
  <c r="B26" i="55"/>
  <c r="X25" i="55"/>
  <c r="T25" i="55"/>
  <c r="Z25" i="55" s="1"/>
  <c r="P25" i="55"/>
  <c r="N25" i="55"/>
  <c r="L25" i="55"/>
  <c r="H25" i="55"/>
  <c r="D25" i="55"/>
  <c r="B25" i="55"/>
  <c r="Z24" i="55"/>
  <c r="X24" i="55"/>
  <c r="V24" i="55"/>
  <c r="L24" i="55"/>
  <c r="N24" i="55" s="1"/>
  <c r="F24" i="55"/>
  <c r="B24" i="55"/>
  <c r="T23" i="55"/>
  <c r="P23" i="55"/>
  <c r="X23" i="55" s="1"/>
  <c r="H23" i="55"/>
  <c r="N23" i="55" s="1"/>
  <c r="F23" i="55"/>
  <c r="D23" i="55"/>
  <c r="L23" i="55" s="1"/>
  <c r="B23" i="55"/>
  <c r="Z22" i="55"/>
  <c r="X22" i="55"/>
  <c r="V22" i="55"/>
  <c r="N22" i="55"/>
  <c r="L22" i="55"/>
  <c r="F22" i="55"/>
  <c r="B22" i="55"/>
  <c r="T21" i="55"/>
  <c r="Z21" i="55" s="1"/>
  <c r="P21" i="55"/>
  <c r="X21" i="55" s="1"/>
  <c r="H21" i="55"/>
  <c r="F21" i="55"/>
  <c r="D21" i="55"/>
  <c r="L21" i="55" s="1"/>
  <c r="B21" i="55"/>
  <c r="Z20" i="55"/>
  <c r="X20" i="55"/>
  <c r="N20" i="55"/>
  <c r="L20" i="55"/>
  <c r="F20" i="55"/>
  <c r="B20" i="55"/>
  <c r="X19" i="55"/>
  <c r="Z19" i="55" s="1"/>
  <c r="T19" i="55"/>
  <c r="P19" i="55"/>
  <c r="L19" i="55"/>
  <c r="H19" i="55"/>
  <c r="N19" i="55" s="1"/>
  <c r="F19" i="55"/>
  <c r="D19" i="55"/>
  <c r="B19" i="55"/>
  <c r="T18" i="55"/>
  <c r="P18" i="55"/>
  <c r="H18" i="55"/>
  <c r="F18" i="55"/>
  <c r="D18" i="55"/>
  <c r="L18" i="55" s="1"/>
  <c r="N18" i="55" s="1"/>
  <c r="F16" i="55"/>
  <c r="Z14" i="55"/>
  <c r="T14" i="55"/>
  <c r="X14" i="55" s="1"/>
  <c r="P14" i="55"/>
  <c r="N14" i="55"/>
  <c r="H14" i="55"/>
  <c r="F14" i="55"/>
  <c r="D14" i="55"/>
  <c r="L14" i="55" s="1"/>
  <c r="Z12" i="55"/>
  <c r="T12" i="55"/>
  <c r="V19" i="55" s="1"/>
  <c r="P12" i="55"/>
  <c r="R28" i="55" s="1"/>
  <c r="H12" i="55"/>
  <c r="J40" i="55" s="1"/>
  <c r="D12" i="55"/>
  <c r="F40" i="55" s="1"/>
  <c r="D6" i="55"/>
  <c r="D4" i="55"/>
  <c r="V31" i="54"/>
  <c r="J31" i="54"/>
  <c r="F31" i="54"/>
  <c r="X29" i="54"/>
  <c r="Z29" i="54" s="1"/>
  <c r="V29" i="54"/>
  <c r="T29" i="54"/>
  <c r="P29" i="54"/>
  <c r="J29" i="54"/>
  <c r="H29" i="54"/>
  <c r="F29" i="54"/>
  <c r="D29" i="54"/>
  <c r="L29" i="54" s="1"/>
  <c r="N29" i="54" s="1"/>
  <c r="X28" i="54"/>
  <c r="Z28" i="54" s="1"/>
  <c r="V28" i="54"/>
  <c r="T28" i="54"/>
  <c r="P28" i="54"/>
  <c r="J28" i="54"/>
  <c r="H28" i="54"/>
  <c r="F28" i="54"/>
  <c r="D28" i="54"/>
  <c r="L28" i="54" s="1"/>
  <c r="N28" i="54" s="1"/>
  <c r="V26" i="54"/>
  <c r="J26" i="54"/>
  <c r="F26" i="54"/>
  <c r="Z24" i="54"/>
  <c r="X24" i="54"/>
  <c r="V24" i="54"/>
  <c r="N24" i="54"/>
  <c r="L24" i="54"/>
  <c r="F22" i="54"/>
  <c r="Z20" i="54"/>
  <c r="T20" i="54"/>
  <c r="P20" i="54"/>
  <c r="X20" i="54" s="1"/>
  <c r="N20" i="54"/>
  <c r="H20" i="54"/>
  <c r="L20" i="54" s="1"/>
  <c r="F20" i="54"/>
  <c r="D20" i="54"/>
  <c r="Z18" i="54"/>
  <c r="T18" i="54"/>
  <c r="P18" i="54"/>
  <c r="X18" i="54" s="1"/>
  <c r="N18" i="54"/>
  <c r="H18" i="54"/>
  <c r="L18" i="54" s="1"/>
  <c r="F18" i="54"/>
  <c r="D18" i="54"/>
  <c r="F16" i="54"/>
  <c r="Z14" i="54"/>
  <c r="T14" i="54"/>
  <c r="P14" i="54"/>
  <c r="X14" i="54" s="1"/>
  <c r="N14" i="54"/>
  <c r="H14" i="54"/>
  <c r="L14" i="54" s="1"/>
  <c r="F14" i="54"/>
  <c r="D14" i="54"/>
  <c r="Z12" i="54"/>
  <c r="T12" i="54"/>
  <c r="V22" i="54" s="1"/>
  <c r="P12" i="54"/>
  <c r="R24" i="54" s="1"/>
  <c r="H12" i="54"/>
  <c r="J22" i="54" s="1"/>
  <c r="D12" i="54"/>
  <c r="F24" i="54" s="1"/>
  <c r="D6" i="54"/>
  <c r="D4" i="54"/>
  <c r="Z109" i="51"/>
  <c r="X109" i="51"/>
  <c r="L109" i="51"/>
  <c r="N109" i="51" s="1"/>
  <c r="X105" i="51"/>
  <c r="Z105" i="51" s="1"/>
  <c r="T105" i="51"/>
  <c r="P105" i="51"/>
  <c r="L105" i="51"/>
  <c r="H105" i="51"/>
  <c r="N105" i="51" s="1"/>
  <c r="D105" i="51"/>
  <c r="B105" i="51"/>
  <c r="T104" i="51"/>
  <c r="P104" i="51"/>
  <c r="X104" i="51" s="1"/>
  <c r="H104" i="51"/>
  <c r="H101" i="51" s="1"/>
  <c r="D104" i="51"/>
  <c r="L104" i="51" s="1"/>
  <c r="B104" i="51"/>
  <c r="T103" i="51"/>
  <c r="P103" i="51"/>
  <c r="X103" i="51" s="1"/>
  <c r="Z103" i="51" s="1"/>
  <c r="N103" i="51"/>
  <c r="L103" i="51"/>
  <c r="H103" i="51"/>
  <c r="D103" i="51"/>
  <c r="D101" i="51" s="1"/>
  <c r="L101" i="51" s="1"/>
  <c r="B103" i="51"/>
  <c r="X102" i="51"/>
  <c r="T102" i="51"/>
  <c r="Z102" i="51" s="1"/>
  <c r="P102" i="51"/>
  <c r="L102" i="51"/>
  <c r="N102" i="51" s="1"/>
  <c r="H102" i="51"/>
  <c r="D102" i="51"/>
  <c r="B102" i="51"/>
  <c r="P101" i="51"/>
  <c r="Z99" i="51"/>
  <c r="X99" i="51"/>
  <c r="N99" i="51"/>
  <c r="L99" i="51"/>
  <c r="B99" i="51"/>
  <c r="T98" i="51"/>
  <c r="Z98" i="51" s="1"/>
  <c r="P98" i="51"/>
  <c r="X98" i="51" s="1"/>
  <c r="H98" i="51"/>
  <c r="N98" i="51" s="1"/>
  <c r="D98" i="51"/>
  <c r="L98" i="51" s="1"/>
  <c r="B98" i="51"/>
  <c r="X97" i="51"/>
  <c r="Z97" i="51" s="1"/>
  <c r="N97" i="51"/>
  <c r="L97" i="51"/>
  <c r="B97" i="51"/>
  <c r="T96" i="51"/>
  <c r="Z96" i="51" s="1"/>
  <c r="P96" i="51"/>
  <c r="X96" i="51" s="1"/>
  <c r="H96" i="51"/>
  <c r="N96" i="51" s="1"/>
  <c r="D96" i="51"/>
  <c r="L96" i="51" s="1"/>
  <c r="B96" i="51"/>
  <c r="X95" i="51"/>
  <c r="Z95" i="51" s="1"/>
  <c r="N95" i="51"/>
  <c r="L95" i="51"/>
  <c r="B95" i="51"/>
  <c r="X94" i="51"/>
  <c r="Z94" i="51" s="1"/>
  <c r="T94" i="51"/>
  <c r="P94" i="51"/>
  <c r="L94" i="51"/>
  <c r="H94" i="51"/>
  <c r="N94" i="51" s="1"/>
  <c r="D94" i="51"/>
  <c r="B94" i="51"/>
  <c r="Z93" i="51"/>
  <c r="X93" i="51"/>
  <c r="N93" i="51"/>
  <c r="L93" i="51"/>
  <c r="B93" i="51"/>
  <c r="Z92" i="51"/>
  <c r="X92" i="51"/>
  <c r="N92" i="51"/>
  <c r="L92" i="51"/>
  <c r="B92" i="51"/>
  <c r="Z91" i="51"/>
  <c r="X91" i="51"/>
  <c r="N91" i="51"/>
  <c r="L91" i="51"/>
  <c r="B91" i="51"/>
  <c r="T90" i="51"/>
  <c r="Z90" i="51" s="1"/>
  <c r="P90" i="51"/>
  <c r="X90" i="51" s="1"/>
  <c r="H90" i="51"/>
  <c r="N90" i="51" s="1"/>
  <c r="D90" i="51"/>
  <c r="L90" i="51" s="1"/>
  <c r="B90" i="51"/>
  <c r="X89" i="51"/>
  <c r="Z89" i="51" s="1"/>
  <c r="N89" i="51"/>
  <c r="L89" i="51"/>
  <c r="B89" i="51"/>
  <c r="T88" i="51"/>
  <c r="P88" i="51"/>
  <c r="X88" i="51" s="1"/>
  <c r="Z88" i="51" s="1"/>
  <c r="H88" i="51"/>
  <c r="N88" i="51" s="1"/>
  <c r="D88" i="51"/>
  <c r="L88" i="51" s="1"/>
  <c r="B88" i="51"/>
  <c r="X87" i="51"/>
  <c r="Z87" i="51" s="1"/>
  <c r="N87" i="51"/>
  <c r="L87" i="51"/>
  <c r="B87" i="51"/>
  <c r="X86" i="51"/>
  <c r="Z86" i="51" s="1"/>
  <c r="T86" i="51"/>
  <c r="P86" i="51"/>
  <c r="L86" i="51"/>
  <c r="H86" i="51"/>
  <c r="N86" i="51" s="1"/>
  <c r="D86" i="51"/>
  <c r="B86" i="51"/>
  <c r="Z85" i="51"/>
  <c r="X85" i="51"/>
  <c r="N85" i="51"/>
  <c r="L85" i="51"/>
  <c r="B85" i="51"/>
  <c r="T84" i="51"/>
  <c r="Z84" i="51" s="1"/>
  <c r="P84" i="51"/>
  <c r="X84" i="51" s="1"/>
  <c r="H84" i="51"/>
  <c r="N84" i="51" s="1"/>
  <c r="D84" i="51"/>
  <c r="L84" i="51" s="1"/>
  <c r="B84" i="51"/>
  <c r="Z83" i="51"/>
  <c r="X83" i="51"/>
  <c r="N83" i="51"/>
  <c r="L83" i="51"/>
  <c r="B83" i="51"/>
  <c r="T82" i="51"/>
  <c r="Z82" i="51" s="1"/>
  <c r="P82" i="51"/>
  <c r="X82" i="51" s="1"/>
  <c r="N82" i="51"/>
  <c r="H82" i="51"/>
  <c r="D82" i="51"/>
  <c r="L82" i="51" s="1"/>
  <c r="B82" i="51"/>
  <c r="Z81" i="51"/>
  <c r="X81" i="51"/>
  <c r="N81" i="51"/>
  <c r="L81" i="51"/>
  <c r="B81" i="51"/>
  <c r="X80" i="51"/>
  <c r="Z80" i="51" s="1"/>
  <c r="N80" i="51"/>
  <c r="L80" i="51"/>
  <c r="B80" i="51"/>
  <c r="X79" i="51"/>
  <c r="Z79" i="51" s="1"/>
  <c r="T79" i="51"/>
  <c r="P79" i="51"/>
  <c r="H79" i="51"/>
  <c r="N79" i="51" s="1"/>
  <c r="D79" i="51"/>
  <c r="B79" i="51"/>
  <c r="Z78" i="51"/>
  <c r="X78" i="51"/>
  <c r="L78" i="51"/>
  <c r="N78" i="51" s="1"/>
  <c r="B78" i="51"/>
  <c r="T77" i="51"/>
  <c r="X77" i="51" s="1"/>
  <c r="Z77" i="51" s="1"/>
  <c r="P77" i="51"/>
  <c r="H77" i="51"/>
  <c r="D77" i="51"/>
  <c r="L77" i="51" s="1"/>
  <c r="N77" i="51" s="1"/>
  <c r="B77" i="51"/>
  <c r="X76" i="51"/>
  <c r="Z76" i="51" s="1"/>
  <c r="L76" i="51"/>
  <c r="N76" i="51" s="1"/>
  <c r="B76" i="51"/>
  <c r="X75" i="51"/>
  <c r="T75" i="51"/>
  <c r="Z75" i="51" s="1"/>
  <c r="P75" i="51"/>
  <c r="H75" i="51"/>
  <c r="D75" i="51"/>
  <c r="L75" i="51" s="1"/>
  <c r="N75" i="51" s="1"/>
  <c r="B75" i="51"/>
  <c r="X74" i="51"/>
  <c r="Z74" i="51" s="1"/>
  <c r="N74" i="51"/>
  <c r="L74" i="51"/>
  <c r="B74" i="51"/>
  <c r="T73" i="51"/>
  <c r="P73" i="51"/>
  <c r="L73" i="51"/>
  <c r="N73" i="51" s="1"/>
  <c r="H73" i="51"/>
  <c r="D73" i="51"/>
  <c r="B73" i="51"/>
  <c r="Z72" i="51"/>
  <c r="X72" i="51"/>
  <c r="N72" i="51"/>
  <c r="L72" i="51"/>
  <c r="B72" i="51"/>
  <c r="Z71" i="51"/>
  <c r="X71" i="51"/>
  <c r="L71" i="51"/>
  <c r="N71" i="51" s="1"/>
  <c r="B71" i="51"/>
  <c r="Z70" i="51"/>
  <c r="X70" i="51"/>
  <c r="L70" i="51"/>
  <c r="N70" i="51" s="1"/>
  <c r="B70" i="51"/>
  <c r="Z69" i="51"/>
  <c r="X69" i="51"/>
  <c r="N69" i="51"/>
  <c r="L69" i="51"/>
  <c r="B69" i="51"/>
  <c r="Z68" i="51"/>
  <c r="X68" i="51"/>
  <c r="L68" i="51"/>
  <c r="N68" i="51" s="1"/>
  <c r="B68" i="51"/>
  <c r="T67" i="51"/>
  <c r="P67" i="51"/>
  <c r="X67" i="51" s="1"/>
  <c r="Z67" i="51" s="1"/>
  <c r="H67" i="51"/>
  <c r="L67" i="51" s="1"/>
  <c r="N67" i="51" s="1"/>
  <c r="D67" i="51"/>
  <c r="B67" i="51"/>
  <c r="X66" i="51"/>
  <c r="Z66" i="51" s="1"/>
  <c r="L66" i="51"/>
  <c r="N66" i="51" s="1"/>
  <c r="B66" i="51"/>
  <c r="X65" i="51"/>
  <c r="Z65" i="51" s="1"/>
  <c r="L65" i="51"/>
  <c r="N65" i="51" s="1"/>
  <c r="B65" i="51"/>
  <c r="X64" i="51"/>
  <c r="Z64" i="51" s="1"/>
  <c r="L64" i="51"/>
  <c r="N64" i="51" s="1"/>
  <c r="B64" i="51"/>
  <c r="X63" i="51"/>
  <c r="Z63" i="51" s="1"/>
  <c r="L63" i="51"/>
  <c r="N63" i="51" s="1"/>
  <c r="B63" i="51"/>
  <c r="X62" i="51"/>
  <c r="Z62" i="51" s="1"/>
  <c r="L62" i="51"/>
  <c r="N62" i="51" s="1"/>
  <c r="B62" i="51"/>
  <c r="X61" i="51"/>
  <c r="Z61" i="51" s="1"/>
  <c r="L61" i="51"/>
  <c r="N61" i="51" s="1"/>
  <c r="B61" i="51"/>
  <c r="X60" i="51"/>
  <c r="Z60" i="51" s="1"/>
  <c r="L60" i="51"/>
  <c r="N60" i="51" s="1"/>
  <c r="B60" i="51"/>
  <c r="X59" i="51"/>
  <c r="Z59" i="51" s="1"/>
  <c r="L59" i="51"/>
  <c r="N59" i="51" s="1"/>
  <c r="B59" i="51"/>
  <c r="X58" i="51"/>
  <c r="Z58" i="51" s="1"/>
  <c r="L58" i="51"/>
  <c r="N58" i="51" s="1"/>
  <c r="B58" i="51"/>
  <c r="T57" i="51"/>
  <c r="P57" i="51"/>
  <c r="X57" i="51" s="1"/>
  <c r="L57" i="51"/>
  <c r="H57" i="51"/>
  <c r="N57" i="51" s="1"/>
  <c r="D57" i="51"/>
  <c r="B57" i="51"/>
  <c r="X56" i="51"/>
  <c r="T56" i="51"/>
  <c r="P56" i="51"/>
  <c r="H56" i="51"/>
  <c r="D56" i="51"/>
  <c r="L56" i="51" s="1"/>
  <c r="N56" i="51" s="1"/>
  <c r="X52" i="51"/>
  <c r="Z52" i="51" s="1"/>
  <c r="N52" i="51"/>
  <c r="L52" i="51"/>
  <c r="B52" i="51"/>
  <c r="Z51" i="51"/>
  <c r="X51" i="51"/>
  <c r="N51" i="51"/>
  <c r="L51" i="51"/>
  <c r="B51" i="51"/>
  <c r="X50" i="51"/>
  <c r="Z50" i="51" s="1"/>
  <c r="N50" i="51"/>
  <c r="L50" i="51"/>
  <c r="B50" i="51"/>
  <c r="X49" i="51"/>
  <c r="Z49" i="51" s="1"/>
  <c r="N49" i="51"/>
  <c r="L49" i="51"/>
  <c r="B49" i="51"/>
  <c r="X48" i="51"/>
  <c r="Z48" i="51" s="1"/>
  <c r="N48" i="51"/>
  <c r="L48" i="51"/>
  <c r="B48" i="51"/>
  <c r="Z47" i="51"/>
  <c r="X47" i="51"/>
  <c r="N47" i="51"/>
  <c r="L47" i="51"/>
  <c r="B47" i="51"/>
  <c r="X46" i="51"/>
  <c r="Z46" i="51" s="1"/>
  <c r="N46" i="51"/>
  <c r="L46" i="51"/>
  <c r="B46" i="51"/>
  <c r="X45" i="51"/>
  <c r="Z45" i="51" s="1"/>
  <c r="N45" i="51"/>
  <c r="L45" i="51"/>
  <c r="B45" i="51"/>
  <c r="X44" i="51"/>
  <c r="Z44" i="51" s="1"/>
  <c r="N44" i="51"/>
  <c r="L44" i="51"/>
  <c r="B44" i="51"/>
  <c r="Z43" i="51"/>
  <c r="X43" i="51"/>
  <c r="N43" i="51"/>
  <c r="L43" i="51"/>
  <c r="B43" i="51"/>
  <c r="X42" i="51"/>
  <c r="Z42" i="51" s="1"/>
  <c r="N42" i="51"/>
  <c r="L42" i="51"/>
  <c r="B42" i="51"/>
  <c r="X41" i="51"/>
  <c r="Z41" i="51" s="1"/>
  <c r="N41" i="51"/>
  <c r="L41" i="51"/>
  <c r="B41" i="51"/>
  <c r="X40" i="51"/>
  <c r="Z40" i="51" s="1"/>
  <c r="N40" i="51"/>
  <c r="L40" i="51"/>
  <c r="B40" i="51"/>
  <c r="Z39" i="51"/>
  <c r="X39" i="51"/>
  <c r="T39" i="51"/>
  <c r="P39" i="51"/>
  <c r="L39" i="51"/>
  <c r="N39" i="51" s="1"/>
  <c r="H39" i="51"/>
  <c r="D39" i="51"/>
  <c r="Z37" i="51"/>
  <c r="X37" i="51"/>
  <c r="T37" i="51"/>
  <c r="P37" i="51"/>
  <c r="H37" i="51"/>
  <c r="D37" i="51"/>
  <c r="L37" i="51" s="1"/>
  <c r="N37" i="51" s="1"/>
  <c r="B37" i="51"/>
  <c r="X36" i="51"/>
  <c r="Z36" i="51" s="1"/>
  <c r="T36" i="51"/>
  <c r="P36" i="51"/>
  <c r="N36" i="51"/>
  <c r="H36" i="51"/>
  <c r="D36" i="51"/>
  <c r="L36" i="51" s="1"/>
  <c r="B36" i="51"/>
  <c r="X35" i="51"/>
  <c r="Z35" i="51" s="1"/>
  <c r="T35" i="51"/>
  <c r="P35" i="51"/>
  <c r="N35" i="51"/>
  <c r="H35" i="51"/>
  <c r="D35" i="51"/>
  <c r="L35" i="51" s="1"/>
  <c r="B35" i="51"/>
  <c r="X34" i="51"/>
  <c r="T34" i="51"/>
  <c r="P34" i="51"/>
  <c r="N34" i="51"/>
  <c r="H34" i="51"/>
  <c r="D34" i="51"/>
  <c r="L34" i="51" s="1"/>
  <c r="B34" i="51"/>
  <c r="T33" i="51"/>
  <c r="X33" i="51" s="1"/>
  <c r="Z33" i="51" s="1"/>
  <c r="P33" i="51"/>
  <c r="H33" i="51"/>
  <c r="D33" i="51"/>
  <c r="L33" i="51" s="1"/>
  <c r="N33" i="51" s="1"/>
  <c r="B33" i="51"/>
  <c r="X32" i="51"/>
  <c r="Z32" i="51" s="1"/>
  <c r="T32" i="51"/>
  <c r="P32" i="51"/>
  <c r="N32" i="51"/>
  <c r="H32" i="51"/>
  <c r="D32" i="51"/>
  <c r="L32" i="51" s="1"/>
  <c r="B32" i="51"/>
  <c r="X31" i="51"/>
  <c r="Z31" i="51" s="1"/>
  <c r="T31" i="51"/>
  <c r="P31" i="51"/>
  <c r="N31" i="51"/>
  <c r="H31" i="51"/>
  <c r="D31" i="51"/>
  <c r="L31" i="51" s="1"/>
  <c r="B31" i="51"/>
  <c r="X30" i="51"/>
  <c r="T30" i="51"/>
  <c r="P30" i="51"/>
  <c r="H30" i="51"/>
  <c r="D30" i="51"/>
  <c r="L30" i="51" s="1"/>
  <c r="N30" i="51" s="1"/>
  <c r="B30" i="51"/>
  <c r="T29" i="51"/>
  <c r="X29" i="51" s="1"/>
  <c r="Z29" i="51" s="1"/>
  <c r="P29" i="51"/>
  <c r="H29" i="51"/>
  <c r="D29" i="51"/>
  <c r="L29" i="51" s="1"/>
  <c r="N29" i="51" s="1"/>
  <c r="B29" i="51"/>
  <c r="X28" i="51"/>
  <c r="Z28" i="51" s="1"/>
  <c r="T28" i="51"/>
  <c r="P28" i="51"/>
  <c r="H28" i="51"/>
  <c r="D28" i="51"/>
  <c r="L28" i="51" s="1"/>
  <c r="N28" i="51" s="1"/>
  <c r="B28" i="51"/>
  <c r="Z27" i="51"/>
  <c r="X27" i="51"/>
  <c r="T27" i="51"/>
  <c r="P27" i="51"/>
  <c r="N27" i="51"/>
  <c r="H27" i="51"/>
  <c r="D27" i="51"/>
  <c r="L27" i="51" s="1"/>
  <c r="B27" i="51"/>
  <c r="T26" i="51"/>
  <c r="P26" i="51"/>
  <c r="X26" i="51" s="1"/>
  <c r="H26" i="51"/>
  <c r="D26" i="51"/>
  <c r="L26" i="51" s="1"/>
  <c r="N26" i="51" s="1"/>
  <c r="B26" i="51"/>
  <c r="T25" i="51"/>
  <c r="P25" i="51"/>
  <c r="H25" i="51"/>
  <c r="D25" i="51"/>
  <c r="B25" i="51"/>
  <c r="X24" i="51"/>
  <c r="Z24" i="51" s="1"/>
  <c r="T24" i="51"/>
  <c r="P24" i="51"/>
  <c r="N24" i="51"/>
  <c r="H24" i="51"/>
  <c r="D24" i="51"/>
  <c r="L24" i="51" s="1"/>
  <c r="B24" i="51"/>
  <c r="Z23" i="51"/>
  <c r="X23" i="51"/>
  <c r="T23" i="51"/>
  <c r="P23" i="51"/>
  <c r="N23" i="51"/>
  <c r="L23" i="51"/>
  <c r="H23" i="51"/>
  <c r="D23" i="51"/>
  <c r="B23" i="51"/>
  <c r="X22" i="51"/>
  <c r="T22" i="51"/>
  <c r="P22" i="51"/>
  <c r="H22" i="51"/>
  <c r="D22" i="51"/>
  <c r="B22" i="51"/>
  <c r="T21" i="51"/>
  <c r="P21" i="51"/>
  <c r="H21" i="51"/>
  <c r="D21" i="51"/>
  <c r="L21" i="51" s="1"/>
  <c r="N21" i="51" s="1"/>
  <c r="B21" i="51"/>
  <c r="Z20" i="51"/>
  <c r="X20" i="51"/>
  <c r="T20" i="51"/>
  <c r="P20" i="51"/>
  <c r="H20" i="51"/>
  <c r="D20" i="51"/>
  <c r="L20" i="51" s="1"/>
  <c r="N20" i="51" s="1"/>
  <c r="B20" i="51"/>
  <c r="T19" i="51"/>
  <c r="P19" i="51"/>
  <c r="X19" i="51" s="1"/>
  <c r="Z19" i="51" s="1"/>
  <c r="N19" i="51"/>
  <c r="L19" i="51"/>
  <c r="H19" i="51"/>
  <c r="D19" i="51"/>
  <c r="B19" i="51"/>
  <c r="T18" i="51"/>
  <c r="P18" i="51"/>
  <c r="X18" i="51" s="1"/>
  <c r="H18" i="51"/>
  <c r="N18" i="51" s="1"/>
  <c r="D18" i="51"/>
  <c r="B18" i="51"/>
  <c r="T17" i="51"/>
  <c r="P17" i="51"/>
  <c r="H17" i="51"/>
  <c r="N17" i="51" s="1"/>
  <c r="D17" i="51"/>
  <c r="B17" i="51"/>
  <c r="T16" i="51"/>
  <c r="T12" i="51" s="1"/>
  <c r="P16" i="51"/>
  <c r="H16" i="51"/>
  <c r="D16" i="51"/>
  <c r="B16" i="51"/>
  <c r="T15" i="51"/>
  <c r="P15" i="51"/>
  <c r="X15" i="51" s="1"/>
  <c r="Z15" i="51" s="1"/>
  <c r="N15" i="51"/>
  <c r="L15" i="51"/>
  <c r="H15" i="51"/>
  <c r="D15" i="51"/>
  <c r="B15" i="51"/>
  <c r="T14" i="51"/>
  <c r="P14" i="51"/>
  <c r="H14" i="51"/>
  <c r="D14" i="51"/>
  <c r="L14" i="51" s="1"/>
  <c r="N14" i="51" s="1"/>
  <c r="B14" i="51"/>
  <c r="T13" i="51"/>
  <c r="P13" i="51"/>
  <c r="H13" i="51"/>
  <c r="D13" i="51"/>
  <c r="L13" i="51" s="1"/>
  <c r="B13" i="51"/>
  <c r="D4" i="51"/>
  <c r="Z69" i="48"/>
  <c r="X69" i="48"/>
  <c r="L69" i="48"/>
  <c r="N69" i="48" s="1"/>
  <c r="T65" i="48"/>
  <c r="T64" i="48" s="1"/>
  <c r="P65" i="48"/>
  <c r="X65" i="48" s="1"/>
  <c r="H65" i="48"/>
  <c r="D65" i="48"/>
  <c r="B65" i="48"/>
  <c r="Z62" i="48"/>
  <c r="X62" i="48"/>
  <c r="V62" i="48"/>
  <c r="N62" i="48"/>
  <c r="L62" i="48"/>
  <c r="B62" i="48"/>
  <c r="X61" i="48"/>
  <c r="Z61" i="48" s="1"/>
  <c r="T61" i="48"/>
  <c r="P61" i="48"/>
  <c r="H61" i="48"/>
  <c r="D61" i="48"/>
  <c r="L61" i="48" s="1"/>
  <c r="N61" i="48" s="1"/>
  <c r="B61" i="48"/>
  <c r="Z60" i="48"/>
  <c r="X60" i="48"/>
  <c r="N60" i="48"/>
  <c r="L60" i="48"/>
  <c r="B60" i="48"/>
  <c r="X59" i="48"/>
  <c r="Z59" i="48" s="1"/>
  <c r="N59" i="48"/>
  <c r="L59" i="48"/>
  <c r="B59" i="48"/>
  <c r="Z58" i="48"/>
  <c r="X58" i="48"/>
  <c r="N58" i="48"/>
  <c r="L58" i="48"/>
  <c r="B58" i="48"/>
  <c r="X57" i="48"/>
  <c r="T57" i="48"/>
  <c r="Z57" i="48" s="1"/>
  <c r="P57" i="48"/>
  <c r="H57" i="48"/>
  <c r="D57" i="48"/>
  <c r="B57" i="48"/>
  <c r="Z56" i="48"/>
  <c r="X56" i="48"/>
  <c r="L56" i="48"/>
  <c r="N56" i="48" s="1"/>
  <c r="B56" i="48"/>
  <c r="T55" i="48"/>
  <c r="X55" i="48" s="1"/>
  <c r="P55" i="48"/>
  <c r="H55" i="48"/>
  <c r="N55" i="48" s="1"/>
  <c r="D55" i="48"/>
  <c r="L55" i="48" s="1"/>
  <c r="B55" i="48"/>
  <c r="Z54" i="48"/>
  <c r="X54" i="48"/>
  <c r="V54" i="48"/>
  <c r="N54" i="48"/>
  <c r="L54" i="48"/>
  <c r="B54" i="48"/>
  <c r="Z53" i="48"/>
  <c r="X53" i="48"/>
  <c r="N53" i="48"/>
  <c r="L53" i="48"/>
  <c r="B53" i="48"/>
  <c r="X52" i="48"/>
  <c r="Z52" i="48" s="1"/>
  <c r="N52" i="48"/>
  <c r="L52" i="48"/>
  <c r="B52" i="48"/>
  <c r="T51" i="48"/>
  <c r="P51" i="48"/>
  <c r="X51" i="48" s="1"/>
  <c r="N51" i="48"/>
  <c r="L51" i="48"/>
  <c r="H51" i="48"/>
  <c r="D51" i="48"/>
  <c r="B51" i="48"/>
  <c r="Z50" i="48"/>
  <c r="X50" i="48"/>
  <c r="N50" i="48"/>
  <c r="L50" i="48"/>
  <c r="B50" i="48"/>
  <c r="X49" i="48"/>
  <c r="T49" i="48"/>
  <c r="Z49" i="48" s="1"/>
  <c r="P49" i="48"/>
  <c r="H49" i="48"/>
  <c r="D49" i="48"/>
  <c r="B49" i="48"/>
  <c r="Z48" i="48"/>
  <c r="X48" i="48"/>
  <c r="L48" i="48"/>
  <c r="N48" i="48" s="1"/>
  <c r="B48" i="48"/>
  <c r="T47" i="48"/>
  <c r="X47" i="48" s="1"/>
  <c r="P47" i="48"/>
  <c r="H47" i="48"/>
  <c r="D47" i="48"/>
  <c r="L47" i="48" s="1"/>
  <c r="B47" i="48"/>
  <c r="Z46" i="48"/>
  <c r="X46" i="48"/>
  <c r="V46" i="48"/>
  <c r="N46" i="48"/>
  <c r="L46" i="48"/>
  <c r="B46" i="48"/>
  <c r="X45" i="48"/>
  <c r="T45" i="48"/>
  <c r="P45" i="48"/>
  <c r="H45" i="48"/>
  <c r="D45" i="48"/>
  <c r="L45" i="48" s="1"/>
  <c r="B45" i="48"/>
  <c r="Z44" i="48"/>
  <c r="X44" i="48"/>
  <c r="N44" i="48"/>
  <c r="L44" i="48"/>
  <c r="B44" i="48"/>
  <c r="Z43" i="48"/>
  <c r="X43" i="48"/>
  <c r="N43" i="48"/>
  <c r="L43" i="48"/>
  <c r="B43" i="48"/>
  <c r="T42" i="48"/>
  <c r="Z42" i="48" s="1"/>
  <c r="P42" i="48"/>
  <c r="X42" i="48" s="1"/>
  <c r="N42" i="48"/>
  <c r="L42" i="48"/>
  <c r="H42" i="48"/>
  <c r="D42" i="48"/>
  <c r="B42" i="48"/>
  <c r="X41" i="48"/>
  <c r="Z41" i="48" s="1"/>
  <c r="N41" i="48"/>
  <c r="L41" i="48"/>
  <c r="B41" i="48"/>
  <c r="T40" i="48"/>
  <c r="P40" i="48"/>
  <c r="X40" i="48" s="1"/>
  <c r="Z40" i="48" s="1"/>
  <c r="N40" i="48"/>
  <c r="J40" i="48"/>
  <c r="H40" i="48"/>
  <c r="D40" i="48"/>
  <c r="L40" i="48" s="1"/>
  <c r="B40" i="48"/>
  <c r="Z39" i="48"/>
  <c r="X39" i="48"/>
  <c r="L39" i="48"/>
  <c r="N39" i="48" s="1"/>
  <c r="B39" i="48"/>
  <c r="V38" i="48"/>
  <c r="T38" i="48"/>
  <c r="P38" i="48"/>
  <c r="L38" i="48"/>
  <c r="N38" i="48" s="1"/>
  <c r="H38" i="48"/>
  <c r="D38" i="48"/>
  <c r="B38" i="48"/>
  <c r="X37" i="48"/>
  <c r="Z37" i="48" s="1"/>
  <c r="N37" i="48"/>
  <c r="L37" i="48"/>
  <c r="B37" i="48"/>
  <c r="Z36" i="48"/>
  <c r="X36" i="48"/>
  <c r="T36" i="48"/>
  <c r="P36" i="48"/>
  <c r="H36" i="48"/>
  <c r="N36" i="48" s="1"/>
  <c r="D36" i="48"/>
  <c r="L36" i="48" s="1"/>
  <c r="B36" i="48"/>
  <c r="Z35" i="48"/>
  <c r="X35" i="48"/>
  <c r="N35" i="48"/>
  <c r="L35" i="48"/>
  <c r="B35" i="48"/>
  <c r="Z34" i="48"/>
  <c r="X34" i="48"/>
  <c r="V34" i="48"/>
  <c r="N34" i="48"/>
  <c r="L34" i="48"/>
  <c r="B34" i="48"/>
  <c r="X33" i="48"/>
  <c r="Z33" i="48" s="1"/>
  <c r="L33" i="48"/>
  <c r="N33" i="48" s="1"/>
  <c r="B33" i="48"/>
  <c r="Z32" i="48"/>
  <c r="X32" i="48"/>
  <c r="L32" i="48"/>
  <c r="N32" i="48" s="1"/>
  <c r="B32" i="48"/>
  <c r="Z31" i="48"/>
  <c r="X31" i="48"/>
  <c r="N31" i="48"/>
  <c r="L31" i="48"/>
  <c r="B31" i="48"/>
  <c r="V30" i="48"/>
  <c r="T30" i="48"/>
  <c r="P30" i="48"/>
  <c r="X30" i="48" s="1"/>
  <c r="Z30" i="48" s="1"/>
  <c r="H30" i="48"/>
  <c r="D30" i="48"/>
  <c r="L30" i="48" s="1"/>
  <c r="N30" i="48" s="1"/>
  <c r="B30" i="48"/>
  <c r="X29" i="48"/>
  <c r="Z29" i="48" s="1"/>
  <c r="L29" i="48"/>
  <c r="N29" i="48" s="1"/>
  <c r="B29" i="48"/>
  <c r="X28" i="48"/>
  <c r="Z28" i="48" s="1"/>
  <c r="V28" i="48"/>
  <c r="N28" i="48"/>
  <c r="L28" i="48"/>
  <c r="B28" i="48"/>
  <c r="Z27" i="48"/>
  <c r="X27" i="48"/>
  <c r="L27" i="48"/>
  <c r="N27" i="48" s="1"/>
  <c r="B27" i="48"/>
  <c r="Z26" i="48"/>
  <c r="X26" i="48"/>
  <c r="V26" i="48"/>
  <c r="N26" i="48"/>
  <c r="L26" i="48"/>
  <c r="B26" i="48"/>
  <c r="X25" i="48"/>
  <c r="Z25" i="48" s="1"/>
  <c r="L25" i="48"/>
  <c r="N25" i="48" s="1"/>
  <c r="B25" i="48"/>
  <c r="X24" i="48"/>
  <c r="Z24" i="48" s="1"/>
  <c r="V24" i="48"/>
  <c r="N24" i="48"/>
  <c r="L24" i="48"/>
  <c r="B24" i="48"/>
  <c r="Z23" i="48"/>
  <c r="X23" i="48"/>
  <c r="L23" i="48"/>
  <c r="N23" i="48" s="1"/>
  <c r="B23" i="48"/>
  <c r="X22" i="48"/>
  <c r="Z22" i="48" s="1"/>
  <c r="V22" i="48"/>
  <c r="N22" i="48"/>
  <c r="L22" i="48"/>
  <c r="B22" i="48"/>
  <c r="X21" i="48"/>
  <c r="Z21" i="48" s="1"/>
  <c r="L21" i="48"/>
  <c r="N21" i="48" s="1"/>
  <c r="B21" i="48"/>
  <c r="X20" i="48"/>
  <c r="V20" i="48"/>
  <c r="T20" i="48"/>
  <c r="Z20" i="48" s="1"/>
  <c r="P20" i="48"/>
  <c r="L20" i="48"/>
  <c r="H20" i="48"/>
  <c r="N20" i="48" s="1"/>
  <c r="D20" i="48"/>
  <c r="B20" i="48"/>
  <c r="T19" i="48"/>
  <c r="P19" i="48"/>
  <c r="H19" i="48"/>
  <c r="D19" i="48"/>
  <c r="T15" i="48"/>
  <c r="P15" i="48"/>
  <c r="L15" i="48"/>
  <c r="H15" i="48"/>
  <c r="N15" i="48" s="1"/>
  <c r="D15" i="48"/>
  <c r="T13" i="48"/>
  <c r="P13" i="48"/>
  <c r="H13" i="48"/>
  <c r="D13" i="48"/>
  <c r="L13" i="48" s="1"/>
  <c r="N13" i="48" s="1"/>
  <c r="B13" i="48"/>
  <c r="T12" i="48"/>
  <c r="V60" i="48" s="1"/>
  <c r="H12" i="48"/>
  <c r="J50" i="48" s="1"/>
  <c r="D4" i="48"/>
  <c r="X96" i="45"/>
  <c r="Z96" i="45" s="1"/>
  <c r="L96" i="45"/>
  <c r="N96" i="45" s="1"/>
  <c r="T92" i="45"/>
  <c r="P92" i="45"/>
  <c r="H92" i="45"/>
  <c r="N92" i="45" s="1"/>
  <c r="D92" i="45"/>
  <c r="L92" i="45" s="1"/>
  <c r="X90" i="45"/>
  <c r="Z90" i="45" s="1"/>
  <c r="R90" i="45"/>
  <c r="L90" i="45"/>
  <c r="N90" i="45" s="1"/>
  <c r="B90" i="45"/>
  <c r="V89" i="45"/>
  <c r="T89" i="45"/>
  <c r="P89" i="45"/>
  <c r="X89" i="45" s="1"/>
  <c r="Z89" i="45" s="1"/>
  <c r="H89" i="45"/>
  <c r="D89" i="45"/>
  <c r="L89" i="45" s="1"/>
  <c r="N89" i="45" s="1"/>
  <c r="B89" i="45"/>
  <c r="X88" i="45"/>
  <c r="Z88" i="45" s="1"/>
  <c r="L88" i="45"/>
  <c r="N88" i="45" s="1"/>
  <c r="B88" i="45"/>
  <c r="X87" i="45"/>
  <c r="Z87" i="45" s="1"/>
  <c r="T87" i="45"/>
  <c r="R87" i="45"/>
  <c r="P87" i="45"/>
  <c r="H87" i="45"/>
  <c r="D87" i="45"/>
  <c r="L87" i="45" s="1"/>
  <c r="N87" i="45" s="1"/>
  <c r="B87" i="45"/>
  <c r="X86" i="45"/>
  <c r="Z86" i="45" s="1"/>
  <c r="R86" i="45"/>
  <c r="L86" i="45"/>
  <c r="N86" i="45" s="1"/>
  <c r="B86" i="45"/>
  <c r="T85" i="45"/>
  <c r="P85" i="45"/>
  <c r="N85" i="45"/>
  <c r="L85" i="45"/>
  <c r="H85" i="45"/>
  <c r="D85" i="45"/>
  <c r="B85" i="45"/>
  <c r="X84" i="45"/>
  <c r="Z84" i="45" s="1"/>
  <c r="L84" i="45"/>
  <c r="N84" i="45" s="1"/>
  <c r="B84" i="45"/>
  <c r="Z83" i="45"/>
  <c r="X83" i="45"/>
  <c r="N83" i="45"/>
  <c r="L83" i="45"/>
  <c r="B83" i="45"/>
  <c r="X82" i="45"/>
  <c r="Z82" i="45" s="1"/>
  <c r="R82" i="45"/>
  <c r="N82" i="45"/>
  <c r="L82" i="45"/>
  <c r="B82" i="45"/>
  <c r="Z81" i="45"/>
  <c r="X81" i="45"/>
  <c r="N81" i="45"/>
  <c r="L81" i="45"/>
  <c r="B81" i="45"/>
  <c r="X80" i="45"/>
  <c r="Z80" i="45" s="1"/>
  <c r="L80" i="45"/>
  <c r="N80" i="45" s="1"/>
  <c r="B80" i="45"/>
  <c r="Z79" i="45"/>
  <c r="X79" i="45"/>
  <c r="L79" i="45"/>
  <c r="N79" i="45" s="1"/>
  <c r="B79" i="45"/>
  <c r="X78" i="45"/>
  <c r="Z78" i="45" s="1"/>
  <c r="R78" i="45"/>
  <c r="L78" i="45"/>
  <c r="N78" i="45" s="1"/>
  <c r="B78" i="45"/>
  <c r="Z77" i="45"/>
  <c r="X77" i="45"/>
  <c r="N77" i="45"/>
  <c r="L77" i="45"/>
  <c r="B77" i="45"/>
  <c r="X76" i="45"/>
  <c r="Z76" i="45" s="1"/>
  <c r="N76" i="45"/>
  <c r="L76" i="45"/>
  <c r="B76" i="45"/>
  <c r="Z75" i="45"/>
  <c r="T75" i="45"/>
  <c r="P75" i="45"/>
  <c r="X75" i="45" s="1"/>
  <c r="H75" i="45"/>
  <c r="D75" i="45"/>
  <c r="L75" i="45" s="1"/>
  <c r="N75" i="45" s="1"/>
  <c r="B75" i="45"/>
  <c r="Z74" i="45"/>
  <c r="X74" i="45"/>
  <c r="N74" i="45"/>
  <c r="L74" i="45"/>
  <c r="B74" i="45"/>
  <c r="Z73" i="45"/>
  <c r="X73" i="45"/>
  <c r="T73" i="45"/>
  <c r="P73" i="45"/>
  <c r="N73" i="45"/>
  <c r="L73" i="45"/>
  <c r="H73" i="45"/>
  <c r="D73" i="45"/>
  <c r="B73" i="45"/>
  <c r="X72" i="45"/>
  <c r="Z72" i="45" s="1"/>
  <c r="L72" i="45"/>
  <c r="N72" i="45" s="1"/>
  <c r="B72" i="45"/>
  <c r="Z71" i="45"/>
  <c r="X71" i="45"/>
  <c r="N71" i="45"/>
  <c r="L71" i="45"/>
  <c r="B71" i="45"/>
  <c r="Z70" i="45"/>
  <c r="X70" i="45"/>
  <c r="R70" i="45"/>
  <c r="N70" i="45"/>
  <c r="L70" i="45"/>
  <c r="B70" i="45"/>
  <c r="Z69" i="45"/>
  <c r="X69" i="45"/>
  <c r="N69" i="45"/>
  <c r="L69" i="45"/>
  <c r="B69" i="45"/>
  <c r="X68" i="45"/>
  <c r="T68" i="45"/>
  <c r="Z68" i="45" s="1"/>
  <c r="P68" i="45"/>
  <c r="H68" i="45"/>
  <c r="D68" i="45"/>
  <c r="B68" i="45"/>
  <c r="Z67" i="45"/>
  <c r="X67" i="45"/>
  <c r="N67" i="45"/>
  <c r="L67" i="45"/>
  <c r="B67" i="45"/>
  <c r="X66" i="45"/>
  <c r="Z66" i="45" s="1"/>
  <c r="R66" i="45"/>
  <c r="N66" i="45"/>
  <c r="L66" i="45"/>
  <c r="B66" i="45"/>
  <c r="Z65" i="45"/>
  <c r="X65" i="45"/>
  <c r="N65" i="45"/>
  <c r="L65" i="45"/>
  <c r="B65" i="45"/>
  <c r="T64" i="45"/>
  <c r="Z64" i="45" s="1"/>
  <c r="P64" i="45"/>
  <c r="X64" i="45" s="1"/>
  <c r="H64" i="45"/>
  <c r="N64" i="45" s="1"/>
  <c r="D64" i="45"/>
  <c r="L64" i="45" s="1"/>
  <c r="B64" i="45"/>
  <c r="X63" i="45"/>
  <c r="Z63" i="45" s="1"/>
  <c r="N63" i="45"/>
  <c r="L63" i="45"/>
  <c r="B63" i="45"/>
  <c r="T62" i="45"/>
  <c r="Z62" i="45" s="1"/>
  <c r="P62" i="45"/>
  <c r="X62" i="45" s="1"/>
  <c r="L62" i="45"/>
  <c r="H62" i="45"/>
  <c r="D62" i="45"/>
  <c r="B62" i="45"/>
  <c r="Z61" i="45"/>
  <c r="X61" i="45"/>
  <c r="N61" i="45"/>
  <c r="L61" i="45"/>
  <c r="B61" i="45"/>
  <c r="X60" i="45"/>
  <c r="T60" i="45"/>
  <c r="P60" i="45"/>
  <c r="H60" i="45"/>
  <c r="D60" i="45"/>
  <c r="B60" i="45"/>
  <c r="Z59" i="45"/>
  <c r="X59" i="45"/>
  <c r="L59" i="45"/>
  <c r="N59" i="45" s="1"/>
  <c r="B59" i="45"/>
  <c r="T58" i="45"/>
  <c r="P58" i="45"/>
  <c r="X58" i="45" s="1"/>
  <c r="H58" i="45"/>
  <c r="N58" i="45" s="1"/>
  <c r="D58" i="45"/>
  <c r="L58" i="45" s="1"/>
  <c r="B58" i="45"/>
  <c r="Z57" i="45"/>
  <c r="X57" i="45"/>
  <c r="N57" i="45"/>
  <c r="L57" i="45"/>
  <c r="B57" i="45"/>
  <c r="T56" i="45"/>
  <c r="P56" i="45"/>
  <c r="X56" i="45" s="1"/>
  <c r="H56" i="45"/>
  <c r="N56" i="45" s="1"/>
  <c r="D56" i="45"/>
  <c r="L56" i="45" s="1"/>
  <c r="B56" i="45"/>
  <c r="Z55" i="45"/>
  <c r="X55" i="45"/>
  <c r="N55" i="45"/>
  <c r="L55" i="45"/>
  <c r="B55" i="45"/>
  <c r="T54" i="45"/>
  <c r="P54" i="45"/>
  <c r="L54" i="45"/>
  <c r="H54" i="45"/>
  <c r="N54" i="45" s="1"/>
  <c r="D54" i="45"/>
  <c r="B54" i="45"/>
  <c r="Z53" i="45"/>
  <c r="X53" i="45"/>
  <c r="N53" i="45"/>
  <c r="L53" i="45"/>
  <c r="B53" i="45"/>
  <c r="T52" i="45"/>
  <c r="P52" i="45"/>
  <c r="X52" i="45" s="1"/>
  <c r="H52" i="45"/>
  <c r="D52" i="45"/>
  <c r="L52" i="45" s="1"/>
  <c r="B52" i="45"/>
  <c r="Z51" i="45"/>
  <c r="X51" i="45"/>
  <c r="N51" i="45"/>
  <c r="L51" i="45"/>
  <c r="B51" i="45"/>
  <c r="T50" i="45"/>
  <c r="Z50" i="45" s="1"/>
  <c r="P50" i="45"/>
  <c r="X50" i="45" s="1"/>
  <c r="H50" i="45"/>
  <c r="N50" i="45" s="1"/>
  <c r="D50" i="45"/>
  <c r="L50" i="45" s="1"/>
  <c r="B50" i="45"/>
  <c r="Z49" i="45"/>
  <c r="X49" i="45"/>
  <c r="N49" i="45"/>
  <c r="L49" i="45"/>
  <c r="B49" i="45"/>
  <c r="X48" i="45"/>
  <c r="T48" i="45"/>
  <c r="P48" i="45"/>
  <c r="H48" i="45"/>
  <c r="D48" i="45"/>
  <c r="B48" i="45"/>
  <c r="Z47" i="45"/>
  <c r="X47" i="45"/>
  <c r="L47" i="45"/>
  <c r="N47" i="45" s="1"/>
  <c r="B47" i="45"/>
  <c r="T46" i="45"/>
  <c r="P46" i="45"/>
  <c r="X46" i="45" s="1"/>
  <c r="H46" i="45"/>
  <c r="N46" i="45" s="1"/>
  <c r="D46" i="45"/>
  <c r="L46" i="45" s="1"/>
  <c r="B46" i="45"/>
  <c r="Z45" i="45"/>
  <c r="X45" i="45"/>
  <c r="V45" i="45"/>
  <c r="N45" i="45"/>
  <c r="L45" i="45"/>
  <c r="B45" i="45"/>
  <c r="T44" i="45"/>
  <c r="P44" i="45"/>
  <c r="X44" i="45" s="1"/>
  <c r="H44" i="45"/>
  <c r="N44" i="45" s="1"/>
  <c r="D44" i="45"/>
  <c r="L44" i="45" s="1"/>
  <c r="B44" i="45"/>
  <c r="Z43" i="45"/>
  <c r="X43" i="45"/>
  <c r="N43" i="45"/>
  <c r="L43" i="45"/>
  <c r="B43" i="45"/>
  <c r="X42" i="45"/>
  <c r="Z42" i="45" s="1"/>
  <c r="R42" i="45"/>
  <c r="L42" i="45"/>
  <c r="N42" i="45" s="1"/>
  <c r="B42" i="45"/>
  <c r="Z41" i="45"/>
  <c r="X41" i="45"/>
  <c r="N41" i="45"/>
  <c r="L41" i="45"/>
  <c r="B41" i="45"/>
  <c r="X40" i="45"/>
  <c r="Z40" i="45" s="1"/>
  <c r="L40" i="45"/>
  <c r="N40" i="45" s="1"/>
  <c r="B40" i="45"/>
  <c r="Z39" i="45"/>
  <c r="X39" i="45"/>
  <c r="N39" i="45"/>
  <c r="L39" i="45"/>
  <c r="B39" i="45"/>
  <c r="X38" i="45"/>
  <c r="Z38" i="45" s="1"/>
  <c r="R38" i="45"/>
  <c r="L38" i="45"/>
  <c r="N38" i="45" s="1"/>
  <c r="B38" i="45"/>
  <c r="Z37" i="45"/>
  <c r="X37" i="45"/>
  <c r="N37" i="45"/>
  <c r="L37" i="45"/>
  <c r="B37" i="45"/>
  <c r="X36" i="45"/>
  <c r="T36" i="45"/>
  <c r="Z36" i="45" s="1"/>
  <c r="P36" i="45"/>
  <c r="H36" i="45"/>
  <c r="D36" i="45"/>
  <c r="B36" i="45"/>
  <c r="Z35" i="45"/>
  <c r="X35" i="45"/>
  <c r="N35" i="45"/>
  <c r="L35" i="45"/>
  <c r="B35" i="45"/>
  <c r="X34" i="45"/>
  <c r="Z34" i="45" s="1"/>
  <c r="R34" i="45"/>
  <c r="L34" i="45"/>
  <c r="N34" i="45" s="1"/>
  <c r="B34" i="45"/>
  <c r="Z33" i="45"/>
  <c r="X33" i="45"/>
  <c r="V33" i="45"/>
  <c r="N33" i="45"/>
  <c r="L33" i="45"/>
  <c r="B33" i="45"/>
  <c r="X32" i="45"/>
  <c r="Z32" i="45" s="1"/>
  <c r="L32" i="45"/>
  <c r="N32" i="45" s="1"/>
  <c r="B32" i="45"/>
  <c r="Z31" i="45"/>
  <c r="X31" i="45"/>
  <c r="N31" i="45"/>
  <c r="L31" i="45"/>
  <c r="B31" i="45"/>
  <c r="X30" i="45"/>
  <c r="Z30" i="45" s="1"/>
  <c r="R30" i="45"/>
  <c r="L30" i="45"/>
  <c r="N30" i="45" s="1"/>
  <c r="B30" i="45"/>
  <c r="Z29" i="45"/>
  <c r="X29" i="45"/>
  <c r="N29" i="45"/>
  <c r="L29" i="45"/>
  <c r="B29" i="45"/>
  <c r="X28" i="45"/>
  <c r="Z28" i="45" s="1"/>
  <c r="L28" i="45"/>
  <c r="N28" i="45" s="1"/>
  <c r="B28" i="45"/>
  <c r="Z27" i="45"/>
  <c r="X27" i="45"/>
  <c r="N27" i="45"/>
  <c r="L27" i="45"/>
  <c r="B27" i="45"/>
  <c r="T26" i="45"/>
  <c r="P26" i="45"/>
  <c r="H26" i="45"/>
  <c r="N26" i="45" s="1"/>
  <c r="D26" i="45"/>
  <c r="L26" i="45" s="1"/>
  <c r="B26" i="45"/>
  <c r="T25" i="45"/>
  <c r="P25" i="45"/>
  <c r="X25" i="45" s="1"/>
  <c r="H25" i="45"/>
  <c r="D25" i="45"/>
  <c r="L25" i="45" s="1"/>
  <c r="N25" i="45" s="1"/>
  <c r="Z21" i="45"/>
  <c r="X21" i="45"/>
  <c r="L21" i="45"/>
  <c r="N21" i="45" s="1"/>
  <c r="B21" i="45"/>
  <c r="X20" i="45"/>
  <c r="Z20" i="45" s="1"/>
  <c r="L20" i="45"/>
  <c r="N20" i="45" s="1"/>
  <c r="B20" i="45"/>
  <c r="T19" i="45"/>
  <c r="R19" i="45"/>
  <c r="P19" i="45"/>
  <c r="X19" i="45" s="1"/>
  <c r="Z19" i="45" s="1"/>
  <c r="H19" i="45"/>
  <c r="D19" i="45"/>
  <c r="L19" i="45" s="1"/>
  <c r="T17" i="45"/>
  <c r="P17" i="45"/>
  <c r="X17" i="45" s="1"/>
  <c r="N17" i="45"/>
  <c r="L17" i="45"/>
  <c r="H17" i="45"/>
  <c r="D17" i="45"/>
  <c r="B17" i="45"/>
  <c r="T16" i="45"/>
  <c r="P16" i="45"/>
  <c r="X16" i="45" s="1"/>
  <c r="Z16" i="45" s="1"/>
  <c r="H16" i="45"/>
  <c r="D16" i="45"/>
  <c r="L16" i="45" s="1"/>
  <c r="B16" i="45"/>
  <c r="T15" i="45"/>
  <c r="P15" i="45"/>
  <c r="X15" i="45" s="1"/>
  <c r="H15" i="45"/>
  <c r="D15" i="45"/>
  <c r="B15" i="45"/>
  <c r="X14" i="45"/>
  <c r="T14" i="45"/>
  <c r="P14" i="45"/>
  <c r="L14" i="45"/>
  <c r="H14" i="45"/>
  <c r="N14" i="45" s="1"/>
  <c r="D14" i="45"/>
  <c r="B14" i="45"/>
  <c r="T13" i="45"/>
  <c r="T12" i="45" s="1"/>
  <c r="P13" i="45"/>
  <c r="X13" i="45" s="1"/>
  <c r="N13" i="45"/>
  <c r="L13" i="45"/>
  <c r="H13" i="45"/>
  <c r="D13" i="45"/>
  <c r="B13" i="45"/>
  <c r="P12" i="45"/>
  <c r="R89" i="45" s="1"/>
  <c r="D4" i="45"/>
  <c r="Z124" i="42"/>
  <c r="X124" i="42"/>
  <c r="N124" i="42"/>
  <c r="L124" i="42"/>
  <c r="J124" i="42"/>
  <c r="X120" i="42"/>
  <c r="Z120" i="42" s="1"/>
  <c r="T120" i="42"/>
  <c r="P120" i="42"/>
  <c r="L120" i="42"/>
  <c r="J120" i="42"/>
  <c r="H120" i="42"/>
  <c r="N120" i="42" s="1"/>
  <c r="D120" i="42"/>
  <c r="B120" i="42"/>
  <c r="Z119" i="42"/>
  <c r="T119" i="42"/>
  <c r="P119" i="42"/>
  <c r="X119" i="42" s="1"/>
  <c r="H119" i="42"/>
  <c r="D119" i="42"/>
  <c r="B119" i="42"/>
  <c r="T118" i="42"/>
  <c r="P118" i="42"/>
  <c r="H118" i="42"/>
  <c r="N118" i="42" s="1"/>
  <c r="D118" i="42"/>
  <c r="L118" i="42" s="1"/>
  <c r="B118" i="42"/>
  <c r="P117" i="42"/>
  <c r="Z115" i="42"/>
  <c r="X115" i="42"/>
  <c r="N115" i="42"/>
  <c r="L115" i="42"/>
  <c r="B115" i="42"/>
  <c r="T114" i="42"/>
  <c r="P114" i="42"/>
  <c r="X114" i="42" s="1"/>
  <c r="Z114" i="42" s="1"/>
  <c r="H114" i="42"/>
  <c r="D114" i="42"/>
  <c r="L114" i="42" s="1"/>
  <c r="N114" i="42" s="1"/>
  <c r="B114" i="42"/>
  <c r="X113" i="42"/>
  <c r="Z113" i="42" s="1"/>
  <c r="L113" i="42"/>
  <c r="N113" i="42" s="1"/>
  <c r="B113" i="42"/>
  <c r="X112" i="42"/>
  <c r="Z112" i="42" s="1"/>
  <c r="N112" i="42"/>
  <c r="L112" i="42"/>
  <c r="B112" i="42"/>
  <c r="Z111" i="42"/>
  <c r="X111" i="42"/>
  <c r="L111" i="42"/>
  <c r="N111" i="42" s="1"/>
  <c r="B111" i="42"/>
  <c r="X110" i="42"/>
  <c r="T110" i="42"/>
  <c r="Z110" i="42" s="1"/>
  <c r="P110" i="42"/>
  <c r="L110" i="42"/>
  <c r="H110" i="42"/>
  <c r="N110" i="42" s="1"/>
  <c r="D110" i="42"/>
  <c r="B110" i="42"/>
  <c r="X109" i="42"/>
  <c r="Z109" i="42" s="1"/>
  <c r="N109" i="42"/>
  <c r="L109" i="42"/>
  <c r="B109" i="42"/>
  <c r="T108" i="42"/>
  <c r="P108" i="42"/>
  <c r="X108" i="42" s="1"/>
  <c r="Z108" i="42" s="1"/>
  <c r="H108" i="42"/>
  <c r="N108" i="42" s="1"/>
  <c r="D108" i="42"/>
  <c r="L108" i="42" s="1"/>
  <c r="B108" i="42"/>
  <c r="Z107" i="42"/>
  <c r="X107" i="42"/>
  <c r="N107" i="42"/>
  <c r="L107" i="42"/>
  <c r="B107" i="42"/>
  <c r="Z106" i="42"/>
  <c r="X106" i="42"/>
  <c r="T106" i="42"/>
  <c r="P106" i="42"/>
  <c r="H106" i="42"/>
  <c r="D106" i="42"/>
  <c r="L106" i="42" s="1"/>
  <c r="N106" i="42" s="1"/>
  <c r="B106" i="42"/>
  <c r="X105" i="42"/>
  <c r="Z105" i="42" s="1"/>
  <c r="L105" i="42"/>
  <c r="N105" i="42" s="1"/>
  <c r="B105" i="42"/>
  <c r="X104" i="42"/>
  <c r="Z104" i="42" s="1"/>
  <c r="N104" i="42"/>
  <c r="L104" i="42"/>
  <c r="B104" i="42"/>
  <c r="Z103" i="42"/>
  <c r="X103" i="42"/>
  <c r="L103" i="42"/>
  <c r="N103" i="42" s="1"/>
  <c r="B103" i="42"/>
  <c r="X102" i="42"/>
  <c r="Z102" i="42" s="1"/>
  <c r="L102" i="42"/>
  <c r="N102" i="42" s="1"/>
  <c r="B102" i="42"/>
  <c r="X101" i="42"/>
  <c r="Z101" i="42" s="1"/>
  <c r="L101" i="42"/>
  <c r="N101" i="42" s="1"/>
  <c r="B101" i="42"/>
  <c r="X100" i="42"/>
  <c r="Z100" i="42" s="1"/>
  <c r="N100" i="42"/>
  <c r="L100" i="42"/>
  <c r="B100" i="42"/>
  <c r="Z99" i="42"/>
  <c r="X99" i="42"/>
  <c r="L99" i="42"/>
  <c r="N99" i="42" s="1"/>
  <c r="B99" i="42"/>
  <c r="Z98" i="42"/>
  <c r="X98" i="42"/>
  <c r="N98" i="42"/>
  <c r="L98" i="42"/>
  <c r="B98" i="42"/>
  <c r="X97" i="42"/>
  <c r="Z97" i="42" s="1"/>
  <c r="L97" i="42"/>
  <c r="N97" i="42" s="1"/>
  <c r="B97" i="42"/>
  <c r="X96" i="42"/>
  <c r="T96" i="42"/>
  <c r="Z96" i="42" s="1"/>
  <c r="P96" i="42"/>
  <c r="J96" i="42"/>
  <c r="H96" i="42"/>
  <c r="N96" i="42" s="1"/>
  <c r="D96" i="42"/>
  <c r="L96" i="42" s="1"/>
  <c r="B96" i="42"/>
  <c r="X95" i="42"/>
  <c r="Z95" i="42" s="1"/>
  <c r="N95" i="42"/>
  <c r="L95" i="42"/>
  <c r="B95" i="42"/>
  <c r="X94" i="42"/>
  <c r="Z94" i="42" s="1"/>
  <c r="N94" i="42"/>
  <c r="L94" i="42"/>
  <c r="J94" i="42"/>
  <c r="B94" i="42"/>
  <c r="X93" i="42"/>
  <c r="Z93" i="42" s="1"/>
  <c r="T93" i="42"/>
  <c r="P93" i="42"/>
  <c r="H93" i="42"/>
  <c r="D93" i="42"/>
  <c r="B93" i="42"/>
  <c r="Z92" i="42"/>
  <c r="X92" i="42"/>
  <c r="L92" i="42"/>
  <c r="N92" i="42" s="1"/>
  <c r="B92" i="42"/>
  <c r="Z91" i="42"/>
  <c r="X91" i="42"/>
  <c r="N91" i="42"/>
  <c r="L91" i="42"/>
  <c r="B91" i="42"/>
  <c r="Z90" i="42"/>
  <c r="X90" i="42"/>
  <c r="L90" i="42"/>
  <c r="N90" i="42" s="1"/>
  <c r="J90" i="42"/>
  <c r="B90" i="42"/>
  <c r="Z89" i="42"/>
  <c r="X89" i="42"/>
  <c r="N89" i="42"/>
  <c r="L89" i="42"/>
  <c r="B89" i="42"/>
  <c r="Z88" i="42"/>
  <c r="X88" i="42"/>
  <c r="L88" i="42"/>
  <c r="N88" i="42" s="1"/>
  <c r="B88" i="42"/>
  <c r="T87" i="42"/>
  <c r="P87" i="42"/>
  <c r="X87" i="42" s="1"/>
  <c r="H87" i="42"/>
  <c r="N87" i="42" s="1"/>
  <c r="D87" i="42"/>
  <c r="L87" i="42" s="1"/>
  <c r="B87" i="42"/>
  <c r="X86" i="42"/>
  <c r="Z86" i="42" s="1"/>
  <c r="L86" i="42"/>
  <c r="N86" i="42" s="1"/>
  <c r="B86" i="42"/>
  <c r="X85" i="42"/>
  <c r="Z85" i="42" s="1"/>
  <c r="L85" i="42"/>
  <c r="N85" i="42" s="1"/>
  <c r="B85" i="42"/>
  <c r="X84" i="42"/>
  <c r="T84" i="42"/>
  <c r="Z84" i="42" s="1"/>
  <c r="P84" i="42"/>
  <c r="J84" i="42"/>
  <c r="H84" i="42"/>
  <c r="N84" i="42" s="1"/>
  <c r="D84" i="42"/>
  <c r="L84" i="42" s="1"/>
  <c r="B84" i="42"/>
  <c r="X83" i="42"/>
  <c r="Z83" i="42" s="1"/>
  <c r="N83" i="42"/>
  <c r="L83" i="42"/>
  <c r="B83" i="42"/>
  <c r="X82" i="42"/>
  <c r="Z82" i="42" s="1"/>
  <c r="N82" i="42"/>
  <c r="L82" i="42"/>
  <c r="J82" i="42"/>
  <c r="B82" i="42"/>
  <c r="X81" i="42"/>
  <c r="Z81" i="42" s="1"/>
  <c r="N81" i="42"/>
  <c r="L81" i="42"/>
  <c r="B81" i="42"/>
  <c r="Z80" i="42"/>
  <c r="X80" i="42"/>
  <c r="N80" i="42"/>
  <c r="L80" i="42"/>
  <c r="B80" i="42"/>
  <c r="T79" i="42"/>
  <c r="P79" i="42"/>
  <c r="L79" i="42"/>
  <c r="N79" i="42" s="1"/>
  <c r="H79" i="42"/>
  <c r="D79" i="42"/>
  <c r="B79" i="42"/>
  <c r="Z78" i="42"/>
  <c r="X78" i="42"/>
  <c r="L78" i="42"/>
  <c r="N78" i="42" s="1"/>
  <c r="J78" i="42"/>
  <c r="B78" i="42"/>
  <c r="T77" i="42"/>
  <c r="Z77" i="42" s="1"/>
  <c r="P77" i="42"/>
  <c r="X77" i="42" s="1"/>
  <c r="H77" i="42"/>
  <c r="N77" i="42" s="1"/>
  <c r="D77" i="42"/>
  <c r="L77" i="42" s="1"/>
  <c r="B77" i="42"/>
  <c r="X76" i="42"/>
  <c r="Z76" i="42" s="1"/>
  <c r="N76" i="42"/>
  <c r="L76" i="42"/>
  <c r="B76" i="42"/>
  <c r="T75" i="42"/>
  <c r="P75" i="42"/>
  <c r="X75" i="42" s="1"/>
  <c r="Z75" i="42" s="1"/>
  <c r="N75" i="42"/>
  <c r="L75" i="42"/>
  <c r="H75" i="42"/>
  <c r="D75" i="42"/>
  <c r="B75" i="42"/>
  <c r="X74" i="42"/>
  <c r="Z74" i="42" s="1"/>
  <c r="N74" i="42"/>
  <c r="L74" i="42"/>
  <c r="J74" i="42"/>
  <c r="B74" i="42"/>
  <c r="X73" i="42"/>
  <c r="Z73" i="42" s="1"/>
  <c r="T73" i="42"/>
  <c r="P73" i="42"/>
  <c r="H73" i="42"/>
  <c r="D73" i="42"/>
  <c r="B73" i="42"/>
  <c r="Z72" i="42"/>
  <c r="X72" i="42"/>
  <c r="L72" i="42"/>
  <c r="N72" i="42" s="1"/>
  <c r="B72" i="42"/>
  <c r="T71" i="42"/>
  <c r="X71" i="42" s="1"/>
  <c r="P71" i="42"/>
  <c r="H71" i="42"/>
  <c r="N71" i="42" s="1"/>
  <c r="D71" i="42"/>
  <c r="L71" i="42" s="1"/>
  <c r="B71" i="42"/>
  <c r="X70" i="42"/>
  <c r="Z70" i="42" s="1"/>
  <c r="L70" i="42"/>
  <c r="N70" i="42" s="1"/>
  <c r="B70" i="42"/>
  <c r="X69" i="42"/>
  <c r="Z69" i="42" s="1"/>
  <c r="N69" i="42"/>
  <c r="L69" i="42"/>
  <c r="B69" i="42"/>
  <c r="X68" i="42"/>
  <c r="T68" i="42"/>
  <c r="Z68" i="42" s="1"/>
  <c r="P68" i="42"/>
  <c r="J68" i="42"/>
  <c r="H68" i="42"/>
  <c r="N68" i="42" s="1"/>
  <c r="D68" i="42"/>
  <c r="L68" i="42" s="1"/>
  <c r="B68" i="42"/>
  <c r="Z67" i="42"/>
  <c r="X67" i="42"/>
  <c r="N67" i="42"/>
  <c r="L67" i="42"/>
  <c r="B67" i="42"/>
  <c r="T66" i="42"/>
  <c r="Z66" i="42" s="1"/>
  <c r="P66" i="42"/>
  <c r="N66" i="42"/>
  <c r="H66" i="42"/>
  <c r="D66" i="42"/>
  <c r="L66" i="42" s="1"/>
  <c r="B66" i="42"/>
  <c r="Z65" i="42"/>
  <c r="X65" i="42"/>
  <c r="L65" i="42"/>
  <c r="N65" i="42" s="1"/>
  <c r="B65" i="42"/>
  <c r="T64" i="42"/>
  <c r="P64" i="42"/>
  <c r="X64" i="42" s="1"/>
  <c r="Z64" i="42" s="1"/>
  <c r="J64" i="42"/>
  <c r="H64" i="42"/>
  <c r="D64" i="42"/>
  <c r="L64" i="42" s="1"/>
  <c r="N64" i="42" s="1"/>
  <c r="B64" i="42"/>
  <c r="Z63" i="42"/>
  <c r="X63" i="42"/>
  <c r="L63" i="42"/>
  <c r="N63" i="42" s="1"/>
  <c r="B63" i="42"/>
  <c r="X62" i="42"/>
  <c r="T62" i="42"/>
  <c r="Z62" i="42" s="1"/>
  <c r="P62" i="42"/>
  <c r="L62" i="42"/>
  <c r="H62" i="42"/>
  <c r="N62" i="42" s="1"/>
  <c r="D62" i="42"/>
  <c r="B62" i="42"/>
  <c r="X61" i="42"/>
  <c r="Z61" i="42" s="1"/>
  <c r="N61" i="42"/>
  <c r="L61" i="42"/>
  <c r="B61" i="42"/>
  <c r="Z60" i="42"/>
  <c r="T60" i="42"/>
  <c r="P60" i="42"/>
  <c r="X60" i="42" s="1"/>
  <c r="H60" i="42"/>
  <c r="N60" i="42" s="1"/>
  <c r="D60" i="42"/>
  <c r="B60" i="42"/>
  <c r="Z59" i="42"/>
  <c r="X59" i="42"/>
  <c r="N59" i="42"/>
  <c r="L59" i="42"/>
  <c r="B59" i="42"/>
  <c r="T58" i="42"/>
  <c r="P58" i="42"/>
  <c r="X58" i="42" s="1"/>
  <c r="Z58" i="42" s="1"/>
  <c r="H58" i="42"/>
  <c r="D58" i="42"/>
  <c r="L58" i="42" s="1"/>
  <c r="N58" i="42" s="1"/>
  <c r="B58" i="42"/>
  <c r="X57" i="42"/>
  <c r="Z57" i="42" s="1"/>
  <c r="L57" i="42"/>
  <c r="N57" i="42" s="1"/>
  <c r="B57" i="42"/>
  <c r="X56" i="42"/>
  <c r="Z56" i="42" s="1"/>
  <c r="N56" i="42"/>
  <c r="L56" i="42"/>
  <c r="B56" i="42"/>
  <c r="Z55" i="42"/>
  <c r="X55" i="42"/>
  <c r="L55" i="42"/>
  <c r="N55" i="42" s="1"/>
  <c r="B55" i="42"/>
  <c r="T54" i="42"/>
  <c r="Z54" i="42" s="1"/>
  <c r="P54" i="42"/>
  <c r="X54" i="42" s="1"/>
  <c r="L54" i="42"/>
  <c r="H54" i="42"/>
  <c r="N54" i="42" s="1"/>
  <c r="D54" i="42"/>
  <c r="B54" i="42"/>
  <c r="X53" i="42"/>
  <c r="Z53" i="42" s="1"/>
  <c r="N53" i="42"/>
  <c r="L53" i="42"/>
  <c r="B53" i="42"/>
  <c r="T52" i="42"/>
  <c r="P52" i="42"/>
  <c r="X52" i="42" s="1"/>
  <c r="Z52" i="42" s="1"/>
  <c r="H52" i="42"/>
  <c r="D52" i="42"/>
  <c r="B52" i="42"/>
  <c r="Z51" i="42"/>
  <c r="X51" i="42"/>
  <c r="N51" i="42"/>
  <c r="L51" i="42"/>
  <c r="B51" i="42"/>
  <c r="T50" i="42"/>
  <c r="P50" i="42"/>
  <c r="X50" i="42" s="1"/>
  <c r="Z50" i="42" s="1"/>
  <c r="H50" i="42"/>
  <c r="D50" i="42"/>
  <c r="L50" i="42" s="1"/>
  <c r="N50" i="42" s="1"/>
  <c r="B50" i="42"/>
  <c r="X49" i="42"/>
  <c r="Z49" i="42" s="1"/>
  <c r="L49" i="42"/>
  <c r="N49" i="42" s="1"/>
  <c r="B49" i="42"/>
  <c r="X48" i="42"/>
  <c r="T48" i="42"/>
  <c r="Z48" i="42" s="1"/>
  <c r="P48" i="42"/>
  <c r="J48" i="42"/>
  <c r="H48" i="42"/>
  <c r="N48" i="42" s="1"/>
  <c r="D48" i="42"/>
  <c r="L48" i="42" s="1"/>
  <c r="B48" i="42"/>
  <c r="X47" i="42"/>
  <c r="Z47" i="42" s="1"/>
  <c r="N47" i="42"/>
  <c r="L47" i="42"/>
  <c r="B47" i="42"/>
  <c r="X46" i="42"/>
  <c r="Z46" i="42" s="1"/>
  <c r="N46" i="42"/>
  <c r="L46" i="42"/>
  <c r="J46" i="42"/>
  <c r="B46" i="42"/>
  <c r="X45" i="42"/>
  <c r="Z45" i="42" s="1"/>
  <c r="N45" i="42"/>
  <c r="L45" i="42"/>
  <c r="B45" i="42"/>
  <c r="Z44" i="42"/>
  <c r="X44" i="42"/>
  <c r="N44" i="42"/>
  <c r="L44" i="42"/>
  <c r="B44" i="42"/>
  <c r="X43" i="42"/>
  <c r="Z43" i="42" s="1"/>
  <c r="N43" i="42"/>
  <c r="L43" i="42"/>
  <c r="B43" i="42"/>
  <c r="X42" i="42"/>
  <c r="Z42" i="42" s="1"/>
  <c r="N42" i="42"/>
  <c r="L42" i="42"/>
  <c r="J42" i="42"/>
  <c r="B42" i="42"/>
  <c r="X41" i="42"/>
  <c r="Z41" i="42" s="1"/>
  <c r="N41" i="42"/>
  <c r="L41" i="42"/>
  <c r="B41" i="42"/>
  <c r="Z40" i="42"/>
  <c r="T40" i="42"/>
  <c r="P40" i="42"/>
  <c r="X40" i="42" s="1"/>
  <c r="H40" i="42"/>
  <c r="N40" i="42" s="1"/>
  <c r="D40" i="42"/>
  <c r="L40" i="42" s="1"/>
  <c r="B40" i="42"/>
  <c r="Z39" i="42"/>
  <c r="X39" i="42"/>
  <c r="N39" i="42"/>
  <c r="L39" i="42"/>
  <c r="B39" i="42"/>
  <c r="Z38" i="42"/>
  <c r="X38" i="42"/>
  <c r="L38" i="42"/>
  <c r="N38" i="42" s="1"/>
  <c r="J38" i="42"/>
  <c r="B38" i="42"/>
  <c r="Z37" i="42"/>
  <c r="X37" i="42"/>
  <c r="L37" i="42"/>
  <c r="N37" i="42" s="1"/>
  <c r="B37" i="42"/>
  <c r="Z36" i="42"/>
  <c r="X36" i="42"/>
  <c r="L36" i="42"/>
  <c r="N36" i="42" s="1"/>
  <c r="J36" i="42"/>
  <c r="B36" i="42"/>
  <c r="Z35" i="42"/>
  <c r="X35" i="42"/>
  <c r="N35" i="42"/>
  <c r="L35" i="42"/>
  <c r="B35" i="42"/>
  <c r="Z34" i="42"/>
  <c r="X34" i="42"/>
  <c r="L34" i="42"/>
  <c r="N34" i="42" s="1"/>
  <c r="J34" i="42"/>
  <c r="B34" i="42"/>
  <c r="Z33" i="42"/>
  <c r="X33" i="42"/>
  <c r="L33" i="42"/>
  <c r="N33" i="42" s="1"/>
  <c r="B33" i="42"/>
  <c r="Z32" i="42"/>
  <c r="X32" i="42"/>
  <c r="L32" i="42"/>
  <c r="N32" i="42" s="1"/>
  <c r="J32" i="42"/>
  <c r="B32" i="42"/>
  <c r="Z31" i="42"/>
  <c r="X31" i="42"/>
  <c r="N31" i="42"/>
  <c r="L31" i="42"/>
  <c r="B31" i="42"/>
  <c r="V30" i="42"/>
  <c r="T30" i="42"/>
  <c r="P30" i="42"/>
  <c r="X30" i="42" s="1"/>
  <c r="Z30" i="42" s="1"/>
  <c r="H30" i="42"/>
  <c r="D30" i="42"/>
  <c r="L30" i="42" s="1"/>
  <c r="N30" i="42" s="1"/>
  <c r="B30" i="42"/>
  <c r="T29" i="42"/>
  <c r="P29" i="42"/>
  <c r="X29" i="42" s="1"/>
  <c r="H29" i="42"/>
  <c r="D29" i="42"/>
  <c r="L29" i="42" s="1"/>
  <c r="X25" i="42"/>
  <c r="Z25" i="42" s="1"/>
  <c r="L25" i="42"/>
  <c r="N25" i="42" s="1"/>
  <c r="B25" i="42"/>
  <c r="X24" i="42"/>
  <c r="Z24" i="42" s="1"/>
  <c r="N24" i="42"/>
  <c r="L24" i="42"/>
  <c r="B24" i="42"/>
  <c r="T23" i="42"/>
  <c r="P23" i="42"/>
  <c r="X23" i="42" s="1"/>
  <c r="H23" i="42"/>
  <c r="D23" i="42"/>
  <c r="L23" i="42" s="1"/>
  <c r="T21" i="42"/>
  <c r="Z21" i="42" s="1"/>
  <c r="P21" i="42"/>
  <c r="X21" i="42" s="1"/>
  <c r="H21" i="42"/>
  <c r="D21" i="42"/>
  <c r="L21" i="42" s="1"/>
  <c r="N21" i="42" s="1"/>
  <c r="B21" i="42"/>
  <c r="T20" i="42"/>
  <c r="P20" i="42"/>
  <c r="H20" i="42"/>
  <c r="D20" i="42"/>
  <c r="L20" i="42" s="1"/>
  <c r="B20" i="42"/>
  <c r="X19" i="42"/>
  <c r="Z19" i="42" s="1"/>
  <c r="T19" i="42"/>
  <c r="P19" i="42"/>
  <c r="L19" i="42"/>
  <c r="N19" i="42" s="1"/>
  <c r="H19" i="42"/>
  <c r="D19" i="42"/>
  <c r="B19" i="42"/>
  <c r="T18" i="42"/>
  <c r="P18" i="42"/>
  <c r="H18" i="42"/>
  <c r="D18" i="42"/>
  <c r="L18" i="42" s="1"/>
  <c r="N18" i="42" s="1"/>
  <c r="B18" i="42"/>
  <c r="T17" i="42"/>
  <c r="Z17" i="42" s="1"/>
  <c r="P17" i="42"/>
  <c r="X17" i="42" s="1"/>
  <c r="H17" i="42"/>
  <c r="D17" i="42"/>
  <c r="L17" i="42" s="1"/>
  <c r="N17" i="42" s="1"/>
  <c r="B17" i="42"/>
  <c r="T16" i="42"/>
  <c r="P16" i="42"/>
  <c r="H16" i="42"/>
  <c r="N16" i="42" s="1"/>
  <c r="D16" i="42"/>
  <c r="L16" i="42" s="1"/>
  <c r="B16" i="42"/>
  <c r="X15" i="42"/>
  <c r="Z15" i="42" s="1"/>
  <c r="T15" i="42"/>
  <c r="P15" i="42"/>
  <c r="L15" i="42"/>
  <c r="N15" i="42" s="1"/>
  <c r="H15" i="42"/>
  <c r="D15" i="42"/>
  <c r="B15" i="42"/>
  <c r="T14" i="42"/>
  <c r="P14" i="42"/>
  <c r="H14" i="42"/>
  <c r="D14" i="42"/>
  <c r="L14" i="42" s="1"/>
  <c r="N14" i="42" s="1"/>
  <c r="B14" i="42"/>
  <c r="T13" i="42"/>
  <c r="P13" i="42"/>
  <c r="P12" i="42" s="1"/>
  <c r="P27" i="42" s="1"/>
  <c r="H13" i="42"/>
  <c r="D13" i="42"/>
  <c r="B13" i="42"/>
  <c r="T12" i="42"/>
  <c r="V78" i="42" s="1"/>
  <c r="H12" i="42"/>
  <c r="D4" i="42"/>
  <c r="Z132" i="39"/>
  <c r="X132" i="39"/>
  <c r="N132" i="39"/>
  <c r="L132" i="39"/>
  <c r="T128" i="39"/>
  <c r="P128" i="39"/>
  <c r="N128" i="39"/>
  <c r="L128" i="39"/>
  <c r="H128" i="39"/>
  <c r="D128" i="39"/>
  <c r="B128" i="39"/>
  <c r="T127" i="39"/>
  <c r="P127" i="39"/>
  <c r="X127" i="39" s="1"/>
  <c r="Z127" i="39" s="1"/>
  <c r="N127" i="39"/>
  <c r="H127" i="39"/>
  <c r="D127" i="39"/>
  <c r="L127" i="39" s="1"/>
  <c r="B127" i="39"/>
  <c r="X126" i="39"/>
  <c r="T126" i="39"/>
  <c r="P126" i="39"/>
  <c r="P125" i="39" s="1"/>
  <c r="H126" i="39"/>
  <c r="N126" i="39" s="1"/>
  <c r="D126" i="39"/>
  <c r="L126" i="39" s="1"/>
  <c r="B126" i="39"/>
  <c r="H125" i="39"/>
  <c r="Z123" i="39"/>
  <c r="X123" i="39"/>
  <c r="N123" i="39"/>
  <c r="L123" i="39"/>
  <c r="B123" i="39"/>
  <c r="T122" i="39"/>
  <c r="P122" i="39"/>
  <c r="L122" i="39"/>
  <c r="N122" i="39" s="1"/>
  <c r="H122" i="39"/>
  <c r="D122" i="39"/>
  <c r="B122" i="39"/>
  <c r="Z121" i="39"/>
  <c r="X121" i="39"/>
  <c r="N121" i="39"/>
  <c r="L121" i="39"/>
  <c r="B121" i="39"/>
  <c r="X120" i="39"/>
  <c r="Z120" i="39" s="1"/>
  <c r="N120" i="39"/>
  <c r="L120" i="39"/>
  <c r="B120" i="39"/>
  <c r="Z119" i="39"/>
  <c r="X119" i="39"/>
  <c r="L119" i="39"/>
  <c r="N119" i="39" s="1"/>
  <c r="B119" i="39"/>
  <c r="T118" i="39"/>
  <c r="P118" i="39"/>
  <c r="H118" i="39"/>
  <c r="D118" i="39"/>
  <c r="L118" i="39" s="1"/>
  <c r="B118" i="39"/>
  <c r="X117" i="39"/>
  <c r="Z117" i="39" s="1"/>
  <c r="N117" i="39"/>
  <c r="L117" i="39"/>
  <c r="B117" i="39"/>
  <c r="T116" i="39"/>
  <c r="P116" i="39"/>
  <c r="X116" i="39" s="1"/>
  <c r="H116" i="39"/>
  <c r="N116" i="39" s="1"/>
  <c r="D116" i="39"/>
  <c r="L116" i="39" s="1"/>
  <c r="B116" i="39"/>
  <c r="Z115" i="39"/>
  <c r="X115" i="39"/>
  <c r="N115" i="39"/>
  <c r="L115" i="39"/>
  <c r="B115" i="39"/>
  <c r="T114" i="39"/>
  <c r="P114" i="39"/>
  <c r="L114" i="39"/>
  <c r="N114" i="39" s="1"/>
  <c r="H114" i="39"/>
  <c r="D114" i="39"/>
  <c r="B114" i="39"/>
  <c r="Z113" i="39"/>
  <c r="X113" i="39"/>
  <c r="L113" i="39"/>
  <c r="N113" i="39" s="1"/>
  <c r="B113" i="39"/>
  <c r="X112" i="39"/>
  <c r="Z112" i="39" s="1"/>
  <c r="L112" i="39"/>
  <c r="N112" i="39" s="1"/>
  <c r="B112" i="39"/>
  <c r="Z111" i="39"/>
  <c r="X111" i="39"/>
  <c r="L111" i="39"/>
  <c r="N111" i="39" s="1"/>
  <c r="B111" i="39"/>
  <c r="Z110" i="39"/>
  <c r="X110" i="39"/>
  <c r="N110" i="39"/>
  <c r="L110" i="39"/>
  <c r="B110" i="39"/>
  <c r="Z109" i="39"/>
  <c r="X109" i="39"/>
  <c r="L109" i="39"/>
  <c r="N109" i="39" s="1"/>
  <c r="B109" i="39"/>
  <c r="X108" i="39"/>
  <c r="Z108" i="39" s="1"/>
  <c r="L108" i="39"/>
  <c r="N108" i="39" s="1"/>
  <c r="B108" i="39"/>
  <c r="Z107" i="39"/>
  <c r="X107" i="39"/>
  <c r="L107" i="39"/>
  <c r="N107" i="39" s="1"/>
  <c r="B107" i="39"/>
  <c r="Z106" i="39"/>
  <c r="X106" i="39"/>
  <c r="N106" i="39"/>
  <c r="L106" i="39"/>
  <c r="B106" i="39"/>
  <c r="Z105" i="39"/>
  <c r="X105" i="39"/>
  <c r="L105" i="39"/>
  <c r="N105" i="39" s="1"/>
  <c r="B105" i="39"/>
  <c r="T104" i="39"/>
  <c r="P104" i="39"/>
  <c r="X104" i="39" s="1"/>
  <c r="H104" i="39"/>
  <c r="D104" i="39"/>
  <c r="B104" i="39"/>
  <c r="X103" i="39"/>
  <c r="Z103" i="39" s="1"/>
  <c r="N103" i="39"/>
  <c r="L103" i="39"/>
  <c r="B103" i="39"/>
  <c r="X102" i="39"/>
  <c r="Z102" i="39" s="1"/>
  <c r="L102" i="39"/>
  <c r="N102" i="39" s="1"/>
  <c r="F102" i="39"/>
  <c r="B102" i="39"/>
  <c r="X101" i="39"/>
  <c r="Z101" i="39" s="1"/>
  <c r="T101" i="39"/>
  <c r="P101" i="39"/>
  <c r="L101" i="39"/>
  <c r="N101" i="39" s="1"/>
  <c r="H101" i="39"/>
  <c r="F101" i="39"/>
  <c r="D101" i="39"/>
  <c r="B101" i="39"/>
  <c r="X100" i="39"/>
  <c r="Z100" i="39" s="1"/>
  <c r="L100" i="39"/>
  <c r="N100" i="39" s="1"/>
  <c r="B100" i="39"/>
  <c r="Z99" i="39"/>
  <c r="X99" i="39"/>
  <c r="N99" i="39"/>
  <c r="L99" i="39"/>
  <c r="B99" i="39"/>
  <c r="X98" i="39"/>
  <c r="Z98" i="39" s="1"/>
  <c r="N98" i="39"/>
  <c r="L98" i="39"/>
  <c r="F98" i="39"/>
  <c r="B98" i="39"/>
  <c r="Z97" i="39"/>
  <c r="X97" i="39"/>
  <c r="N97" i="39"/>
  <c r="L97" i="39"/>
  <c r="B97" i="39"/>
  <c r="X96" i="39"/>
  <c r="Z96" i="39" s="1"/>
  <c r="L96" i="39"/>
  <c r="N96" i="39" s="1"/>
  <c r="F96" i="39"/>
  <c r="B96" i="39"/>
  <c r="Z95" i="39"/>
  <c r="X95" i="39"/>
  <c r="T95" i="39"/>
  <c r="P95" i="39"/>
  <c r="H95" i="39"/>
  <c r="F95" i="39"/>
  <c r="D95" i="39"/>
  <c r="L95" i="39" s="1"/>
  <c r="B95" i="39"/>
  <c r="Z94" i="39"/>
  <c r="X94" i="39"/>
  <c r="L94" i="39"/>
  <c r="N94" i="39" s="1"/>
  <c r="B94" i="39"/>
  <c r="Z93" i="39"/>
  <c r="X93" i="39"/>
  <c r="N93" i="39"/>
  <c r="L93" i="39"/>
  <c r="B93" i="39"/>
  <c r="T92" i="39"/>
  <c r="P92" i="39"/>
  <c r="X92" i="39" s="1"/>
  <c r="H92" i="39"/>
  <c r="D92" i="39"/>
  <c r="B92" i="39"/>
  <c r="X91" i="39"/>
  <c r="Z91" i="39" s="1"/>
  <c r="N91" i="39"/>
  <c r="L91" i="39"/>
  <c r="B91" i="39"/>
  <c r="X90" i="39"/>
  <c r="Z90" i="39" s="1"/>
  <c r="L90" i="39"/>
  <c r="N90" i="39" s="1"/>
  <c r="F90" i="39"/>
  <c r="B90" i="39"/>
  <c r="X89" i="39"/>
  <c r="Z89" i="39" s="1"/>
  <c r="N89" i="39"/>
  <c r="L89" i="39"/>
  <c r="B89" i="39"/>
  <c r="X88" i="39"/>
  <c r="Z88" i="39" s="1"/>
  <c r="N88" i="39"/>
  <c r="L88" i="39"/>
  <c r="B88" i="39"/>
  <c r="X87" i="39"/>
  <c r="T87" i="39"/>
  <c r="Z87" i="39" s="1"/>
  <c r="P87" i="39"/>
  <c r="L87" i="39"/>
  <c r="N87" i="39" s="1"/>
  <c r="H87" i="39"/>
  <c r="D87" i="39"/>
  <c r="B87" i="39"/>
  <c r="X86" i="39"/>
  <c r="Z86" i="39" s="1"/>
  <c r="N86" i="39"/>
  <c r="L86" i="39"/>
  <c r="F86" i="39"/>
  <c r="B86" i="39"/>
  <c r="T85" i="39"/>
  <c r="Z85" i="39" s="1"/>
  <c r="P85" i="39"/>
  <c r="X85" i="39" s="1"/>
  <c r="N85" i="39"/>
  <c r="L85" i="39"/>
  <c r="H85" i="39"/>
  <c r="F85" i="39"/>
  <c r="D85" i="39"/>
  <c r="B85" i="39"/>
  <c r="X84" i="39"/>
  <c r="Z84" i="39" s="1"/>
  <c r="N84" i="39"/>
  <c r="L84" i="39"/>
  <c r="B84" i="39"/>
  <c r="Z83" i="39"/>
  <c r="T83" i="39"/>
  <c r="P83" i="39"/>
  <c r="X83" i="39" s="1"/>
  <c r="N83" i="39"/>
  <c r="H83" i="39"/>
  <c r="D83" i="39"/>
  <c r="L83" i="39" s="1"/>
  <c r="B83" i="39"/>
  <c r="X82" i="39"/>
  <c r="Z82" i="39" s="1"/>
  <c r="L82" i="39"/>
  <c r="N82" i="39" s="1"/>
  <c r="F82" i="39"/>
  <c r="B82" i="39"/>
  <c r="X81" i="39"/>
  <c r="T81" i="39"/>
  <c r="Z81" i="39" s="1"/>
  <c r="P81" i="39"/>
  <c r="L81" i="39"/>
  <c r="N81" i="39" s="1"/>
  <c r="H81" i="39"/>
  <c r="F81" i="39"/>
  <c r="D81" i="39"/>
  <c r="B81" i="39"/>
  <c r="X80" i="39"/>
  <c r="Z80" i="39" s="1"/>
  <c r="L80" i="39"/>
  <c r="N80" i="39" s="1"/>
  <c r="F80" i="39"/>
  <c r="B80" i="39"/>
  <c r="Z79" i="39"/>
  <c r="X79" i="39"/>
  <c r="T79" i="39"/>
  <c r="P79" i="39"/>
  <c r="H79" i="39"/>
  <c r="N79" i="39" s="1"/>
  <c r="F79" i="39"/>
  <c r="D79" i="39"/>
  <c r="L79" i="39" s="1"/>
  <c r="B79" i="39"/>
  <c r="Z78" i="39"/>
  <c r="X78" i="39"/>
  <c r="N78" i="39"/>
  <c r="L78" i="39"/>
  <c r="B78" i="39"/>
  <c r="Z77" i="39"/>
  <c r="X77" i="39"/>
  <c r="N77" i="39"/>
  <c r="L77" i="39"/>
  <c r="B77" i="39"/>
  <c r="T76" i="39"/>
  <c r="P76" i="39"/>
  <c r="X76" i="39" s="1"/>
  <c r="H76" i="39"/>
  <c r="D76" i="39"/>
  <c r="B76" i="39"/>
  <c r="Z75" i="39"/>
  <c r="X75" i="39"/>
  <c r="N75" i="39"/>
  <c r="L75" i="39"/>
  <c r="B75" i="39"/>
  <c r="X74" i="39"/>
  <c r="Z74" i="39" s="1"/>
  <c r="L74" i="39"/>
  <c r="N74" i="39" s="1"/>
  <c r="F74" i="39"/>
  <c r="B74" i="39"/>
  <c r="X73" i="39"/>
  <c r="T73" i="39"/>
  <c r="Z73" i="39" s="1"/>
  <c r="P73" i="39"/>
  <c r="L73" i="39"/>
  <c r="H73" i="39"/>
  <c r="N73" i="39" s="1"/>
  <c r="F73" i="39"/>
  <c r="D73" i="39"/>
  <c r="B73" i="39"/>
  <c r="X72" i="39"/>
  <c r="Z72" i="39" s="1"/>
  <c r="L72" i="39"/>
  <c r="N72" i="39" s="1"/>
  <c r="F72" i="39"/>
  <c r="B72" i="39"/>
  <c r="Z71" i="39"/>
  <c r="X71" i="39"/>
  <c r="T71" i="39"/>
  <c r="P71" i="39"/>
  <c r="H71" i="39"/>
  <c r="N71" i="39" s="1"/>
  <c r="F71" i="39"/>
  <c r="D71" i="39"/>
  <c r="L71" i="39" s="1"/>
  <c r="B71" i="39"/>
  <c r="Z70" i="39"/>
  <c r="X70" i="39"/>
  <c r="L70" i="39"/>
  <c r="N70" i="39" s="1"/>
  <c r="B70" i="39"/>
  <c r="Z69" i="39"/>
  <c r="T69" i="39"/>
  <c r="X69" i="39" s="1"/>
  <c r="P69" i="39"/>
  <c r="H69" i="39"/>
  <c r="D69" i="39"/>
  <c r="L69" i="39" s="1"/>
  <c r="N69" i="39" s="1"/>
  <c r="B69" i="39"/>
  <c r="X68" i="39"/>
  <c r="Z68" i="39" s="1"/>
  <c r="N68" i="39"/>
  <c r="L68" i="39"/>
  <c r="B68" i="39"/>
  <c r="X67" i="39"/>
  <c r="T67" i="39"/>
  <c r="Z67" i="39" s="1"/>
  <c r="P67" i="39"/>
  <c r="N67" i="39"/>
  <c r="H67" i="39"/>
  <c r="D67" i="39"/>
  <c r="L67" i="39" s="1"/>
  <c r="B67" i="39"/>
  <c r="X66" i="39"/>
  <c r="Z66" i="39" s="1"/>
  <c r="N66" i="39"/>
  <c r="L66" i="39"/>
  <c r="F66" i="39"/>
  <c r="B66" i="39"/>
  <c r="T65" i="39"/>
  <c r="P65" i="39"/>
  <c r="X65" i="39" s="1"/>
  <c r="N65" i="39"/>
  <c r="L65" i="39"/>
  <c r="H65" i="39"/>
  <c r="F65" i="39"/>
  <c r="D65" i="39"/>
  <c r="B65" i="39"/>
  <c r="Z64" i="39"/>
  <c r="X64" i="39"/>
  <c r="L64" i="39"/>
  <c r="N64" i="39" s="1"/>
  <c r="B64" i="39"/>
  <c r="Z63" i="39"/>
  <c r="X63" i="39"/>
  <c r="L63" i="39"/>
  <c r="N63" i="39" s="1"/>
  <c r="B63" i="39"/>
  <c r="Z62" i="39"/>
  <c r="X62" i="39"/>
  <c r="N62" i="39"/>
  <c r="L62" i="39"/>
  <c r="B62" i="39"/>
  <c r="Z61" i="39"/>
  <c r="T61" i="39"/>
  <c r="P61" i="39"/>
  <c r="X61" i="39" s="1"/>
  <c r="N61" i="39"/>
  <c r="H61" i="39"/>
  <c r="D61" i="39"/>
  <c r="L61" i="39" s="1"/>
  <c r="B61" i="39"/>
  <c r="X60" i="39"/>
  <c r="Z60" i="39" s="1"/>
  <c r="L60" i="39"/>
  <c r="N60" i="39" s="1"/>
  <c r="B60" i="39"/>
  <c r="X59" i="39"/>
  <c r="T59" i="39"/>
  <c r="Z59" i="39" s="1"/>
  <c r="P59" i="39"/>
  <c r="H59" i="39"/>
  <c r="D59" i="39"/>
  <c r="L59" i="39" s="1"/>
  <c r="N59" i="39" s="1"/>
  <c r="B59" i="39"/>
  <c r="X58" i="39"/>
  <c r="Z58" i="39" s="1"/>
  <c r="N58" i="39"/>
  <c r="L58" i="39"/>
  <c r="F58" i="39"/>
  <c r="B58" i="39"/>
  <c r="T57" i="39"/>
  <c r="P57" i="39"/>
  <c r="N57" i="39"/>
  <c r="L57" i="39"/>
  <c r="H57" i="39"/>
  <c r="F57" i="39"/>
  <c r="D57" i="39"/>
  <c r="B57" i="39"/>
  <c r="Z56" i="39"/>
  <c r="X56" i="39"/>
  <c r="L56" i="39"/>
  <c r="N56" i="39" s="1"/>
  <c r="B56" i="39"/>
  <c r="Z55" i="39"/>
  <c r="T55" i="39"/>
  <c r="P55" i="39"/>
  <c r="X55" i="39" s="1"/>
  <c r="H55" i="39"/>
  <c r="D55" i="39"/>
  <c r="L55" i="39" s="1"/>
  <c r="N55" i="39" s="1"/>
  <c r="B55" i="39"/>
  <c r="X54" i="39"/>
  <c r="Z54" i="39" s="1"/>
  <c r="N54" i="39"/>
  <c r="L54" i="39"/>
  <c r="F54" i="39"/>
  <c r="B54" i="39"/>
  <c r="X53" i="39"/>
  <c r="Z53" i="39" s="1"/>
  <c r="N53" i="39"/>
  <c r="L53" i="39"/>
  <c r="F53" i="39"/>
  <c r="B53" i="39"/>
  <c r="X52" i="39"/>
  <c r="Z52" i="39" s="1"/>
  <c r="L52" i="39"/>
  <c r="N52" i="39" s="1"/>
  <c r="B52" i="39"/>
  <c r="X51" i="39"/>
  <c r="Z51" i="39" s="1"/>
  <c r="N51" i="39"/>
  <c r="L51" i="39"/>
  <c r="B51" i="39"/>
  <c r="X50" i="39"/>
  <c r="Z50" i="39" s="1"/>
  <c r="L50" i="39"/>
  <c r="N50" i="39" s="1"/>
  <c r="F50" i="39"/>
  <c r="B50" i="39"/>
  <c r="X49" i="39"/>
  <c r="Z49" i="39" s="1"/>
  <c r="L49" i="39"/>
  <c r="N49" i="39" s="1"/>
  <c r="F49" i="39"/>
  <c r="B49" i="39"/>
  <c r="X48" i="39"/>
  <c r="Z48" i="39" s="1"/>
  <c r="L48" i="39"/>
  <c r="N48" i="39" s="1"/>
  <c r="B48" i="39"/>
  <c r="X47" i="39"/>
  <c r="T47" i="39"/>
  <c r="Z47" i="39" s="1"/>
  <c r="P47" i="39"/>
  <c r="H47" i="39"/>
  <c r="D47" i="39"/>
  <c r="L47" i="39" s="1"/>
  <c r="B47" i="39"/>
  <c r="Z46" i="39"/>
  <c r="X46" i="39"/>
  <c r="N46" i="39"/>
  <c r="L46" i="39"/>
  <c r="F46" i="39"/>
  <c r="B46" i="39"/>
  <c r="X45" i="39"/>
  <c r="Z45" i="39" s="1"/>
  <c r="N45" i="39"/>
  <c r="L45" i="39"/>
  <c r="B45" i="39"/>
  <c r="X44" i="39"/>
  <c r="Z44" i="39" s="1"/>
  <c r="N44" i="39"/>
  <c r="L44" i="39"/>
  <c r="F44" i="39"/>
  <c r="B44" i="39"/>
  <c r="Z43" i="39"/>
  <c r="X43" i="39"/>
  <c r="N43" i="39"/>
  <c r="L43" i="39"/>
  <c r="B43" i="39"/>
  <c r="Z42" i="39"/>
  <c r="X42" i="39"/>
  <c r="N42" i="39"/>
  <c r="L42" i="39"/>
  <c r="F42" i="39"/>
  <c r="B42" i="39"/>
  <c r="X41" i="39"/>
  <c r="Z41" i="39" s="1"/>
  <c r="N41" i="39"/>
  <c r="L41" i="39"/>
  <c r="B41" i="39"/>
  <c r="X40" i="39"/>
  <c r="Z40" i="39" s="1"/>
  <c r="N40" i="39"/>
  <c r="L40" i="39"/>
  <c r="F40" i="39"/>
  <c r="B40" i="39"/>
  <c r="Z39" i="39"/>
  <c r="X39" i="39"/>
  <c r="N39" i="39"/>
  <c r="L39" i="39"/>
  <c r="B39" i="39"/>
  <c r="X38" i="39"/>
  <c r="Z38" i="39" s="1"/>
  <c r="N38" i="39"/>
  <c r="L38" i="39"/>
  <c r="F38" i="39"/>
  <c r="B38" i="39"/>
  <c r="T37" i="39"/>
  <c r="P37" i="39"/>
  <c r="N37" i="39"/>
  <c r="L37" i="39"/>
  <c r="H37" i="39"/>
  <c r="F37" i="39"/>
  <c r="D37" i="39"/>
  <c r="B37" i="39"/>
  <c r="T36" i="39"/>
  <c r="P36" i="39"/>
  <c r="H36" i="39"/>
  <c r="D36" i="39"/>
  <c r="Z32" i="39"/>
  <c r="X32" i="39"/>
  <c r="L32" i="39"/>
  <c r="N32" i="39" s="1"/>
  <c r="B32" i="39"/>
  <c r="Z31" i="39"/>
  <c r="X31" i="39"/>
  <c r="L31" i="39"/>
  <c r="N31" i="39" s="1"/>
  <c r="B31" i="39"/>
  <c r="T30" i="39"/>
  <c r="P30" i="39"/>
  <c r="H30" i="39"/>
  <c r="D30" i="39"/>
  <c r="T28" i="39"/>
  <c r="P28" i="39"/>
  <c r="X28" i="39" s="1"/>
  <c r="Z28" i="39" s="1"/>
  <c r="L28" i="39"/>
  <c r="H28" i="39"/>
  <c r="N28" i="39" s="1"/>
  <c r="D28" i="39"/>
  <c r="B28" i="39"/>
  <c r="T27" i="39"/>
  <c r="P27" i="39"/>
  <c r="H27" i="39"/>
  <c r="D27" i="39"/>
  <c r="L27" i="39" s="1"/>
  <c r="B27" i="39"/>
  <c r="T26" i="39"/>
  <c r="P26" i="39"/>
  <c r="L26" i="39"/>
  <c r="H26" i="39"/>
  <c r="N26" i="39" s="1"/>
  <c r="D26" i="39"/>
  <c r="B26" i="39"/>
  <c r="T25" i="39"/>
  <c r="P25" i="39"/>
  <c r="H25" i="39"/>
  <c r="D25" i="39"/>
  <c r="B25" i="39"/>
  <c r="T24" i="39"/>
  <c r="Z24" i="39" s="1"/>
  <c r="P24" i="39"/>
  <c r="X24" i="39" s="1"/>
  <c r="L24" i="39"/>
  <c r="H24" i="39"/>
  <c r="N24" i="39" s="1"/>
  <c r="D24" i="39"/>
  <c r="B24" i="39"/>
  <c r="T23" i="39"/>
  <c r="P23" i="39"/>
  <c r="X23" i="39" s="1"/>
  <c r="Z23" i="39" s="1"/>
  <c r="H23" i="39"/>
  <c r="D23" i="39"/>
  <c r="B23" i="39"/>
  <c r="T22" i="39"/>
  <c r="P22" i="39"/>
  <c r="L22" i="39"/>
  <c r="H22" i="39"/>
  <c r="N22" i="39" s="1"/>
  <c r="D22" i="39"/>
  <c r="B22" i="39"/>
  <c r="T21" i="39"/>
  <c r="P21" i="39"/>
  <c r="X21" i="39" s="1"/>
  <c r="Z21" i="39" s="1"/>
  <c r="L21" i="39"/>
  <c r="H21" i="39"/>
  <c r="D21" i="39"/>
  <c r="B21" i="39"/>
  <c r="T20" i="39"/>
  <c r="P20" i="39"/>
  <c r="X20" i="39" s="1"/>
  <c r="L20" i="39"/>
  <c r="H20" i="39"/>
  <c r="D20" i="39"/>
  <c r="B20" i="39"/>
  <c r="T19" i="39"/>
  <c r="Z19" i="39" s="1"/>
  <c r="P19" i="39"/>
  <c r="X19" i="39" s="1"/>
  <c r="H19" i="39"/>
  <c r="D19" i="39"/>
  <c r="B19" i="39"/>
  <c r="T18" i="39"/>
  <c r="P18" i="39"/>
  <c r="X18" i="39" s="1"/>
  <c r="L18" i="39"/>
  <c r="H18" i="39"/>
  <c r="N18" i="39" s="1"/>
  <c r="D18" i="39"/>
  <c r="B18" i="39"/>
  <c r="T17" i="39"/>
  <c r="P17" i="39"/>
  <c r="L17" i="39"/>
  <c r="H17" i="39"/>
  <c r="D17" i="39"/>
  <c r="B17" i="39"/>
  <c r="T16" i="39"/>
  <c r="P16" i="39"/>
  <c r="L16" i="39"/>
  <c r="H16" i="39"/>
  <c r="N16" i="39" s="1"/>
  <c r="D16" i="39"/>
  <c r="B16" i="39"/>
  <c r="T15" i="39"/>
  <c r="P15" i="39"/>
  <c r="X15" i="39" s="1"/>
  <c r="Z15" i="39" s="1"/>
  <c r="L15" i="39"/>
  <c r="H15" i="39"/>
  <c r="D15" i="39"/>
  <c r="B15" i="39"/>
  <c r="T14" i="39"/>
  <c r="P14" i="39"/>
  <c r="X14" i="39" s="1"/>
  <c r="L14" i="39"/>
  <c r="H14" i="39"/>
  <c r="D14" i="39"/>
  <c r="B14" i="39"/>
  <c r="T13" i="39"/>
  <c r="P13" i="39"/>
  <c r="H13" i="39"/>
  <c r="D13" i="39"/>
  <c r="B13" i="39"/>
  <c r="D12" i="39"/>
  <c r="F120" i="39" s="1"/>
  <c r="D4" i="39"/>
  <c r="Z127" i="36"/>
  <c r="X127" i="36"/>
  <c r="L127" i="36"/>
  <c r="N127" i="36" s="1"/>
  <c r="T123" i="36"/>
  <c r="T120" i="36" s="1"/>
  <c r="P123" i="36"/>
  <c r="X123" i="36" s="1"/>
  <c r="H123" i="36"/>
  <c r="N123" i="36" s="1"/>
  <c r="D123" i="36"/>
  <c r="B123" i="36"/>
  <c r="T122" i="36"/>
  <c r="P122" i="36"/>
  <c r="X122" i="36" s="1"/>
  <c r="H122" i="36"/>
  <c r="D122" i="36"/>
  <c r="B122" i="36"/>
  <c r="X121" i="36"/>
  <c r="Z121" i="36" s="1"/>
  <c r="T121" i="36"/>
  <c r="P121" i="36"/>
  <c r="H121" i="36"/>
  <c r="D121" i="36"/>
  <c r="B121" i="36"/>
  <c r="P120" i="36"/>
  <c r="Z118" i="36"/>
  <c r="X118" i="36"/>
  <c r="L118" i="36"/>
  <c r="N118" i="36" s="1"/>
  <c r="B118" i="36"/>
  <c r="T117" i="36"/>
  <c r="X117" i="36" s="1"/>
  <c r="P117" i="36"/>
  <c r="H117" i="36"/>
  <c r="D117" i="36"/>
  <c r="L117" i="36" s="1"/>
  <c r="B117" i="36"/>
  <c r="X116" i="36"/>
  <c r="Z116" i="36" s="1"/>
  <c r="L116" i="36"/>
  <c r="N116" i="36" s="1"/>
  <c r="B116" i="36"/>
  <c r="X115" i="36"/>
  <c r="Z115" i="36" s="1"/>
  <c r="N115" i="36"/>
  <c r="L115" i="36"/>
  <c r="B115" i="36"/>
  <c r="X114" i="36"/>
  <c r="Z114" i="36" s="1"/>
  <c r="N114" i="36"/>
  <c r="L114" i="36"/>
  <c r="B114" i="36"/>
  <c r="T113" i="36"/>
  <c r="P113" i="36"/>
  <c r="X113" i="36" s="1"/>
  <c r="Z113" i="36" s="1"/>
  <c r="L113" i="36"/>
  <c r="N113" i="36" s="1"/>
  <c r="H113" i="36"/>
  <c r="D113" i="36"/>
  <c r="B113" i="36"/>
  <c r="X112" i="36"/>
  <c r="Z112" i="36" s="1"/>
  <c r="N112" i="36"/>
  <c r="L112" i="36"/>
  <c r="B112" i="36"/>
  <c r="X111" i="36"/>
  <c r="Z111" i="36" s="1"/>
  <c r="T111" i="36"/>
  <c r="P111" i="36"/>
  <c r="H111" i="36"/>
  <c r="D111" i="36"/>
  <c r="B111" i="36"/>
  <c r="Z110" i="36"/>
  <c r="X110" i="36"/>
  <c r="L110" i="36"/>
  <c r="N110" i="36" s="1"/>
  <c r="B110" i="36"/>
  <c r="T109" i="36"/>
  <c r="X109" i="36" s="1"/>
  <c r="P109" i="36"/>
  <c r="H109" i="36"/>
  <c r="N109" i="36" s="1"/>
  <c r="D109" i="36"/>
  <c r="L109" i="36" s="1"/>
  <c r="B109" i="36"/>
  <c r="X108" i="36"/>
  <c r="Z108" i="36" s="1"/>
  <c r="L108" i="36"/>
  <c r="N108" i="36" s="1"/>
  <c r="B108" i="36"/>
  <c r="X107" i="36"/>
  <c r="Z107" i="36" s="1"/>
  <c r="L107" i="36"/>
  <c r="N107" i="36" s="1"/>
  <c r="B107" i="36"/>
  <c r="X106" i="36"/>
  <c r="Z106" i="36" s="1"/>
  <c r="N106" i="36"/>
  <c r="L106" i="36"/>
  <c r="B106" i="36"/>
  <c r="Z105" i="36"/>
  <c r="X105" i="36"/>
  <c r="L105" i="36"/>
  <c r="N105" i="36" s="1"/>
  <c r="B105" i="36"/>
  <c r="X104" i="36"/>
  <c r="Z104" i="36" s="1"/>
  <c r="L104" i="36"/>
  <c r="N104" i="36" s="1"/>
  <c r="B104" i="36"/>
  <c r="X103" i="36"/>
  <c r="Z103" i="36" s="1"/>
  <c r="L103" i="36"/>
  <c r="N103" i="36" s="1"/>
  <c r="B103" i="36"/>
  <c r="X102" i="36"/>
  <c r="Z102" i="36" s="1"/>
  <c r="N102" i="36"/>
  <c r="L102" i="36"/>
  <c r="B102" i="36"/>
  <c r="Z101" i="36"/>
  <c r="X101" i="36"/>
  <c r="N101" i="36"/>
  <c r="L101" i="36"/>
  <c r="B101" i="36"/>
  <c r="X100" i="36"/>
  <c r="Z100" i="36" s="1"/>
  <c r="L100" i="36"/>
  <c r="N100" i="36" s="1"/>
  <c r="B100" i="36"/>
  <c r="X99" i="36"/>
  <c r="Z99" i="36" s="1"/>
  <c r="T99" i="36"/>
  <c r="P99" i="36"/>
  <c r="H99" i="36"/>
  <c r="D99" i="36"/>
  <c r="L99" i="36" s="1"/>
  <c r="N99" i="36" s="1"/>
  <c r="B99" i="36"/>
  <c r="Z98" i="36"/>
  <c r="X98" i="36"/>
  <c r="N98" i="36"/>
  <c r="L98" i="36"/>
  <c r="B98" i="36"/>
  <c r="X97" i="36"/>
  <c r="Z97" i="36" s="1"/>
  <c r="N97" i="36"/>
  <c r="L97" i="36"/>
  <c r="B97" i="36"/>
  <c r="T96" i="36"/>
  <c r="Z96" i="36" s="1"/>
  <c r="P96" i="36"/>
  <c r="X96" i="36" s="1"/>
  <c r="H96" i="36"/>
  <c r="L96" i="36" s="1"/>
  <c r="N96" i="36" s="1"/>
  <c r="D96" i="36"/>
  <c r="B96" i="36"/>
  <c r="Z95" i="36"/>
  <c r="X95" i="36"/>
  <c r="L95" i="36"/>
  <c r="N95" i="36" s="1"/>
  <c r="B95" i="36"/>
  <c r="Z94" i="36"/>
  <c r="X94" i="36"/>
  <c r="L94" i="36"/>
  <c r="N94" i="36" s="1"/>
  <c r="B94" i="36"/>
  <c r="Z93" i="36"/>
  <c r="X93" i="36"/>
  <c r="N93" i="36"/>
  <c r="L93" i="36"/>
  <c r="B93" i="36"/>
  <c r="Z92" i="36"/>
  <c r="X92" i="36"/>
  <c r="N92" i="36"/>
  <c r="L92" i="36"/>
  <c r="B92" i="36"/>
  <c r="Z91" i="36"/>
  <c r="X91" i="36"/>
  <c r="L91" i="36"/>
  <c r="N91" i="36" s="1"/>
  <c r="B91" i="36"/>
  <c r="T90" i="36"/>
  <c r="P90" i="36"/>
  <c r="X90" i="36" s="1"/>
  <c r="Z90" i="36" s="1"/>
  <c r="H90" i="36"/>
  <c r="D90" i="36"/>
  <c r="L90" i="36" s="1"/>
  <c r="N90" i="36" s="1"/>
  <c r="B90" i="36"/>
  <c r="Z89" i="36"/>
  <c r="X89" i="36"/>
  <c r="L89" i="36"/>
  <c r="N89" i="36" s="1"/>
  <c r="B89" i="36"/>
  <c r="X88" i="36"/>
  <c r="Z88" i="36" s="1"/>
  <c r="L88" i="36"/>
  <c r="N88" i="36" s="1"/>
  <c r="B88" i="36"/>
  <c r="X87" i="36"/>
  <c r="Z87" i="36" s="1"/>
  <c r="T87" i="36"/>
  <c r="P87" i="36"/>
  <c r="H87" i="36"/>
  <c r="D87" i="36"/>
  <c r="L87" i="36" s="1"/>
  <c r="N87" i="36" s="1"/>
  <c r="B87" i="36"/>
  <c r="Z86" i="36"/>
  <c r="X86" i="36"/>
  <c r="N86" i="36"/>
  <c r="L86" i="36"/>
  <c r="B86" i="36"/>
  <c r="X85" i="36"/>
  <c r="Z85" i="36" s="1"/>
  <c r="N85" i="36"/>
  <c r="L85" i="36"/>
  <c r="B85" i="36"/>
  <c r="X84" i="36"/>
  <c r="Z84" i="36" s="1"/>
  <c r="N84" i="36"/>
  <c r="L84" i="36"/>
  <c r="B84" i="36"/>
  <c r="X83" i="36"/>
  <c r="Z83" i="36" s="1"/>
  <c r="N83" i="36"/>
  <c r="L83" i="36"/>
  <c r="B83" i="36"/>
  <c r="Z82" i="36"/>
  <c r="T82" i="36"/>
  <c r="X82" i="36" s="1"/>
  <c r="P82" i="36"/>
  <c r="H82" i="36"/>
  <c r="N82" i="36" s="1"/>
  <c r="D82" i="36"/>
  <c r="L82" i="36" s="1"/>
  <c r="B82" i="36"/>
  <c r="Z81" i="36"/>
  <c r="X81" i="36"/>
  <c r="N81" i="36"/>
  <c r="L81" i="36"/>
  <c r="B81" i="36"/>
  <c r="T80" i="36"/>
  <c r="P80" i="36"/>
  <c r="X80" i="36" s="1"/>
  <c r="Z80" i="36" s="1"/>
  <c r="H80" i="36"/>
  <c r="D80" i="36"/>
  <c r="L80" i="36" s="1"/>
  <c r="N80" i="36" s="1"/>
  <c r="B80" i="36"/>
  <c r="X79" i="36"/>
  <c r="Z79" i="36" s="1"/>
  <c r="L79" i="36"/>
  <c r="N79" i="36" s="1"/>
  <c r="B79" i="36"/>
  <c r="X78" i="36"/>
  <c r="T78" i="36"/>
  <c r="Z78" i="36" s="1"/>
  <c r="P78" i="36"/>
  <c r="L78" i="36"/>
  <c r="H78" i="36"/>
  <c r="N78" i="36" s="1"/>
  <c r="D78" i="36"/>
  <c r="B78" i="36"/>
  <c r="X77" i="36"/>
  <c r="Z77" i="36" s="1"/>
  <c r="N77" i="36"/>
  <c r="L77" i="36"/>
  <c r="B77" i="36"/>
  <c r="T76" i="36"/>
  <c r="Z76" i="36" s="1"/>
  <c r="P76" i="36"/>
  <c r="X76" i="36" s="1"/>
  <c r="N76" i="36"/>
  <c r="H76" i="36"/>
  <c r="L76" i="36" s="1"/>
  <c r="D76" i="36"/>
  <c r="B76" i="36"/>
  <c r="Z75" i="36"/>
  <c r="X75" i="36"/>
  <c r="L75" i="36"/>
  <c r="N75" i="36" s="1"/>
  <c r="B75" i="36"/>
  <c r="T74" i="36"/>
  <c r="P74" i="36"/>
  <c r="X74" i="36" s="1"/>
  <c r="Z74" i="36" s="1"/>
  <c r="H74" i="36"/>
  <c r="D74" i="36"/>
  <c r="L74" i="36" s="1"/>
  <c r="N74" i="36" s="1"/>
  <c r="B74" i="36"/>
  <c r="Z73" i="36"/>
  <c r="X73" i="36"/>
  <c r="L73" i="36"/>
  <c r="N73" i="36" s="1"/>
  <c r="B73" i="36"/>
  <c r="X72" i="36"/>
  <c r="T72" i="36"/>
  <c r="Z72" i="36" s="1"/>
  <c r="P72" i="36"/>
  <c r="H72" i="36"/>
  <c r="N72" i="36" s="1"/>
  <c r="D72" i="36"/>
  <c r="L72" i="36" s="1"/>
  <c r="B72" i="36"/>
  <c r="X71" i="36"/>
  <c r="Z71" i="36" s="1"/>
  <c r="N71" i="36"/>
  <c r="L71" i="36"/>
  <c r="B71" i="36"/>
  <c r="Z70" i="36"/>
  <c r="X70" i="36"/>
  <c r="N70" i="36"/>
  <c r="L70" i="36"/>
  <c r="B70" i="36"/>
  <c r="T69" i="36"/>
  <c r="P69" i="36"/>
  <c r="L69" i="36"/>
  <c r="N69" i="36" s="1"/>
  <c r="H69" i="36"/>
  <c r="D69" i="36"/>
  <c r="B69" i="36"/>
  <c r="Z68" i="36"/>
  <c r="X68" i="36"/>
  <c r="N68" i="36"/>
  <c r="L68" i="36"/>
  <c r="B68" i="36"/>
  <c r="T67" i="36"/>
  <c r="Z67" i="36" s="1"/>
  <c r="P67" i="36"/>
  <c r="X67" i="36" s="1"/>
  <c r="H67" i="36"/>
  <c r="N67" i="36" s="1"/>
  <c r="D67" i="36"/>
  <c r="L67" i="36" s="1"/>
  <c r="B67" i="36"/>
  <c r="X66" i="36"/>
  <c r="Z66" i="36" s="1"/>
  <c r="N66" i="36"/>
  <c r="L66" i="36"/>
  <c r="B66" i="36"/>
  <c r="T65" i="36"/>
  <c r="P65" i="36"/>
  <c r="X65" i="36" s="1"/>
  <c r="Z65" i="36" s="1"/>
  <c r="L65" i="36"/>
  <c r="N65" i="36" s="1"/>
  <c r="H65" i="36"/>
  <c r="D65" i="36"/>
  <c r="B65" i="36"/>
  <c r="X64" i="36"/>
  <c r="Z64" i="36" s="1"/>
  <c r="N64" i="36"/>
  <c r="L64" i="36"/>
  <c r="B64" i="36"/>
  <c r="X63" i="36"/>
  <c r="Z63" i="36" s="1"/>
  <c r="T63" i="36"/>
  <c r="P63" i="36"/>
  <c r="H63" i="36"/>
  <c r="D63" i="36"/>
  <c r="B63" i="36"/>
  <c r="Z62" i="36"/>
  <c r="X62" i="36"/>
  <c r="L62" i="36"/>
  <c r="N62" i="36" s="1"/>
  <c r="B62" i="36"/>
  <c r="T61" i="36"/>
  <c r="P61" i="36"/>
  <c r="X61" i="36" s="1"/>
  <c r="H61" i="36"/>
  <c r="D61" i="36"/>
  <c r="L61" i="36" s="1"/>
  <c r="B61" i="36"/>
  <c r="X60" i="36"/>
  <c r="Z60" i="36" s="1"/>
  <c r="L60" i="36"/>
  <c r="N60" i="36" s="1"/>
  <c r="B60" i="36"/>
  <c r="X59" i="36"/>
  <c r="Z59" i="36" s="1"/>
  <c r="T59" i="36"/>
  <c r="P59" i="36"/>
  <c r="H59" i="36"/>
  <c r="D59" i="36"/>
  <c r="L59" i="36" s="1"/>
  <c r="N59" i="36" s="1"/>
  <c r="B59" i="36"/>
  <c r="Z58" i="36"/>
  <c r="X58" i="36"/>
  <c r="N58" i="36"/>
  <c r="L58" i="36"/>
  <c r="B58" i="36"/>
  <c r="X57" i="36"/>
  <c r="Z57" i="36" s="1"/>
  <c r="N57" i="36"/>
  <c r="L57" i="36"/>
  <c r="B57" i="36"/>
  <c r="X56" i="36"/>
  <c r="Z56" i="36" s="1"/>
  <c r="N56" i="36"/>
  <c r="L56" i="36"/>
  <c r="B56" i="36"/>
  <c r="X55" i="36"/>
  <c r="Z55" i="36" s="1"/>
  <c r="T55" i="36"/>
  <c r="P55" i="36"/>
  <c r="H55" i="36"/>
  <c r="D55" i="36"/>
  <c r="B55" i="36"/>
  <c r="Z54" i="36"/>
  <c r="X54" i="36"/>
  <c r="L54" i="36"/>
  <c r="N54" i="36" s="1"/>
  <c r="B54" i="36"/>
  <c r="T53" i="36"/>
  <c r="X53" i="36" s="1"/>
  <c r="P53" i="36"/>
  <c r="H53" i="36"/>
  <c r="N53" i="36" s="1"/>
  <c r="D53" i="36"/>
  <c r="L53" i="36" s="1"/>
  <c r="B53" i="36"/>
  <c r="X52" i="36"/>
  <c r="Z52" i="36" s="1"/>
  <c r="L52" i="36"/>
  <c r="N52" i="36" s="1"/>
  <c r="B52" i="36"/>
  <c r="X51" i="36"/>
  <c r="Z51" i="36" s="1"/>
  <c r="T51" i="36"/>
  <c r="P51" i="36"/>
  <c r="H51" i="36"/>
  <c r="D51" i="36"/>
  <c r="L51" i="36" s="1"/>
  <c r="N51" i="36" s="1"/>
  <c r="B51" i="36"/>
  <c r="Z50" i="36"/>
  <c r="X50" i="36"/>
  <c r="N50" i="36"/>
  <c r="L50" i="36"/>
  <c r="B50" i="36"/>
  <c r="T49" i="36"/>
  <c r="P49" i="36"/>
  <c r="L49" i="36"/>
  <c r="N49" i="36" s="1"/>
  <c r="H49" i="36"/>
  <c r="D49" i="36"/>
  <c r="B49" i="36"/>
  <c r="Z48" i="36"/>
  <c r="X48" i="36"/>
  <c r="L48" i="36"/>
  <c r="N48" i="36" s="1"/>
  <c r="B48" i="36"/>
  <c r="X47" i="36"/>
  <c r="Z47" i="36" s="1"/>
  <c r="L47" i="36"/>
  <c r="N47" i="36" s="1"/>
  <c r="B47" i="36"/>
  <c r="Z46" i="36"/>
  <c r="X46" i="36"/>
  <c r="L46" i="36"/>
  <c r="N46" i="36" s="1"/>
  <c r="B46" i="36"/>
  <c r="Z45" i="36"/>
  <c r="X45" i="36"/>
  <c r="N45" i="36"/>
  <c r="L45" i="36"/>
  <c r="B45" i="36"/>
  <c r="Z44" i="36"/>
  <c r="X44" i="36"/>
  <c r="L44" i="36"/>
  <c r="N44" i="36" s="1"/>
  <c r="B44" i="36"/>
  <c r="X43" i="36"/>
  <c r="Z43" i="36" s="1"/>
  <c r="L43" i="36"/>
  <c r="N43" i="36" s="1"/>
  <c r="B43" i="36"/>
  <c r="Z42" i="36"/>
  <c r="X42" i="36"/>
  <c r="L42" i="36"/>
  <c r="N42" i="36" s="1"/>
  <c r="B42" i="36"/>
  <c r="T41" i="36"/>
  <c r="P41" i="36"/>
  <c r="X41" i="36" s="1"/>
  <c r="H41" i="36"/>
  <c r="N41" i="36" s="1"/>
  <c r="D41" i="36"/>
  <c r="L41" i="36" s="1"/>
  <c r="B41" i="36"/>
  <c r="X40" i="36"/>
  <c r="Z40" i="36" s="1"/>
  <c r="N40" i="36"/>
  <c r="L40" i="36"/>
  <c r="B40" i="36"/>
  <c r="X39" i="36"/>
  <c r="Z39" i="36" s="1"/>
  <c r="L39" i="36"/>
  <c r="N39" i="36" s="1"/>
  <c r="B39" i="36"/>
  <c r="X38" i="36"/>
  <c r="Z38" i="36" s="1"/>
  <c r="N38" i="36"/>
  <c r="L38" i="36"/>
  <c r="B38" i="36"/>
  <c r="Z37" i="36"/>
  <c r="X37" i="36"/>
  <c r="L37" i="36"/>
  <c r="N37" i="36" s="1"/>
  <c r="B37" i="36"/>
  <c r="X36" i="36"/>
  <c r="Z36" i="36" s="1"/>
  <c r="L36" i="36"/>
  <c r="N36" i="36" s="1"/>
  <c r="B36" i="36"/>
  <c r="X35" i="36"/>
  <c r="Z35" i="36" s="1"/>
  <c r="L35" i="36"/>
  <c r="N35" i="36" s="1"/>
  <c r="B35" i="36"/>
  <c r="X34" i="36"/>
  <c r="Z34" i="36" s="1"/>
  <c r="N34" i="36"/>
  <c r="L34" i="36"/>
  <c r="B34" i="36"/>
  <c r="Z33" i="36"/>
  <c r="X33" i="36"/>
  <c r="L33" i="36"/>
  <c r="N33" i="36" s="1"/>
  <c r="B33" i="36"/>
  <c r="X32" i="36"/>
  <c r="Z32" i="36" s="1"/>
  <c r="L32" i="36"/>
  <c r="N32" i="36" s="1"/>
  <c r="B32" i="36"/>
  <c r="T31" i="36"/>
  <c r="P31" i="36"/>
  <c r="X31" i="36" s="1"/>
  <c r="Z31" i="36" s="1"/>
  <c r="H31" i="36"/>
  <c r="N31" i="36" s="1"/>
  <c r="D31" i="36"/>
  <c r="L31" i="36" s="1"/>
  <c r="B31" i="36"/>
  <c r="T30" i="36"/>
  <c r="P30" i="36"/>
  <c r="H30" i="36"/>
  <c r="D30" i="36"/>
  <c r="L30" i="36" s="1"/>
  <c r="Z26" i="36"/>
  <c r="X26" i="36"/>
  <c r="N26" i="36"/>
  <c r="L26" i="36"/>
  <c r="B26" i="36"/>
  <c r="X25" i="36"/>
  <c r="Z25" i="36" s="1"/>
  <c r="N25" i="36"/>
  <c r="L25" i="36"/>
  <c r="B25" i="36"/>
  <c r="T24" i="36"/>
  <c r="P24" i="36"/>
  <c r="X24" i="36" s="1"/>
  <c r="N24" i="36"/>
  <c r="H24" i="36"/>
  <c r="D24" i="36"/>
  <c r="L24" i="36" s="1"/>
  <c r="T22" i="36"/>
  <c r="Z22" i="36" s="1"/>
  <c r="P22" i="36"/>
  <c r="X22" i="36" s="1"/>
  <c r="H22" i="36"/>
  <c r="D22" i="36"/>
  <c r="B22" i="36"/>
  <c r="X21" i="36"/>
  <c r="Z21" i="36" s="1"/>
  <c r="T21" i="36"/>
  <c r="P21" i="36"/>
  <c r="H21" i="36"/>
  <c r="D21" i="36"/>
  <c r="L21" i="36" s="1"/>
  <c r="B21" i="36"/>
  <c r="Z20" i="36"/>
  <c r="T20" i="36"/>
  <c r="P20" i="36"/>
  <c r="X20" i="36" s="1"/>
  <c r="N20" i="36"/>
  <c r="L20" i="36"/>
  <c r="H20" i="36"/>
  <c r="D20" i="36"/>
  <c r="B20" i="36"/>
  <c r="T19" i="36"/>
  <c r="P19" i="36"/>
  <c r="X19" i="36" s="1"/>
  <c r="Z19" i="36" s="1"/>
  <c r="H19" i="36"/>
  <c r="N19" i="36" s="1"/>
  <c r="D19" i="36"/>
  <c r="L19" i="36" s="1"/>
  <c r="B19" i="36"/>
  <c r="T18" i="36"/>
  <c r="Z18" i="36" s="1"/>
  <c r="P18" i="36"/>
  <c r="X18" i="36" s="1"/>
  <c r="H18" i="36"/>
  <c r="D18" i="36"/>
  <c r="B18" i="36"/>
  <c r="X17" i="36"/>
  <c r="Z17" i="36" s="1"/>
  <c r="T17" i="36"/>
  <c r="P17" i="36"/>
  <c r="H17" i="36"/>
  <c r="D17" i="36"/>
  <c r="L17" i="36" s="1"/>
  <c r="B17" i="36"/>
  <c r="Z16" i="36"/>
  <c r="T16" i="36"/>
  <c r="P16" i="36"/>
  <c r="X16" i="36" s="1"/>
  <c r="N16" i="36"/>
  <c r="L16" i="36"/>
  <c r="H16" i="36"/>
  <c r="D16" i="36"/>
  <c r="B16" i="36"/>
  <c r="T15" i="36"/>
  <c r="P15" i="36"/>
  <c r="X15" i="36" s="1"/>
  <c r="Z15" i="36" s="1"/>
  <c r="H15" i="36"/>
  <c r="N15" i="36" s="1"/>
  <c r="D15" i="36"/>
  <c r="L15" i="36" s="1"/>
  <c r="B15" i="36"/>
  <c r="T14" i="36"/>
  <c r="P14" i="36"/>
  <c r="H14" i="36"/>
  <c r="D14" i="36"/>
  <c r="B14" i="36"/>
  <c r="X13" i="36"/>
  <c r="Z13" i="36" s="1"/>
  <c r="T13" i="36"/>
  <c r="T12" i="36" s="1"/>
  <c r="V48" i="36" s="1"/>
  <c r="P13" i="36"/>
  <c r="H13" i="36"/>
  <c r="H12" i="36" s="1"/>
  <c r="D13" i="36"/>
  <c r="D12" i="36" s="1"/>
  <c r="B13" i="36"/>
  <c r="D4" i="36"/>
  <c r="X100" i="33"/>
  <c r="Z100" i="33" s="1"/>
  <c r="L100" i="33"/>
  <c r="N100" i="33" s="1"/>
  <c r="T96" i="33"/>
  <c r="P96" i="33"/>
  <c r="X96" i="33" s="1"/>
  <c r="H96" i="33"/>
  <c r="D96" i="33"/>
  <c r="B96" i="33"/>
  <c r="X95" i="33"/>
  <c r="T95" i="33"/>
  <c r="Z95" i="33" s="1"/>
  <c r="P95" i="33"/>
  <c r="L95" i="33"/>
  <c r="H95" i="33"/>
  <c r="N95" i="33" s="1"/>
  <c r="D95" i="33"/>
  <c r="B95" i="33"/>
  <c r="T94" i="33"/>
  <c r="P94" i="33"/>
  <c r="L94" i="33"/>
  <c r="N94" i="33" s="1"/>
  <c r="H94" i="33"/>
  <c r="D94" i="33"/>
  <c r="B94" i="33"/>
  <c r="T93" i="33"/>
  <c r="P93" i="33"/>
  <c r="X93" i="33" s="1"/>
  <c r="Z93" i="33" s="1"/>
  <c r="H93" i="33"/>
  <c r="D93" i="33"/>
  <c r="L93" i="33" s="1"/>
  <c r="N93" i="33" s="1"/>
  <c r="B93" i="33"/>
  <c r="T92" i="33"/>
  <c r="P92" i="33"/>
  <c r="X92" i="33" s="1"/>
  <c r="Z92" i="33" s="1"/>
  <c r="N92" i="33"/>
  <c r="H92" i="33"/>
  <c r="D92" i="33"/>
  <c r="L92" i="33" s="1"/>
  <c r="B92" i="33"/>
  <c r="T91" i="33"/>
  <c r="P91" i="33"/>
  <c r="H91" i="33"/>
  <c r="N91" i="33" s="1"/>
  <c r="D91" i="33"/>
  <c r="L91" i="33" s="1"/>
  <c r="B91" i="33"/>
  <c r="T90" i="33"/>
  <c r="D90" i="33"/>
  <c r="Z88" i="33"/>
  <c r="X88" i="33"/>
  <c r="N88" i="33"/>
  <c r="L88" i="33"/>
  <c r="B88" i="33"/>
  <c r="Z87" i="33"/>
  <c r="T87" i="33"/>
  <c r="P87" i="33"/>
  <c r="X87" i="33" s="1"/>
  <c r="N87" i="33"/>
  <c r="H87" i="33"/>
  <c r="D87" i="33"/>
  <c r="L87" i="33" s="1"/>
  <c r="B87" i="33"/>
  <c r="X86" i="33"/>
  <c r="Z86" i="33" s="1"/>
  <c r="N86" i="33"/>
  <c r="L86" i="33"/>
  <c r="B86" i="33"/>
  <c r="X85" i="33"/>
  <c r="T85" i="33"/>
  <c r="Z85" i="33" s="1"/>
  <c r="P85" i="33"/>
  <c r="L85" i="33"/>
  <c r="H85" i="33"/>
  <c r="N85" i="33" s="1"/>
  <c r="D85" i="33"/>
  <c r="B85" i="33"/>
  <c r="X84" i="33"/>
  <c r="Z84" i="33" s="1"/>
  <c r="N84" i="33"/>
  <c r="L84" i="33"/>
  <c r="B84" i="33"/>
  <c r="T83" i="33"/>
  <c r="P83" i="33"/>
  <c r="X83" i="33" s="1"/>
  <c r="N83" i="33"/>
  <c r="H83" i="33"/>
  <c r="D83" i="33"/>
  <c r="L83" i="33" s="1"/>
  <c r="B83" i="33"/>
  <c r="Z82" i="33"/>
  <c r="X82" i="33"/>
  <c r="L82" i="33"/>
  <c r="N82" i="33" s="1"/>
  <c r="B82" i="33"/>
  <c r="Z81" i="33"/>
  <c r="X81" i="33"/>
  <c r="L81" i="33"/>
  <c r="N81" i="33" s="1"/>
  <c r="B81" i="33"/>
  <c r="Z80" i="33"/>
  <c r="X80" i="33"/>
  <c r="N80" i="33"/>
  <c r="L80" i="33"/>
  <c r="B80" i="33"/>
  <c r="Z79" i="33"/>
  <c r="X79" i="33"/>
  <c r="L79" i="33"/>
  <c r="N79" i="33" s="1"/>
  <c r="B79" i="33"/>
  <c r="Z78" i="33"/>
  <c r="X78" i="33"/>
  <c r="N78" i="33"/>
  <c r="L78" i="33"/>
  <c r="B78" i="33"/>
  <c r="Z77" i="33"/>
  <c r="X77" i="33"/>
  <c r="N77" i="33"/>
  <c r="L77" i="33"/>
  <c r="B77" i="33"/>
  <c r="T76" i="33"/>
  <c r="P76" i="33"/>
  <c r="X76" i="33" s="1"/>
  <c r="H76" i="33"/>
  <c r="N76" i="33" s="1"/>
  <c r="D76" i="33"/>
  <c r="L76" i="33" s="1"/>
  <c r="B76" i="33"/>
  <c r="X75" i="33"/>
  <c r="Z75" i="33" s="1"/>
  <c r="L75" i="33"/>
  <c r="N75" i="33" s="1"/>
  <c r="B75" i="33"/>
  <c r="T74" i="33"/>
  <c r="P74" i="33"/>
  <c r="X74" i="33" s="1"/>
  <c r="Z74" i="33" s="1"/>
  <c r="H74" i="33"/>
  <c r="D74" i="33"/>
  <c r="L74" i="33" s="1"/>
  <c r="N74" i="33" s="1"/>
  <c r="B74" i="33"/>
  <c r="Z73" i="33"/>
  <c r="X73" i="33"/>
  <c r="N73" i="33"/>
  <c r="L73" i="33"/>
  <c r="B73" i="33"/>
  <c r="X72" i="33"/>
  <c r="Z72" i="33" s="1"/>
  <c r="N72" i="33"/>
  <c r="L72" i="33"/>
  <c r="B72" i="33"/>
  <c r="Z71" i="33"/>
  <c r="X71" i="33"/>
  <c r="N71" i="33"/>
  <c r="L71" i="33"/>
  <c r="B71" i="33"/>
  <c r="X70" i="33"/>
  <c r="Z70" i="33" s="1"/>
  <c r="T70" i="33"/>
  <c r="P70" i="33"/>
  <c r="H70" i="33"/>
  <c r="D70" i="33"/>
  <c r="B70" i="33"/>
  <c r="Z69" i="33"/>
  <c r="X69" i="33"/>
  <c r="L69" i="33"/>
  <c r="N69" i="33" s="1"/>
  <c r="B69" i="33"/>
  <c r="T68" i="33"/>
  <c r="P68" i="33"/>
  <c r="H68" i="33"/>
  <c r="D68" i="33"/>
  <c r="L68" i="33" s="1"/>
  <c r="B68" i="33"/>
  <c r="X67" i="33"/>
  <c r="Z67" i="33" s="1"/>
  <c r="N67" i="33"/>
  <c r="L67" i="33"/>
  <c r="B67" i="33"/>
  <c r="T66" i="33"/>
  <c r="P66" i="33"/>
  <c r="X66" i="33" s="1"/>
  <c r="Z66" i="33" s="1"/>
  <c r="N66" i="33"/>
  <c r="H66" i="33"/>
  <c r="D66" i="33"/>
  <c r="L66" i="33" s="1"/>
  <c r="B66" i="33"/>
  <c r="Z65" i="33"/>
  <c r="X65" i="33"/>
  <c r="N65" i="33"/>
  <c r="L65" i="33"/>
  <c r="B65" i="33"/>
  <c r="X64" i="33"/>
  <c r="Z64" i="33" s="1"/>
  <c r="N64" i="33"/>
  <c r="L64" i="33"/>
  <c r="B64" i="33"/>
  <c r="T63" i="33"/>
  <c r="P63" i="33"/>
  <c r="X63" i="33" s="1"/>
  <c r="H63" i="33"/>
  <c r="D63" i="33"/>
  <c r="L63" i="33" s="1"/>
  <c r="N63" i="33" s="1"/>
  <c r="B63" i="33"/>
  <c r="X62" i="33"/>
  <c r="Z62" i="33" s="1"/>
  <c r="L62" i="33"/>
  <c r="N62" i="33" s="1"/>
  <c r="B62" i="33"/>
  <c r="T61" i="33"/>
  <c r="P61" i="33"/>
  <c r="X61" i="33" s="1"/>
  <c r="Z61" i="33" s="1"/>
  <c r="H61" i="33"/>
  <c r="D61" i="33"/>
  <c r="L61" i="33" s="1"/>
  <c r="N61" i="33" s="1"/>
  <c r="B61" i="33"/>
  <c r="Z60" i="33"/>
  <c r="X60" i="33"/>
  <c r="L60" i="33"/>
  <c r="N60" i="33" s="1"/>
  <c r="B60" i="33"/>
  <c r="X59" i="33"/>
  <c r="T59" i="33"/>
  <c r="Z59" i="33" s="1"/>
  <c r="P59" i="33"/>
  <c r="L59" i="33"/>
  <c r="H59" i="33"/>
  <c r="N59" i="33" s="1"/>
  <c r="D59" i="33"/>
  <c r="B59" i="33"/>
  <c r="X58" i="33"/>
  <c r="Z58" i="33" s="1"/>
  <c r="L58" i="33"/>
  <c r="N58" i="33" s="1"/>
  <c r="F58" i="33"/>
  <c r="B58" i="33"/>
  <c r="T57" i="33"/>
  <c r="P57" i="33"/>
  <c r="X57" i="33" s="1"/>
  <c r="Z57" i="33" s="1"/>
  <c r="H57" i="33"/>
  <c r="N57" i="33" s="1"/>
  <c r="D57" i="33"/>
  <c r="L57" i="33" s="1"/>
  <c r="B57" i="33"/>
  <c r="Z56" i="33"/>
  <c r="X56" i="33"/>
  <c r="N56" i="33"/>
  <c r="L56" i="33"/>
  <c r="B56" i="33"/>
  <c r="Z55" i="33"/>
  <c r="T55" i="33"/>
  <c r="P55" i="33"/>
  <c r="X55" i="33" s="1"/>
  <c r="H55" i="33"/>
  <c r="D55" i="33"/>
  <c r="L55" i="33" s="1"/>
  <c r="N55" i="33" s="1"/>
  <c r="B55" i="33"/>
  <c r="X54" i="33"/>
  <c r="Z54" i="33" s="1"/>
  <c r="L54" i="33"/>
  <c r="N54" i="33" s="1"/>
  <c r="B54" i="33"/>
  <c r="X53" i="33"/>
  <c r="Z53" i="33" s="1"/>
  <c r="N53" i="33"/>
  <c r="L53" i="33"/>
  <c r="B53" i="33"/>
  <c r="Z52" i="33"/>
  <c r="X52" i="33"/>
  <c r="L52" i="33"/>
  <c r="N52" i="33" s="1"/>
  <c r="B52" i="33"/>
  <c r="X51" i="33"/>
  <c r="Z51" i="33" s="1"/>
  <c r="L51" i="33"/>
  <c r="N51" i="33" s="1"/>
  <c r="B51" i="33"/>
  <c r="T50" i="33"/>
  <c r="P50" i="33"/>
  <c r="X50" i="33" s="1"/>
  <c r="Z50" i="33" s="1"/>
  <c r="H50" i="33"/>
  <c r="D50" i="33"/>
  <c r="L50" i="33" s="1"/>
  <c r="N50" i="33" s="1"/>
  <c r="B50" i="33"/>
  <c r="Z49" i="33"/>
  <c r="X49" i="33"/>
  <c r="N49" i="33"/>
  <c r="L49" i="33"/>
  <c r="B49" i="33"/>
  <c r="Z48" i="33"/>
  <c r="X48" i="33"/>
  <c r="N48" i="33"/>
  <c r="L48" i="33"/>
  <c r="B48" i="33"/>
  <c r="X47" i="33"/>
  <c r="Z47" i="33" s="1"/>
  <c r="N47" i="33"/>
  <c r="L47" i="33"/>
  <c r="B47" i="33"/>
  <c r="X46" i="33"/>
  <c r="Z46" i="33" s="1"/>
  <c r="L46" i="33"/>
  <c r="N46" i="33" s="1"/>
  <c r="B46" i="33"/>
  <c r="Z45" i="33"/>
  <c r="X45" i="33"/>
  <c r="N45" i="33"/>
  <c r="L45" i="33"/>
  <c r="B45" i="33"/>
  <c r="X44" i="33"/>
  <c r="Z44" i="33" s="1"/>
  <c r="N44" i="33"/>
  <c r="L44" i="33"/>
  <c r="B44" i="33"/>
  <c r="X43" i="33"/>
  <c r="Z43" i="33" s="1"/>
  <c r="N43" i="33"/>
  <c r="L43" i="33"/>
  <c r="B43" i="33"/>
  <c r="X42" i="33"/>
  <c r="Z42" i="33" s="1"/>
  <c r="L42" i="33"/>
  <c r="N42" i="33" s="1"/>
  <c r="B42" i="33"/>
  <c r="T41" i="33"/>
  <c r="P41" i="33"/>
  <c r="X41" i="33" s="1"/>
  <c r="Z41" i="33" s="1"/>
  <c r="H41" i="33"/>
  <c r="D41" i="33"/>
  <c r="B41" i="33"/>
  <c r="T40" i="33"/>
  <c r="P40" i="33"/>
  <c r="H40" i="33"/>
  <c r="D40" i="33"/>
  <c r="L40" i="33" s="1"/>
  <c r="D38" i="33"/>
  <c r="Z36" i="33"/>
  <c r="X36" i="33"/>
  <c r="N36" i="33"/>
  <c r="L36" i="33"/>
  <c r="B36" i="33"/>
  <c r="Z35" i="33"/>
  <c r="X35" i="33"/>
  <c r="L35" i="33"/>
  <c r="N35" i="33" s="1"/>
  <c r="B35" i="33"/>
  <c r="X34" i="33"/>
  <c r="Z34" i="33" s="1"/>
  <c r="L34" i="33"/>
  <c r="N34" i="33" s="1"/>
  <c r="B34" i="33"/>
  <c r="Z33" i="33"/>
  <c r="X33" i="33"/>
  <c r="N33" i="33"/>
  <c r="L33" i="33"/>
  <c r="B33" i="33"/>
  <c r="Z32" i="33"/>
  <c r="X32" i="33"/>
  <c r="N32" i="33"/>
  <c r="L32" i="33"/>
  <c r="B32" i="33"/>
  <c r="T31" i="33"/>
  <c r="P31" i="33"/>
  <c r="X31" i="33" s="1"/>
  <c r="Z31" i="33" s="1"/>
  <c r="H31" i="33"/>
  <c r="D31" i="33"/>
  <c r="L31" i="33" s="1"/>
  <c r="N31" i="33" s="1"/>
  <c r="T29" i="33"/>
  <c r="X29" i="33" s="1"/>
  <c r="P29" i="33"/>
  <c r="H29" i="33"/>
  <c r="D29" i="33"/>
  <c r="B29" i="33"/>
  <c r="T28" i="33"/>
  <c r="P28" i="33"/>
  <c r="X28" i="33" s="1"/>
  <c r="L28" i="33"/>
  <c r="N28" i="33" s="1"/>
  <c r="H28" i="33"/>
  <c r="D28" i="33"/>
  <c r="B28" i="33"/>
  <c r="Z27" i="33"/>
  <c r="X27" i="33"/>
  <c r="T27" i="33"/>
  <c r="P27" i="33"/>
  <c r="H27" i="33"/>
  <c r="N27" i="33" s="1"/>
  <c r="D27" i="33"/>
  <c r="B27" i="33"/>
  <c r="T26" i="33"/>
  <c r="P26" i="33"/>
  <c r="X26" i="33" s="1"/>
  <c r="N26" i="33"/>
  <c r="L26" i="33"/>
  <c r="H26" i="33"/>
  <c r="D26" i="33"/>
  <c r="B26" i="33"/>
  <c r="Z25" i="33"/>
  <c r="T25" i="33"/>
  <c r="X25" i="33" s="1"/>
  <c r="P25" i="33"/>
  <c r="H25" i="33"/>
  <c r="D25" i="33"/>
  <c r="B25" i="33"/>
  <c r="T24" i="33"/>
  <c r="P24" i="33"/>
  <c r="X24" i="33" s="1"/>
  <c r="L24" i="33"/>
  <c r="N24" i="33" s="1"/>
  <c r="H24" i="33"/>
  <c r="D24" i="33"/>
  <c r="B24" i="33"/>
  <c r="Z23" i="33"/>
  <c r="T23" i="33"/>
  <c r="X23" i="33" s="1"/>
  <c r="P23" i="33"/>
  <c r="H23" i="33"/>
  <c r="D23" i="33"/>
  <c r="B23" i="33"/>
  <c r="T22" i="33"/>
  <c r="P22" i="33"/>
  <c r="X22" i="33" s="1"/>
  <c r="L22" i="33"/>
  <c r="N22" i="33" s="1"/>
  <c r="H22" i="33"/>
  <c r="D22" i="33"/>
  <c r="B22" i="33"/>
  <c r="T21" i="33"/>
  <c r="X21" i="33" s="1"/>
  <c r="P21" i="33"/>
  <c r="H21" i="33"/>
  <c r="D21" i="33"/>
  <c r="B21" i="33"/>
  <c r="T20" i="33"/>
  <c r="P20" i="33"/>
  <c r="L20" i="33"/>
  <c r="N20" i="33" s="1"/>
  <c r="H20" i="33"/>
  <c r="D20" i="33"/>
  <c r="B20" i="33"/>
  <c r="Z19" i="33"/>
  <c r="T19" i="33"/>
  <c r="X19" i="33" s="1"/>
  <c r="P19" i="33"/>
  <c r="H19" i="33"/>
  <c r="D19" i="33"/>
  <c r="B19" i="33"/>
  <c r="T18" i="33"/>
  <c r="P18" i="33"/>
  <c r="X18" i="33" s="1"/>
  <c r="N18" i="33"/>
  <c r="L18" i="33"/>
  <c r="H18" i="33"/>
  <c r="D18" i="33"/>
  <c r="B18" i="33"/>
  <c r="T17" i="33"/>
  <c r="X17" i="33" s="1"/>
  <c r="P17" i="33"/>
  <c r="H17" i="33"/>
  <c r="D17" i="33"/>
  <c r="B17" i="33"/>
  <c r="T16" i="33"/>
  <c r="P16" i="33"/>
  <c r="X16" i="33" s="1"/>
  <c r="L16" i="33"/>
  <c r="N16" i="33" s="1"/>
  <c r="H16" i="33"/>
  <c r="D16" i="33"/>
  <c r="B16" i="33"/>
  <c r="T15" i="33"/>
  <c r="X15" i="33" s="1"/>
  <c r="Z15" i="33" s="1"/>
  <c r="P15" i="33"/>
  <c r="L15" i="33"/>
  <c r="H15" i="33"/>
  <c r="D15" i="33"/>
  <c r="B15" i="33"/>
  <c r="T14" i="33"/>
  <c r="P14" i="33"/>
  <c r="L14" i="33"/>
  <c r="N14" i="33" s="1"/>
  <c r="H14" i="33"/>
  <c r="D14" i="33"/>
  <c r="B14" i="33"/>
  <c r="T13" i="33"/>
  <c r="P13" i="33"/>
  <c r="H13" i="33"/>
  <c r="L13" i="33" s="1"/>
  <c r="D13" i="33"/>
  <c r="D12" i="33" s="1"/>
  <c r="F59" i="33" s="1"/>
  <c r="B13" i="33"/>
  <c r="D4" i="33"/>
  <c r="Z164" i="30"/>
  <c r="X164" i="30"/>
  <c r="N164" i="30"/>
  <c r="L164" i="30"/>
  <c r="T160" i="30"/>
  <c r="P160" i="30"/>
  <c r="L160" i="30"/>
  <c r="H160" i="30"/>
  <c r="N160" i="30" s="1"/>
  <c r="D160" i="30"/>
  <c r="B160" i="30"/>
  <c r="T159" i="30"/>
  <c r="P159" i="30"/>
  <c r="N159" i="30"/>
  <c r="L159" i="30"/>
  <c r="H159" i="30"/>
  <c r="D159" i="30"/>
  <c r="B159" i="30"/>
  <c r="P158" i="30"/>
  <c r="N158" i="30"/>
  <c r="H158" i="30"/>
  <c r="D158" i="30"/>
  <c r="L158" i="30" s="1"/>
  <c r="X156" i="30"/>
  <c r="Z156" i="30" s="1"/>
  <c r="L156" i="30"/>
  <c r="N156" i="30" s="1"/>
  <c r="B156" i="30"/>
  <c r="T155" i="30"/>
  <c r="Z155" i="30" s="1"/>
  <c r="P155" i="30"/>
  <c r="X155" i="30" s="1"/>
  <c r="H155" i="30"/>
  <c r="N155" i="30" s="1"/>
  <c r="D155" i="30"/>
  <c r="L155" i="30" s="1"/>
  <c r="B155" i="30"/>
  <c r="X154" i="30"/>
  <c r="Z154" i="30" s="1"/>
  <c r="N154" i="30"/>
  <c r="L154" i="30"/>
  <c r="B154" i="30"/>
  <c r="X153" i="30"/>
  <c r="Z153" i="30" s="1"/>
  <c r="N153" i="30"/>
  <c r="L153" i="30"/>
  <c r="B153" i="30"/>
  <c r="X152" i="30"/>
  <c r="T152" i="30"/>
  <c r="Z152" i="30" s="1"/>
  <c r="P152" i="30"/>
  <c r="H152" i="30"/>
  <c r="D152" i="30"/>
  <c r="B152" i="30"/>
  <c r="X151" i="30"/>
  <c r="Z151" i="30" s="1"/>
  <c r="N151" i="30"/>
  <c r="L151" i="30"/>
  <c r="B151" i="30"/>
  <c r="Z150" i="30"/>
  <c r="T150" i="30"/>
  <c r="P150" i="30"/>
  <c r="X150" i="30" s="1"/>
  <c r="H150" i="30"/>
  <c r="N150" i="30" s="1"/>
  <c r="D150" i="30"/>
  <c r="L150" i="30" s="1"/>
  <c r="B150" i="30"/>
  <c r="Z149" i="30"/>
  <c r="X149" i="30"/>
  <c r="L149" i="30"/>
  <c r="N149" i="30" s="1"/>
  <c r="B149" i="30"/>
  <c r="X148" i="30"/>
  <c r="Z148" i="30" s="1"/>
  <c r="T148" i="30"/>
  <c r="P148" i="30"/>
  <c r="H148" i="30"/>
  <c r="D148" i="30"/>
  <c r="L148" i="30" s="1"/>
  <c r="N148" i="30" s="1"/>
  <c r="B148" i="30"/>
  <c r="Z147" i="30"/>
  <c r="X147" i="30"/>
  <c r="L147" i="30"/>
  <c r="N147" i="30" s="1"/>
  <c r="B147" i="30"/>
  <c r="X146" i="30"/>
  <c r="Z146" i="30" s="1"/>
  <c r="N146" i="30"/>
  <c r="L146" i="30"/>
  <c r="B146" i="30"/>
  <c r="X145" i="30"/>
  <c r="Z145" i="30" s="1"/>
  <c r="L145" i="30"/>
  <c r="N145" i="30" s="1"/>
  <c r="B145" i="30"/>
  <c r="X144" i="30"/>
  <c r="Z144" i="30" s="1"/>
  <c r="N144" i="30"/>
  <c r="L144" i="30"/>
  <c r="B144" i="30"/>
  <c r="Z143" i="30"/>
  <c r="X143" i="30"/>
  <c r="N143" i="30"/>
  <c r="L143" i="30"/>
  <c r="B143" i="30"/>
  <c r="X142" i="30"/>
  <c r="Z142" i="30" s="1"/>
  <c r="N142" i="30"/>
  <c r="L142" i="30"/>
  <c r="B142" i="30"/>
  <c r="T141" i="30"/>
  <c r="Z141" i="30" s="1"/>
  <c r="P141" i="30"/>
  <c r="X141" i="30" s="1"/>
  <c r="N141" i="30"/>
  <c r="L141" i="30"/>
  <c r="H141" i="30"/>
  <c r="D141" i="30"/>
  <c r="B141" i="30"/>
  <c r="X140" i="30"/>
  <c r="Z140" i="30" s="1"/>
  <c r="L140" i="30"/>
  <c r="N140" i="30" s="1"/>
  <c r="B140" i="30"/>
  <c r="Z139" i="30"/>
  <c r="X139" i="30"/>
  <c r="N139" i="30"/>
  <c r="L139" i="30"/>
  <c r="B139" i="30"/>
  <c r="T138" i="30"/>
  <c r="P138" i="30"/>
  <c r="X138" i="30" s="1"/>
  <c r="Z138" i="30" s="1"/>
  <c r="H138" i="30"/>
  <c r="D138" i="30"/>
  <c r="L138" i="30" s="1"/>
  <c r="B138" i="30"/>
  <c r="Z137" i="30"/>
  <c r="X137" i="30"/>
  <c r="L137" i="30"/>
  <c r="N137" i="30" s="1"/>
  <c r="B137" i="30"/>
  <c r="X136" i="30"/>
  <c r="Z136" i="30" s="1"/>
  <c r="L136" i="30"/>
  <c r="N136" i="30" s="1"/>
  <c r="B136" i="30"/>
  <c r="Z135" i="30"/>
  <c r="X135" i="30"/>
  <c r="N135" i="30"/>
  <c r="L135" i="30"/>
  <c r="B135" i="30"/>
  <c r="T134" i="30"/>
  <c r="P134" i="30"/>
  <c r="X134" i="30" s="1"/>
  <c r="Z134" i="30" s="1"/>
  <c r="L134" i="30"/>
  <c r="N134" i="30" s="1"/>
  <c r="H134" i="30"/>
  <c r="D134" i="30"/>
  <c r="B134" i="30"/>
  <c r="X133" i="30"/>
  <c r="Z133" i="30" s="1"/>
  <c r="L133" i="30"/>
  <c r="N133" i="30" s="1"/>
  <c r="B133" i="30"/>
  <c r="X132" i="30"/>
  <c r="Z132" i="30" s="1"/>
  <c r="N132" i="30"/>
  <c r="L132" i="30"/>
  <c r="B132" i="30"/>
  <c r="Z131" i="30"/>
  <c r="X131" i="30"/>
  <c r="T131" i="30"/>
  <c r="P131" i="30"/>
  <c r="H131" i="30"/>
  <c r="D131" i="30"/>
  <c r="L131" i="30" s="1"/>
  <c r="B131" i="30"/>
  <c r="Z130" i="30"/>
  <c r="X130" i="30"/>
  <c r="N130" i="30"/>
  <c r="L130" i="30"/>
  <c r="B130" i="30"/>
  <c r="X129" i="30"/>
  <c r="Z129" i="30" s="1"/>
  <c r="N129" i="30"/>
  <c r="L129" i="30"/>
  <c r="B129" i="30"/>
  <c r="T128" i="30"/>
  <c r="P128" i="30"/>
  <c r="X128" i="30" s="1"/>
  <c r="N128" i="30"/>
  <c r="H128" i="30"/>
  <c r="L128" i="30" s="1"/>
  <c r="D128" i="30"/>
  <c r="B128" i="30"/>
  <c r="Z127" i="30"/>
  <c r="X127" i="30"/>
  <c r="L127" i="30"/>
  <c r="N127" i="30" s="1"/>
  <c r="B127" i="30"/>
  <c r="T126" i="30"/>
  <c r="P126" i="30"/>
  <c r="X126" i="30" s="1"/>
  <c r="Z126" i="30" s="1"/>
  <c r="L126" i="30"/>
  <c r="N126" i="30" s="1"/>
  <c r="H126" i="30"/>
  <c r="D126" i="30"/>
  <c r="B126" i="30"/>
  <c r="Z125" i="30"/>
  <c r="X125" i="30"/>
  <c r="N125" i="30"/>
  <c r="L125" i="30"/>
  <c r="B125" i="30"/>
  <c r="X124" i="30"/>
  <c r="T124" i="30"/>
  <c r="Z124" i="30" s="1"/>
  <c r="P124" i="30"/>
  <c r="H124" i="30"/>
  <c r="D124" i="30"/>
  <c r="B124" i="30"/>
  <c r="X123" i="30"/>
  <c r="Z123" i="30" s="1"/>
  <c r="N123" i="30"/>
  <c r="L123" i="30"/>
  <c r="B123" i="30"/>
  <c r="T122" i="30"/>
  <c r="P122" i="30"/>
  <c r="X122" i="30" s="1"/>
  <c r="Z122" i="30" s="1"/>
  <c r="H122" i="30"/>
  <c r="N122" i="30" s="1"/>
  <c r="D122" i="30"/>
  <c r="L122" i="30" s="1"/>
  <c r="B122" i="30"/>
  <c r="Z121" i="30"/>
  <c r="X121" i="30"/>
  <c r="N121" i="30"/>
  <c r="L121" i="30"/>
  <c r="B121" i="30"/>
  <c r="X120" i="30"/>
  <c r="Z120" i="30" s="1"/>
  <c r="T120" i="30"/>
  <c r="P120" i="30"/>
  <c r="L120" i="30"/>
  <c r="N120" i="30" s="1"/>
  <c r="H120" i="30"/>
  <c r="D120" i="30"/>
  <c r="B120" i="30"/>
  <c r="Z119" i="30"/>
  <c r="X119" i="30"/>
  <c r="N119" i="30"/>
  <c r="L119" i="30"/>
  <c r="B119" i="30"/>
  <c r="T118" i="30"/>
  <c r="P118" i="30"/>
  <c r="H118" i="30"/>
  <c r="N118" i="30" s="1"/>
  <c r="D118" i="30"/>
  <c r="B118" i="30"/>
  <c r="X117" i="30"/>
  <c r="Z117" i="30" s="1"/>
  <c r="N117" i="30"/>
  <c r="L117" i="30"/>
  <c r="B117" i="30"/>
  <c r="X116" i="30"/>
  <c r="Z116" i="30" s="1"/>
  <c r="L116" i="30"/>
  <c r="N116" i="30" s="1"/>
  <c r="B116" i="30"/>
  <c r="X115" i="30"/>
  <c r="Z115" i="30" s="1"/>
  <c r="T115" i="30"/>
  <c r="P115" i="30"/>
  <c r="H115" i="30"/>
  <c r="D115" i="30"/>
  <c r="B115" i="30"/>
  <c r="X114" i="30"/>
  <c r="Z114" i="30" s="1"/>
  <c r="N114" i="30"/>
  <c r="L114" i="30"/>
  <c r="B114" i="30"/>
  <c r="T113" i="30"/>
  <c r="P113" i="30"/>
  <c r="X113" i="30" s="1"/>
  <c r="H113" i="30"/>
  <c r="N113" i="30" s="1"/>
  <c r="D113" i="30"/>
  <c r="L113" i="30" s="1"/>
  <c r="B113" i="30"/>
  <c r="X112" i="30"/>
  <c r="Z112" i="30" s="1"/>
  <c r="N112" i="30"/>
  <c r="L112" i="30"/>
  <c r="B112" i="30"/>
  <c r="Z111" i="30"/>
  <c r="X111" i="30"/>
  <c r="L111" i="30"/>
  <c r="N111" i="30" s="1"/>
  <c r="B111" i="30"/>
  <c r="T110" i="30"/>
  <c r="P110" i="30"/>
  <c r="H110" i="30"/>
  <c r="D110" i="30"/>
  <c r="B110" i="30"/>
  <c r="X109" i="30"/>
  <c r="Z109" i="30" s="1"/>
  <c r="N109" i="30"/>
  <c r="L109" i="30"/>
  <c r="B109" i="30"/>
  <c r="T108" i="30"/>
  <c r="Z108" i="30" s="1"/>
  <c r="P108" i="30"/>
  <c r="X108" i="30" s="1"/>
  <c r="H108" i="30"/>
  <c r="D108" i="30"/>
  <c r="L108" i="30" s="1"/>
  <c r="N108" i="30" s="1"/>
  <c r="B108" i="30"/>
  <c r="Z107" i="30"/>
  <c r="X107" i="30"/>
  <c r="N107" i="30"/>
  <c r="L107" i="30"/>
  <c r="B107" i="30"/>
  <c r="X106" i="30"/>
  <c r="Z106" i="30" s="1"/>
  <c r="T106" i="30"/>
  <c r="P106" i="30"/>
  <c r="L106" i="30"/>
  <c r="N106" i="30" s="1"/>
  <c r="H106" i="30"/>
  <c r="D106" i="30"/>
  <c r="B106" i="30"/>
  <c r="Z105" i="30"/>
  <c r="X105" i="30"/>
  <c r="L105" i="30"/>
  <c r="N105" i="30" s="1"/>
  <c r="B105" i="30"/>
  <c r="T104" i="30"/>
  <c r="P104" i="30"/>
  <c r="H104" i="30"/>
  <c r="D104" i="30"/>
  <c r="B104" i="30"/>
  <c r="X103" i="30"/>
  <c r="Z103" i="30" s="1"/>
  <c r="N103" i="30"/>
  <c r="L103" i="30"/>
  <c r="B103" i="30"/>
  <c r="Z102" i="30"/>
  <c r="X102" i="30"/>
  <c r="L102" i="30"/>
  <c r="N102" i="30" s="1"/>
  <c r="B102" i="30"/>
  <c r="X101" i="30"/>
  <c r="Z101" i="30" s="1"/>
  <c r="N101" i="30"/>
  <c r="L101" i="30"/>
  <c r="B101" i="30"/>
  <c r="X100" i="30"/>
  <c r="Z100" i="30" s="1"/>
  <c r="L100" i="30"/>
  <c r="N100" i="30" s="1"/>
  <c r="B100" i="30"/>
  <c r="X99" i="30"/>
  <c r="Z99" i="30" s="1"/>
  <c r="N99" i="30"/>
  <c r="L99" i="30"/>
  <c r="B99" i="30"/>
  <c r="Z98" i="30"/>
  <c r="X98" i="30"/>
  <c r="L98" i="30"/>
  <c r="N98" i="30" s="1"/>
  <c r="B98" i="30"/>
  <c r="T97" i="30"/>
  <c r="P97" i="30"/>
  <c r="L97" i="30"/>
  <c r="N97" i="30" s="1"/>
  <c r="H97" i="30"/>
  <c r="D97" i="30"/>
  <c r="B97" i="30"/>
  <c r="X96" i="30"/>
  <c r="Z96" i="30" s="1"/>
  <c r="L96" i="30"/>
  <c r="N96" i="30" s="1"/>
  <c r="B96" i="30"/>
  <c r="Z95" i="30"/>
  <c r="X95" i="30"/>
  <c r="L95" i="30"/>
  <c r="N95" i="30" s="1"/>
  <c r="B95" i="30"/>
  <c r="X94" i="30"/>
  <c r="Z94" i="30" s="1"/>
  <c r="L94" i="30"/>
  <c r="N94" i="30" s="1"/>
  <c r="B94" i="30"/>
  <c r="Z93" i="30"/>
  <c r="X93" i="30"/>
  <c r="N93" i="30"/>
  <c r="L93" i="30"/>
  <c r="B93" i="30"/>
  <c r="X92" i="30"/>
  <c r="Z92" i="30" s="1"/>
  <c r="L92" i="30"/>
  <c r="N92" i="30" s="1"/>
  <c r="B92" i="30"/>
  <c r="Z91" i="30"/>
  <c r="X91" i="30"/>
  <c r="L91" i="30"/>
  <c r="N91" i="30" s="1"/>
  <c r="B91" i="30"/>
  <c r="X90" i="30"/>
  <c r="Z90" i="30" s="1"/>
  <c r="L90" i="30"/>
  <c r="N90" i="30" s="1"/>
  <c r="B90" i="30"/>
  <c r="Z89" i="30"/>
  <c r="X89" i="30"/>
  <c r="N89" i="30"/>
  <c r="L89" i="30"/>
  <c r="B89" i="30"/>
  <c r="X88" i="30"/>
  <c r="Z88" i="30" s="1"/>
  <c r="T88" i="30"/>
  <c r="P88" i="30"/>
  <c r="L88" i="30"/>
  <c r="N88" i="30" s="1"/>
  <c r="H88" i="30"/>
  <c r="D88" i="30"/>
  <c r="B88" i="30"/>
  <c r="T87" i="30"/>
  <c r="Z87" i="30" s="1"/>
  <c r="P87" i="30"/>
  <c r="X87" i="30" s="1"/>
  <c r="H87" i="30"/>
  <c r="D87" i="30"/>
  <c r="L87" i="30" s="1"/>
  <c r="N87" i="30" s="1"/>
  <c r="Z83" i="30"/>
  <c r="X83" i="30"/>
  <c r="L83" i="30"/>
  <c r="N83" i="30" s="1"/>
  <c r="B83" i="30"/>
  <c r="X82" i="30"/>
  <c r="Z82" i="30" s="1"/>
  <c r="N82" i="30"/>
  <c r="L82" i="30"/>
  <c r="B82" i="30"/>
  <c r="Z81" i="30"/>
  <c r="X81" i="30"/>
  <c r="N81" i="30"/>
  <c r="L81" i="30"/>
  <c r="B81" i="30"/>
  <c r="X80" i="30"/>
  <c r="Z80" i="30" s="1"/>
  <c r="N80" i="30"/>
  <c r="L80" i="30"/>
  <c r="B80" i="30"/>
  <c r="X79" i="30"/>
  <c r="Z79" i="30" s="1"/>
  <c r="L79" i="30"/>
  <c r="N79" i="30" s="1"/>
  <c r="B79" i="30"/>
  <c r="X78" i="30"/>
  <c r="Z78" i="30" s="1"/>
  <c r="N78" i="30"/>
  <c r="L78" i="30"/>
  <c r="B78" i="30"/>
  <c r="Z77" i="30"/>
  <c r="X77" i="30"/>
  <c r="N77" i="30"/>
  <c r="L77" i="30"/>
  <c r="B77" i="30"/>
  <c r="Z76" i="30"/>
  <c r="X76" i="30"/>
  <c r="N76" i="30"/>
  <c r="L76" i="30"/>
  <c r="B76" i="30"/>
  <c r="Z75" i="30"/>
  <c r="X75" i="30"/>
  <c r="N75" i="30"/>
  <c r="L75" i="30"/>
  <c r="B75" i="30"/>
  <c r="X74" i="30"/>
  <c r="Z74" i="30" s="1"/>
  <c r="N74" i="30"/>
  <c r="L74" i="30"/>
  <c r="B74" i="30"/>
  <c r="Z73" i="30"/>
  <c r="X73" i="30"/>
  <c r="L73" i="30"/>
  <c r="N73" i="30" s="1"/>
  <c r="B73" i="30"/>
  <c r="X72" i="30"/>
  <c r="Z72" i="30" s="1"/>
  <c r="L72" i="30"/>
  <c r="N72" i="30" s="1"/>
  <c r="B72" i="30"/>
  <c r="X71" i="30"/>
  <c r="Z71" i="30" s="1"/>
  <c r="N71" i="30"/>
  <c r="L71" i="30"/>
  <c r="B71" i="30"/>
  <c r="X70" i="30"/>
  <c r="Z70" i="30" s="1"/>
  <c r="N70" i="30"/>
  <c r="L70" i="30"/>
  <c r="B70" i="30"/>
  <c r="Z69" i="30"/>
  <c r="X69" i="30"/>
  <c r="L69" i="30"/>
  <c r="N69" i="30" s="1"/>
  <c r="B69" i="30"/>
  <c r="X68" i="30"/>
  <c r="Z68" i="30" s="1"/>
  <c r="L68" i="30"/>
  <c r="N68" i="30" s="1"/>
  <c r="B68" i="30"/>
  <c r="X67" i="30"/>
  <c r="Z67" i="30" s="1"/>
  <c r="L67" i="30"/>
  <c r="N67" i="30" s="1"/>
  <c r="B67" i="30"/>
  <c r="X66" i="30"/>
  <c r="Z66" i="30" s="1"/>
  <c r="N66" i="30"/>
  <c r="L66" i="30"/>
  <c r="B66" i="30"/>
  <c r="Z65" i="30"/>
  <c r="X65" i="30"/>
  <c r="L65" i="30"/>
  <c r="N65" i="30" s="1"/>
  <c r="B65" i="30"/>
  <c r="X64" i="30"/>
  <c r="Z64" i="30" s="1"/>
  <c r="L64" i="30"/>
  <c r="N64" i="30" s="1"/>
  <c r="B64" i="30"/>
  <c r="Z63" i="30"/>
  <c r="X63" i="30"/>
  <c r="L63" i="30"/>
  <c r="N63" i="30" s="1"/>
  <c r="B63" i="30"/>
  <c r="X62" i="30"/>
  <c r="Z62" i="30" s="1"/>
  <c r="N62" i="30"/>
  <c r="L62" i="30"/>
  <c r="B62" i="30"/>
  <c r="Z61" i="30"/>
  <c r="X61" i="30"/>
  <c r="N61" i="30"/>
  <c r="L61" i="30"/>
  <c r="B61" i="30"/>
  <c r="Z60" i="30"/>
  <c r="X60" i="30"/>
  <c r="N60" i="30"/>
  <c r="L60" i="30"/>
  <c r="B60" i="30"/>
  <c r="X59" i="30"/>
  <c r="Z59" i="30" s="1"/>
  <c r="L59" i="30"/>
  <c r="N59" i="30" s="1"/>
  <c r="B59" i="30"/>
  <c r="X58" i="30"/>
  <c r="Z58" i="30" s="1"/>
  <c r="N58" i="30"/>
  <c r="L58" i="30"/>
  <c r="B58" i="30"/>
  <c r="Z57" i="30"/>
  <c r="X57" i="30"/>
  <c r="L57" i="30"/>
  <c r="N57" i="30" s="1"/>
  <c r="B57" i="30"/>
  <c r="T56" i="30"/>
  <c r="Z56" i="30" s="1"/>
  <c r="P56" i="30"/>
  <c r="X56" i="30" s="1"/>
  <c r="H56" i="30"/>
  <c r="D56" i="30"/>
  <c r="T54" i="30"/>
  <c r="P54" i="30"/>
  <c r="X54" i="30" s="1"/>
  <c r="H54" i="30"/>
  <c r="N54" i="30" s="1"/>
  <c r="D54" i="30"/>
  <c r="L54" i="30" s="1"/>
  <c r="B54" i="30"/>
  <c r="X53" i="30"/>
  <c r="Z53" i="30" s="1"/>
  <c r="T53" i="30"/>
  <c r="P53" i="30"/>
  <c r="H53" i="30"/>
  <c r="D53" i="30"/>
  <c r="B53" i="30"/>
  <c r="T52" i="30"/>
  <c r="P52" i="30"/>
  <c r="X52" i="30" s="1"/>
  <c r="N52" i="30"/>
  <c r="L52" i="30"/>
  <c r="H52" i="30"/>
  <c r="D52" i="30"/>
  <c r="B52" i="30"/>
  <c r="T51" i="30"/>
  <c r="P51" i="30"/>
  <c r="X51" i="30" s="1"/>
  <c r="Z51" i="30" s="1"/>
  <c r="H51" i="30"/>
  <c r="N51" i="30" s="1"/>
  <c r="D51" i="30"/>
  <c r="B51" i="30"/>
  <c r="T50" i="30"/>
  <c r="P50" i="30"/>
  <c r="X50" i="30" s="1"/>
  <c r="H50" i="30"/>
  <c r="D50" i="30"/>
  <c r="L50" i="30" s="1"/>
  <c r="B50" i="30"/>
  <c r="X49" i="30"/>
  <c r="Z49" i="30" s="1"/>
  <c r="T49" i="30"/>
  <c r="P49" i="30"/>
  <c r="H49" i="30"/>
  <c r="D49" i="30"/>
  <c r="B49" i="30"/>
  <c r="T48" i="30"/>
  <c r="P48" i="30"/>
  <c r="X48" i="30" s="1"/>
  <c r="N48" i="30"/>
  <c r="L48" i="30"/>
  <c r="H48" i="30"/>
  <c r="D48" i="30"/>
  <c r="B48" i="30"/>
  <c r="T47" i="30"/>
  <c r="P47" i="30"/>
  <c r="X47" i="30" s="1"/>
  <c r="Z47" i="30" s="1"/>
  <c r="H47" i="30"/>
  <c r="D47" i="30"/>
  <c r="B47" i="30"/>
  <c r="T46" i="30"/>
  <c r="P46" i="30"/>
  <c r="X46" i="30" s="1"/>
  <c r="H46" i="30"/>
  <c r="D46" i="30"/>
  <c r="L46" i="30" s="1"/>
  <c r="B46" i="30"/>
  <c r="X45" i="30"/>
  <c r="Z45" i="30" s="1"/>
  <c r="T45" i="30"/>
  <c r="P45" i="30"/>
  <c r="H45" i="30"/>
  <c r="D45" i="30"/>
  <c r="B45" i="30"/>
  <c r="T44" i="30"/>
  <c r="Z44" i="30" s="1"/>
  <c r="P44" i="30"/>
  <c r="X44" i="30" s="1"/>
  <c r="N44" i="30"/>
  <c r="L44" i="30"/>
  <c r="H44" i="30"/>
  <c r="D44" i="30"/>
  <c r="B44" i="30"/>
  <c r="Z43" i="30"/>
  <c r="T43" i="30"/>
  <c r="P43" i="30"/>
  <c r="X43" i="30" s="1"/>
  <c r="H43" i="30"/>
  <c r="N43" i="30" s="1"/>
  <c r="D43" i="30"/>
  <c r="B43" i="30"/>
  <c r="T42" i="30"/>
  <c r="P42" i="30"/>
  <c r="X42" i="30" s="1"/>
  <c r="H42" i="30"/>
  <c r="N42" i="30" s="1"/>
  <c r="D42" i="30"/>
  <c r="L42" i="30" s="1"/>
  <c r="B42" i="30"/>
  <c r="X41" i="30"/>
  <c r="Z41" i="30" s="1"/>
  <c r="T41" i="30"/>
  <c r="P41" i="30"/>
  <c r="H41" i="30"/>
  <c r="N41" i="30" s="1"/>
  <c r="D41" i="30"/>
  <c r="B41" i="30"/>
  <c r="T40" i="30"/>
  <c r="P40" i="30"/>
  <c r="X40" i="30" s="1"/>
  <c r="N40" i="30"/>
  <c r="L40" i="30"/>
  <c r="H40" i="30"/>
  <c r="D40" i="30"/>
  <c r="B40" i="30"/>
  <c r="Z39" i="30"/>
  <c r="T39" i="30"/>
  <c r="P39" i="30"/>
  <c r="X39" i="30" s="1"/>
  <c r="H39" i="30"/>
  <c r="N39" i="30" s="1"/>
  <c r="D39" i="30"/>
  <c r="L39" i="30" s="1"/>
  <c r="B39" i="30"/>
  <c r="T38" i="30"/>
  <c r="P38" i="30"/>
  <c r="X38" i="30" s="1"/>
  <c r="L38" i="30"/>
  <c r="H38" i="30"/>
  <c r="N38" i="30" s="1"/>
  <c r="D38" i="30"/>
  <c r="B38" i="30"/>
  <c r="X37" i="30"/>
  <c r="Z37" i="30" s="1"/>
  <c r="T37" i="30"/>
  <c r="P37" i="30"/>
  <c r="H37" i="30"/>
  <c r="D37" i="30"/>
  <c r="B37" i="30"/>
  <c r="T36" i="30"/>
  <c r="Z36" i="30" s="1"/>
  <c r="P36" i="30"/>
  <c r="X36" i="30" s="1"/>
  <c r="N36" i="30"/>
  <c r="L36" i="30"/>
  <c r="H36" i="30"/>
  <c r="D36" i="30"/>
  <c r="B36" i="30"/>
  <c r="T35" i="30"/>
  <c r="P35" i="30"/>
  <c r="X35" i="30" s="1"/>
  <c r="Z35" i="30" s="1"/>
  <c r="H35" i="30"/>
  <c r="D35" i="30"/>
  <c r="L35" i="30" s="1"/>
  <c r="B35" i="30"/>
  <c r="T34" i="30"/>
  <c r="Z34" i="30" s="1"/>
  <c r="P34" i="30"/>
  <c r="X34" i="30" s="1"/>
  <c r="L34" i="30"/>
  <c r="H34" i="30"/>
  <c r="N34" i="30" s="1"/>
  <c r="D34" i="30"/>
  <c r="B34" i="30"/>
  <c r="Z33" i="30"/>
  <c r="X33" i="30"/>
  <c r="T33" i="30"/>
  <c r="P33" i="30"/>
  <c r="H33" i="30"/>
  <c r="N33" i="30" s="1"/>
  <c r="D33" i="30"/>
  <c r="B33" i="30"/>
  <c r="T32" i="30"/>
  <c r="Z32" i="30" s="1"/>
  <c r="P32" i="30"/>
  <c r="X32" i="30" s="1"/>
  <c r="N32" i="30"/>
  <c r="L32" i="30"/>
  <c r="H32" i="30"/>
  <c r="D32" i="30"/>
  <c r="B32" i="30"/>
  <c r="Z31" i="30"/>
  <c r="T31" i="30"/>
  <c r="P31" i="30"/>
  <c r="X31" i="30" s="1"/>
  <c r="H31" i="30"/>
  <c r="N31" i="30" s="1"/>
  <c r="D31" i="30"/>
  <c r="L31" i="30" s="1"/>
  <c r="B31" i="30"/>
  <c r="T30" i="30"/>
  <c r="Z30" i="30" s="1"/>
  <c r="P30" i="30"/>
  <c r="X30" i="30" s="1"/>
  <c r="L30" i="30"/>
  <c r="H30" i="30"/>
  <c r="N30" i="30" s="1"/>
  <c r="D30" i="30"/>
  <c r="B30" i="30"/>
  <c r="Z29" i="30"/>
  <c r="X29" i="30"/>
  <c r="T29" i="30"/>
  <c r="P29" i="30"/>
  <c r="H29" i="30"/>
  <c r="N29" i="30" s="1"/>
  <c r="D29" i="30"/>
  <c r="B29" i="30"/>
  <c r="T28" i="30"/>
  <c r="Z28" i="30" s="1"/>
  <c r="P28" i="30"/>
  <c r="X28" i="30" s="1"/>
  <c r="N28" i="30"/>
  <c r="L28" i="30"/>
  <c r="H28" i="30"/>
  <c r="D28" i="30"/>
  <c r="B28" i="30"/>
  <c r="T27" i="30"/>
  <c r="P27" i="30"/>
  <c r="X27" i="30" s="1"/>
  <c r="Z27" i="30" s="1"/>
  <c r="H27" i="30"/>
  <c r="D27" i="30"/>
  <c r="B27" i="30"/>
  <c r="T26" i="30"/>
  <c r="P26" i="30"/>
  <c r="X26" i="30" s="1"/>
  <c r="L26" i="30"/>
  <c r="H26" i="30"/>
  <c r="N26" i="30" s="1"/>
  <c r="D26" i="30"/>
  <c r="B26" i="30"/>
  <c r="X25" i="30"/>
  <c r="Z25" i="30" s="1"/>
  <c r="T25" i="30"/>
  <c r="P25" i="30"/>
  <c r="H25" i="30"/>
  <c r="D25" i="30"/>
  <c r="B25" i="30"/>
  <c r="T24" i="30"/>
  <c r="Z24" i="30" s="1"/>
  <c r="P24" i="30"/>
  <c r="X24" i="30" s="1"/>
  <c r="N24" i="30"/>
  <c r="L24" i="30"/>
  <c r="H24" i="30"/>
  <c r="D24" i="30"/>
  <c r="B24" i="30"/>
  <c r="T23" i="30"/>
  <c r="P23" i="30"/>
  <c r="X23" i="30" s="1"/>
  <c r="Z23" i="30" s="1"/>
  <c r="H23" i="30"/>
  <c r="D23" i="30"/>
  <c r="L23" i="30" s="1"/>
  <c r="B23" i="30"/>
  <c r="T22" i="30"/>
  <c r="Z22" i="30" s="1"/>
  <c r="P22" i="30"/>
  <c r="X22" i="30" s="1"/>
  <c r="L22" i="30"/>
  <c r="H22" i="30"/>
  <c r="N22" i="30" s="1"/>
  <c r="D22" i="30"/>
  <c r="B22" i="30"/>
  <c r="X21" i="30"/>
  <c r="Z21" i="30" s="1"/>
  <c r="T21" i="30"/>
  <c r="P21" i="30"/>
  <c r="H21" i="30"/>
  <c r="D21" i="30"/>
  <c r="B21" i="30"/>
  <c r="T20" i="30"/>
  <c r="P20" i="30"/>
  <c r="N20" i="30"/>
  <c r="L20" i="30"/>
  <c r="H20" i="30"/>
  <c r="D20" i="30"/>
  <c r="B20" i="30"/>
  <c r="Z19" i="30"/>
  <c r="T19" i="30"/>
  <c r="P19" i="30"/>
  <c r="X19" i="30" s="1"/>
  <c r="H19" i="30"/>
  <c r="N19" i="30" s="1"/>
  <c r="D19" i="30"/>
  <c r="B19" i="30"/>
  <c r="T18" i="30"/>
  <c r="Z18" i="30" s="1"/>
  <c r="P18" i="30"/>
  <c r="X18" i="30" s="1"/>
  <c r="L18" i="30"/>
  <c r="H18" i="30"/>
  <c r="N18" i="30" s="1"/>
  <c r="D18" i="30"/>
  <c r="B18" i="30"/>
  <c r="Z17" i="30"/>
  <c r="X17" i="30"/>
  <c r="T17" i="30"/>
  <c r="P17" i="30"/>
  <c r="H17" i="30"/>
  <c r="N17" i="30" s="1"/>
  <c r="D17" i="30"/>
  <c r="B17" i="30"/>
  <c r="T16" i="30"/>
  <c r="Z16" i="30" s="1"/>
  <c r="P16" i="30"/>
  <c r="X16" i="30" s="1"/>
  <c r="N16" i="30"/>
  <c r="L16" i="30"/>
  <c r="H16" i="30"/>
  <c r="D16" i="30"/>
  <c r="B16" i="30"/>
  <c r="T15" i="30"/>
  <c r="P15" i="30"/>
  <c r="X15" i="30" s="1"/>
  <c r="Z15" i="30" s="1"/>
  <c r="H15" i="30"/>
  <c r="D15" i="30"/>
  <c r="B15" i="30"/>
  <c r="T14" i="30"/>
  <c r="Z14" i="30" s="1"/>
  <c r="P14" i="30"/>
  <c r="X14" i="30" s="1"/>
  <c r="L14" i="30"/>
  <c r="H14" i="30"/>
  <c r="N14" i="30" s="1"/>
  <c r="D14" i="30"/>
  <c r="B14" i="30"/>
  <c r="Z13" i="30"/>
  <c r="X13" i="30"/>
  <c r="T13" i="30"/>
  <c r="P13" i="30"/>
  <c r="H13" i="30"/>
  <c r="D13" i="30"/>
  <c r="B13" i="30"/>
  <c r="D4" i="30"/>
  <c r="Z123" i="27"/>
  <c r="X123" i="27"/>
  <c r="L123" i="27"/>
  <c r="N123" i="27" s="1"/>
  <c r="X119" i="27"/>
  <c r="Z119" i="27" s="1"/>
  <c r="T119" i="27"/>
  <c r="P119" i="27"/>
  <c r="H119" i="27"/>
  <c r="D119" i="27"/>
  <c r="B119" i="27"/>
  <c r="X118" i="27"/>
  <c r="Z118" i="27" s="1"/>
  <c r="T118" i="27"/>
  <c r="T116" i="27" s="1"/>
  <c r="P118" i="27"/>
  <c r="N118" i="27"/>
  <c r="L118" i="27"/>
  <c r="H118" i="27"/>
  <c r="H116" i="27" s="1"/>
  <c r="N116" i="27" s="1"/>
  <c r="D118" i="27"/>
  <c r="B118" i="27"/>
  <c r="T117" i="27"/>
  <c r="P117" i="27"/>
  <c r="X117" i="27" s="1"/>
  <c r="Z117" i="27" s="1"/>
  <c r="N117" i="27"/>
  <c r="L117" i="27"/>
  <c r="H117" i="27"/>
  <c r="D117" i="27"/>
  <c r="B117" i="27"/>
  <c r="P116" i="27"/>
  <c r="X116" i="27" s="1"/>
  <c r="D116" i="27"/>
  <c r="L116" i="27" s="1"/>
  <c r="X114" i="27"/>
  <c r="Z114" i="27" s="1"/>
  <c r="N114" i="27"/>
  <c r="L114" i="27"/>
  <c r="B114" i="27"/>
  <c r="X113" i="27"/>
  <c r="Z113" i="27" s="1"/>
  <c r="T113" i="27"/>
  <c r="P113" i="27"/>
  <c r="H113" i="27"/>
  <c r="D113" i="27"/>
  <c r="B113" i="27"/>
  <c r="X112" i="27"/>
  <c r="Z112" i="27" s="1"/>
  <c r="L112" i="27"/>
  <c r="N112" i="27" s="1"/>
  <c r="B112" i="27"/>
  <c r="T111" i="27"/>
  <c r="Z111" i="27" s="1"/>
  <c r="P111" i="27"/>
  <c r="X111" i="27" s="1"/>
  <c r="H111" i="27"/>
  <c r="D111" i="27"/>
  <c r="L111" i="27" s="1"/>
  <c r="B111" i="27"/>
  <c r="X110" i="27"/>
  <c r="Z110" i="27" s="1"/>
  <c r="L110" i="27"/>
  <c r="N110" i="27" s="1"/>
  <c r="B110" i="27"/>
  <c r="Z109" i="27"/>
  <c r="X109" i="27"/>
  <c r="L109" i="27"/>
  <c r="N109" i="27" s="1"/>
  <c r="B109" i="27"/>
  <c r="T108" i="27"/>
  <c r="P108" i="27"/>
  <c r="H108" i="27"/>
  <c r="D108" i="27"/>
  <c r="L108" i="27" s="1"/>
  <c r="B108" i="27"/>
  <c r="Z107" i="27"/>
  <c r="X107" i="27"/>
  <c r="N107" i="27"/>
  <c r="L107" i="27"/>
  <c r="B107" i="27"/>
  <c r="X106" i="27"/>
  <c r="Z106" i="27" s="1"/>
  <c r="N106" i="27"/>
  <c r="L106" i="27"/>
  <c r="B106" i="27"/>
  <c r="X105" i="27"/>
  <c r="Z105" i="27" s="1"/>
  <c r="N105" i="27"/>
  <c r="L105" i="27"/>
  <c r="B105" i="27"/>
  <c r="Z104" i="27"/>
  <c r="T104" i="27"/>
  <c r="P104" i="27"/>
  <c r="X104" i="27" s="1"/>
  <c r="H104" i="27"/>
  <c r="D104" i="27"/>
  <c r="B104" i="27"/>
  <c r="Z103" i="27"/>
  <c r="X103" i="27"/>
  <c r="N103" i="27"/>
  <c r="L103" i="27"/>
  <c r="B103" i="27"/>
  <c r="X102" i="27"/>
  <c r="Z102" i="27" s="1"/>
  <c r="L102" i="27"/>
  <c r="N102" i="27" s="1"/>
  <c r="B102" i="27"/>
  <c r="T101" i="27"/>
  <c r="Z101" i="27" s="1"/>
  <c r="P101" i="27"/>
  <c r="X101" i="27" s="1"/>
  <c r="H101" i="27"/>
  <c r="D101" i="27"/>
  <c r="L101" i="27" s="1"/>
  <c r="B101" i="27"/>
  <c r="Z100" i="27"/>
  <c r="X100" i="27"/>
  <c r="N100" i="27"/>
  <c r="L100" i="27"/>
  <c r="B100" i="27"/>
  <c r="Z99" i="27"/>
  <c r="X99" i="27"/>
  <c r="N99" i="27"/>
  <c r="L99" i="27"/>
  <c r="B99" i="27"/>
  <c r="T98" i="27"/>
  <c r="P98" i="27"/>
  <c r="L98" i="27"/>
  <c r="H98" i="27"/>
  <c r="N98" i="27" s="1"/>
  <c r="D98" i="27"/>
  <c r="B98" i="27"/>
  <c r="X97" i="27"/>
  <c r="Z97" i="27" s="1"/>
  <c r="N97" i="27"/>
  <c r="L97" i="27"/>
  <c r="B97" i="27"/>
  <c r="Z96" i="27"/>
  <c r="T96" i="27"/>
  <c r="P96" i="27"/>
  <c r="X96" i="27" s="1"/>
  <c r="H96" i="27"/>
  <c r="D96" i="27"/>
  <c r="L96" i="27" s="1"/>
  <c r="B96" i="27"/>
  <c r="Z95" i="27"/>
  <c r="X95" i="27"/>
  <c r="N95" i="27"/>
  <c r="L95" i="27"/>
  <c r="B95" i="27"/>
  <c r="X94" i="27"/>
  <c r="Z94" i="27" s="1"/>
  <c r="T94" i="27"/>
  <c r="P94" i="27"/>
  <c r="L94" i="27"/>
  <c r="N94" i="27" s="1"/>
  <c r="H94" i="27"/>
  <c r="D94" i="27"/>
  <c r="B94" i="27"/>
  <c r="Z93" i="27"/>
  <c r="X93" i="27"/>
  <c r="L93" i="27"/>
  <c r="N93" i="27" s="1"/>
  <c r="B93" i="27"/>
  <c r="X92" i="27"/>
  <c r="Z92" i="27" s="1"/>
  <c r="N92" i="27"/>
  <c r="L92" i="27"/>
  <c r="B92" i="27"/>
  <c r="T91" i="27"/>
  <c r="P91" i="27"/>
  <c r="X91" i="27" s="1"/>
  <c r="Z91" i="27" s="1"/>
  <c r="L91" i="27"/>
  <c r="N91" i="27" s="1"/>
  <c r="H91" i="27"/>
  <c r="D91" i="27"/>
  <c r="B91" i="27"/>
  <c r="X90" i="27"/>
  <c r="Z90" i="27" s="1"/>
  <c r="L90" i="27"/>
  <c r="N90" i="27" s="1"/>
  <c r="B90" i="27"/>
  <c r="X89" i="27"/>
  <c r="T89" i="27"/>
  <c r="P89" i="27"/>
  <c r="N89" i="27"/>
  <c r="H89" i="27"/>
  <c r="L89" i="27" s="1"/>
  <c r="D89" i="27"/>
  <c r="B89" i="27"/>
  <c r="Z88" i="27"/>
  <c r="X88" i="27"/>
  <c r="N88" i="27"/>
  <c r="L88" i="27"/>
  <c r="B88" i="27"/>
  <c r="T87" i="27"/>
  <c r="P87" i="27"/>
  <c r="H87" i="27"/>
  <c r="N87" i="27" s="1"/>
  <c r="D87" i="27"/>
  <c r="L87" i="27" s="1"/>
  <c r="B87" i="27"/>
  <c r="X86" i="27"/>
  <c r="Z86" i="27" s="1"/>
  <c r="N86" i="27"/>
  <c r="L86" i="27"/>
  <c r="B86" i="27"/>
  <c r="Z85" i="27"/>
  <c r="X85" i="27"/>
  <c r="L85" i="27"/>
  <c r="N85" i="27" s="1"/>
  <c r="B85" i="27"/>
  <c r="T84" i="27"/>
  <c r="P84" i="27"/>
  <c r="H84" i="27"/>
  <c r="D84" i="27"/>
  <c r="B84" i="27"/>
  <c r="Z83" i="27"/>
  <c r="X83" i="27"/>
  <c r="N83" i="27"/>
  <c r="L83" i="27"/>
  <c r="B83" i="27"/>
  <c r="T82" i="27"/>
  <c r="P82" i="27"/>
  <c r="H82" i="27"/>
  <c r="D82" i="27"/>
  <c r="L82" i="27" s="1"/>
  <c r="N82" i="27" s="1"/>
  <c r="B82" i="27"/>
  <c r="Z81" i="27"/>
  <c r="X81" i="27"/>
  <c r="N81" i="27"/>
  <c r="L81" i="27"/>
  <c r="B81" i="27"/>
  <c r="Z80" i="27"/>
  <c r="X80" i="27"/>
  <c r="L80" i="27"/>
  <c r="N80" i="27" s="1"/>
  <c r="B80" i="27"/>
  <c r="Z79" i="27"/>
  <c r="X79" i="27"/>
  <c r="N79" i="27"/>
  <c r="L79" i="27"/>
  <c r="B79" i="27"/>
  <c r="X78" i="27"/>
  <c r="Z78" i="27" s="1"/>
  <c r="L78" i="27"/>
  <c r="N78" i="27" s="1"/>
  <c r="B78" i="27"/>
  <c r="Z77" i="27"/>
  <c r="X77" i="27"/>
  <c r="L77" i="27"/>
  <c r="N77" i="27" s="1"/>
  <c r="B77" i="27"/>
  <c r="Z76" i="27"/>
  <c r="X76" i="27"/>
  <c r="L76" i="27"/>
  <c r="N76" i="27" s="1"/>
  <c r="B76" i="27"/>
  <c r="Z75" i="27"/>
  <c r="X75" i="27"/>
  <c r="N75" i="27"/>
  <c r="L75" i="27"/>
  <c r="B75" i="27"/>
  <c r="Z74" i="27"/>
  <c r="X74" i="27"/>
  <c r="T74" i="27"/>
  <c r="P74" i="27"/>
  <c r="L74" i="27"/>
  <c r="N74" i="27" s="1"/>
  <c r="H74" i="27"/>
  <c r="D74" i="27"/>
  <c r="B74" i="27"/>
  <c r="Z73" i="27"/>
  <c r="X73" i="27"/>
  <c r="L73" i="27"/>
  <c r="N73" i="27" s="1"/>
  <c r="B73" i="27"/>
  <c r="X72" i="27"/>
  <c r="Z72" i="27" s="1"/>
  <c r="N72" i="27"/>
  <c r="L72" i="27"/>
  <c r="B72" i="27"/>
  <c r="Z71" i="27"/>
  <c r="X71" i="27"/>
  <c r="L71" i="27"/>
  <c r="N71" i="27" s="1"/>
  <c r="B71" i="27"/>
  <c r="X70" i="27"/>
  <c r="Z70" i="27" s="1"/>
  <c r="L70" i="27"/>
  <c r="N70" i="27" s="1"/>
  <c r="B70" i="27"/>
  <c r="Z69" i="27"/>
  <c r="X69" i="27"/>
  <c r="L69" i="27"/>
  <c r="N69" i="27" s="1"/>
  <c r="B69" i="27"/>
  <c r="X68" i="27"/>
  <c r="Z68" i="27" s="1"/>
  <c r="N68" i="27"/>
  <c r="L68" i="27"/>
  <c r="B68" i="27"/>
  <c r="Z67" i="27"/>
  <c r="X67" i="27"/>
  <c r="L67" i="27"/>
  <c r="N67" i="27" s="1"/>
  <c r="B67" i="27"/>
  <c r="X66" i="27"/>
  <c r="Z66" i="27" s="1"/>
  <c r="L66" i="27"/>
  <c r="N66" i="27" s="1"/>
  <c r="B66" i="27"/>
  <c r="Z65" i="27"/>
  <c r="X65" i="27"/>
  <c r="L65" i="27"/>
  <c r="N65" i="27" s="1"/>
  <c r="B65" i="27"/>
  <c r="T64" i="27"/>
  <c r="P64" i="27"/>
  <c r="H64" i="27"/>
  <c r="D64" i="27"/>
  <c r="L64" i="27" s="1"/>
  <c r="B64" i="27"/>
  <c r="T63" i="27"/>
  <c r="P63" i="27"/>
  <c r="X63" i="27" s="1"/>
  <c r="Z63" i="27" s="1"/>
  <c r="H63" i="27"/>
  <c r="L63" i="27" s="1"/>
  <c r="D63" i="27"/>
  <c r="Z59" i="27"/>
  <c r="X59" i="27"/>
  <c r="N59" i="27"/>
  <c r="L59" i="27"/>
  <c r="B59" i="27"/>
  <c r="X58" i="27"/>
  <c r="Z58" i="27" s="1"/>
  <c r="N58" i="27"/>
  <c r="L58" i="27"/>
  <c r="B58" i="27"/>
  <c r="X57" i="27"/>
  <c r="Z57" i="27" s="1"/>
  <c r="N57" i="27"/>
  <c r="L57" i="27"/>
  <c r="B57" i="27"/>
  <c r="Z56" i="27"/>
  <c r="X56" i="27"/>
  <c r="L56" i="27"/>
  <c r="N56" i="27" s="1"/>
  <c r="B56" i="27"/>
  <c r="X55" i="27"/>
  <c r="Z55" i="27" s="1"/>
  <c r="N55" i="27"/>
  <c r="L55" i="27"/>
  <c r="B55" i="27"/>
  <c r="X54" i="27"/>
  <c r="Z54" i="27" s="1"/>
  <c r="N54" i="27"/>
  <c r="L54" i="27"/>
  <c r="B54" i="27"/>
  <c r="X53" i="27"/>
  <c r="Z53" i="27" s="1"/>
  <c r="N53" i="27"/>
  <c r="L53" i="27"/>
  <c r="B53" i="27"/>
  <c r="Z52" i="27"/>
  <c r="X52" i="27"/>
  <c r="L52" i="27"/>
  <c r="N52" i="27" s="1"/>
  <c r="B52" i="27"/>
  <c r="X51" i="27"/>
  <c r="Z51" i="27" s="1"/>
  <c r="N51" i="27"/>
  <c r="L51" i="27"/>
  <c r="B51" i="27"/>
  <c r="X50" i="27"/>
  <c r="Z50" i="27" s="1"/>
  <c r="L50" i="27"/>
  <c r="N50" i="27" s="1"/>
  <c r="B50" i="27"/>
  <c r="X49" i="27"/>
  <c r="Z49" i="27" s="1"/>
  <c r="N49" i="27"/>
  <c r="L49" i="27"/>
  <c r="B49" i="27"/>
  <c r="Z48" i="27"/>
  <c r="X48" i="27"/>
  <c r="N48" i="27"/>
  <c r="L48" i="27"/>
  <c r="B48" i="27"/>
  <c r="Z47" i="27"/>
  <c r="X47" i="27"/>
  <c r="N47" i="27"/>
  <c r="L47" i="27"/>
  <c r="B47" i="27"/>
  <c r="X46" i="27"/>
  <c r="Z46" i="27" s="1"/>
  <c r="N46" i="27"/>
  <c r="L46" i="27"/>
  <c r="B46" i="27"/>
  <c r="X45" i="27"/>
  <c r="Z45" i="27" s="1"/>
  <c r="N45" i="27"/>
  <c r="L45" i="27"/>
  <c r="B45" i="27"/>
  <c r="Z44" i="27"/>
  <c r="X44" i="27"/>
  <c r="N44" i="27"/>
  <c r="L44" i="27"/>
  <c r="B44" i="27"/>
  <c r="T43" i="27"/>
  <c r="X43" i="27" s="1"/>
  <c r="Z43" i="27" s="1"/>
  <c r="P43" i="27"/>
  <c r="L43" i="27"/>
  <c r="H43" i="27"/>
  <c r="D43" i="27"/>
  <c r="X41" i="27"/>
  <c r="T41" i="27"/>
  <c r="Z41" i="27" s="1"/>
  <c r="P41" i="27"/>
  <c r="H41" i="27"/>
  <c r="D41" i="27"/>
  <c r="L41" i="27" s="1"/>
  <c r="N41" i="27" s="1"/>
  <c r="B41" i="27"/>
  <c r="X40" i="27"/>
  <c r="T40" i="27"/>
  <c r="P40" i="27"/>
  <c r="L40" i="27"/>
  <c r="N40" i="27" s="1"/>
  <c r="H40" i="27"/>
  <c r="D40" i="27"/>
  <c r="B40" i="27"/>
  <c r="T39" i="27"/>
  <c r="P39" i="27"/>
  <c r="H39" i="27"/>
  <c r="N39" i="27" s="1"/>
  <c r="D39" i="27"/>
  <c r="B39" i="27"/>
  <c r="Z38" i="27"/>
  <c r="T38" i="27"/>
  <c r="X38" i="27" s="1"/>
  <c r="P38" i="27"/>
  <c r="N38" i="27"/>
  <c r="L38" i="27"/>
  <c r="H38" i="27"/>
  <c r="D38" i="27"/>
  <c r="B38" i="27"/>
  <c r="X37" i="27"/>
  <c r="Z37" i="27" s="1"/>
  <c r="T37" i="27"/>
  <c r="P37" i="27"/>
  <c r="H37" i="27"/>
  <c r="D37" i="27"/>
  <c r="L37" i="27" s="1"/>
  <c r="N37" i="27" s="1"/>
  <c r="B37" i="27"/>
  <c r="X36" i="27"/>
  <c r="T36" i="27"/>
  <c r="P36" i="27"/>
  <c r="H36" i="27"/>
  <c r="L36" i="27" s="1"/>
  <c r="N36" i="27" s="1"/>
  <c r="D36" i="27"/>
  <c r="B36" i="27"/>
  <c r="T35" i="27"/>
  <c r="P35" i="27"/>
  <c r="H35" i="27"/>
  <c r="N35" i="27" s="1"/>
  <c r="D35" i="27"/>
  <c r="B35" i="27"/>
  <c r="Z34" i="27"/>
  <c r="T34" i="27"/>
  <c r="X34" i="27" s="1"/>
  <c r="P34" i="27"/>
  <c r="N34" i="27"/>
  <c r="H34" i="27"/>
  <c r="D34" i="27"/>
  <c r="L34" i="27" s="1"/>
  <c r="B34" i="27"/>
  <c r="X33" i="27"/>
  <c r="T33" i="27"/>
  <c r="P33" i="27"/>
  <c r="H33" i="27"/>
  <c r="D33" i="27"/>
  <c r="L33" i="27" s="1"/>
  <c r="N33" i="27" s="1"/>
  <c r="B33" i="27"/>
  <c r="X32" i="27"/>
  <c r="T32" i="27"/>
  <c r="P32" i="27"/>
  <c r="N32" i="27"/>
  <c r="L32" i="27"/>
  <c r="H32" i="27"/>
  <c r="D32" i="27"/>
  <c r="B32" i="27"/>
  <c r="T31" i="27"/>
  <c r="P31" i="27"/>
  <c r="H31" i="27"/>
  <c r="D31" i="27"/>
  <c r="B31" i="27"/>
  <c r="Z30" i="27"/>
  <c r="T30" i="27"/>
  <c r="X30" i="27" s="1"/>
  <c r="P30" i="27"/>
  <c r="N30" i="27"/>
  <c r="L30" i="27"/>
  <c r="H30" i="27"/>
  <c r="D30" i="27"/>
  <c r="B30" i="27"/>
  <c r="X29" i="27"/>
  <c r="Z29" i="27" s="1"/>
  <c r="T29" i="27"/>
  <c r="P29" i="27"/>
  <c r="N29" i="27"/>
  <c r="H29" i="27"/>
  <c r="D29" i="27"/>
  <c r="L29" i="27" s="1"/>
  <c r="B29" i="27"/>
  <c r="X28" i="27"/>
  <c r="T28" i="27"/>
  <c r="P28" i="27"/>
  <c r="H28" i="27"/>
  <c r="D28" i="27"/>
  <c r="B28" i="27"/>
  <c r="X27" i="27"/>
  <c r="T27" i="27"/>
  <c r="P27" i="27"/>
  <c r="H27" i="27"/>
  <c r="D27" i="27"/>
  <c r="B27" i="27"/>
  <c r="T26" i="27"/>
  <c r="X26" i="27" s="1"/>
  <c r="Z26" i="27" s="1"/>
  <c r="P26" i="27"/>
  <c r="H26" i="27"/>
  <c r="D26" i="27"/>
  <c r="L26" i="27" s="1"/>
  <c r="N26" i="27" s="1"/>
  <c r="B26" i="27"/>
  <c r="Z25" i="27"/>
  <c r="X25" i="27"/>
  <c r="T25" i="27"/>
  <c r="P25" i="27"/>
  <c r="H25" i="27"/>
  <c r="D25" i="27"/>
  <c r="L25" i="27" s="1"/>
  <c r="N25" i="27" s="1"/>
  <c r="B25" i="27"/>
  <c r="T24" i="27"/>
  <c r="P24" i="27"/>
  <c r="X24" i="27" s="1"/>
  <c r="H24" i="27"/>
  <c r="D24" i="27"/>
  <c r="B24" i="27"/>
  <c r="X23" i="27"/>
  <c r="T23" i="27"/>
  <c r="P23" i="27"/>
  <c r="N23" i="27"/>
  <c r="H23" i="27"/>
  <c r="D23" i="27"/>
  <c r="L23" i="27" s="1"/>
  <c r="B23" i="27"/>
  <c r="Z22" i="27"/>
  <c r="T22" i="27"/>
  <c r="X22" i="27" s="1"/>
  <c r="P22" i="27"/>
  <c r="H22" i="27"/>
  <c r="D22" i="27"/>
  <c r="L22" i="27" s="1"/>
  <c r="N22" i="27" s="1"/>
  <c r="B22" i="27"/>
  <c r="T21" i="27"/>
  <c r="P21" i="27"/>
  <c r="X21" i="27" s="1"/>
  <c r="Z21" i="27" s="1"/>
  <c r="H21" i="27"/>
  <c r="D21" i="27"/>
  <c r="L21" i="27" s="1"/>
  <c r="N21" i="27" s="1"/>
  <c r="B21" i="27"/>
  <c r="X20" i="27"/>
  <c r="T20" i="27"/>
  <c r="P20" i="27"/>
  <c r="H20" i="27"/>
  <c r="D20" i="27"/>
  <c r="B20" i="27"/>
  <c r="T19" i="27"/>
  <c r="P19" i="27"/>
  <c r="H19" i="27"/>
  <c r="D19" i="27"/>
  <c r="B19" i="27"/>
  <c r="T18" i="27"/>
  <c r="X18" i="27" s="1"/>
  <c r="Z18" i="27" s="1"/>
  <c r="P18" i="27"/>
  <c r="N18" i="27"/>
  <c r="H18" i="27"/>
  <c r="D18" i="27"/>
  <c r="L18" i="27" s="1"/>
  <c r="B18" i="27"/>
  <c r="Z17" i="27"/>
  <c r="X17" i="27"/>
  <c r="T17" i="27"/>
  <c r="P17" i="27"/>
  <c r="H17" i="27"/>
  <c r="D17" i="27"/>
  <c r="L17" i="27" s="1"/>
  <c r="N17" i="27" s="1"/>
  <c r="B17" i="27"/>
  <c r="T16" i="27"/>
  <c r="P16" i="27"/>
  <c r="X16" i="27" s="1"/>
  <c r="H16" i="27"/>
  <c r="D16" i="27"/>
  <c r="B16" i="27"/>
  <c r="X15" i="27"/>
  <c r="T15" i="27"/>
  <c r="P15" i="27"/>
  <c r="N15" i="27"/>
  <c r="H15" i="27"/>
  <c r="D15" i="27"/>
  <c r="L15" i="27" s="1"/>
  <c r="B15" i="27"/>
  <c r="Z14" i="27"/>
  <c r="T14" i="27"/>
  <c r="X14" i="27" s="1"/>
  <c r="P14" i="27"/>
  <c r="H14" i="27"/>
  <c r="D14" i="27"/>
  <c r="L14" i="27" s="1"/>
  <c r="N14" i="27" s="1"/>
  <c r="B14" i="27"/>
  <c r="Z13" i="27"/>
  <c r="T13" i="27"/>
  <c r="P13" i="27"/>
  <c r="N13" i="27"/>
  <c r="H13" i="27"/>
  <c r="D13" i="27"/>
  <c r="B13" i="27"/>
  <c r="D4" i="27"/>
  <c r="X131" i="24"/>
  <c r="Z131" i="24" s="1"/>
  <c r="N131" i="24"/>
  <c r="L131" i="24"/>
  <c r="T127" i="24"/>
  <c r="T126" i="24" s="1"/>
  <c r="P127" i="24"/>
  <c r="P126" i="24" s="1"/>
  <c r="X126" i="24" s="1"/>
  <c r="N127" i="24"/>
  <c r="H127" i="24"/>
  <c r="D127" i="24"/>
  <c r="L127" i="24" s="1"/>
  <c r="B127" i="24"/>
  <c r="L126" i="24"/>
  <c r="H126" i="24"/>
  <c r="N126" i="24" s="1"/>
  <c r="D126" i="24"/>
  <c r="X124" i="24"/>
  <c r="Z124" i="24" s="1"/>
  <c r="N124" i="24"/>
  <c r="L124" i="24"/>
  <c r="B124" i="24"/>
  <c r="X123" i="24"/>
  <c r="Z123" i="24" s="1"/>
  <c r="T123" i="24"/>
  <c r="P123" i="24"/>
  <c r="H123" i="24"/>
  <c r="N123" i="24" s="1"/>
  <c r="D123" i="24"/>
  <c r="B123" i="24"/>
  <c r="Z122" i="24"/>
  <c r="X122" i="24"/>
  <c r="N122" i="24"/>
  <c r="L122" i="24"/>
  <c r="B122" i="24"/>
  <c r="Z121" i="24"/>
  <c r="T121" i="24"/>
  <c r="P121" i="24"/>
  <c r="X121" i="24" s="1"/>
  <c r="N121" i="24"/>
  <c r="L121" i="24"/>
  <c r="H121" i="24"/>
  <c r="D121" i="24"/>
  <c r="B121" i="24"/>
  <c r="X120" i="24"/>
  <c r="Z120" i="24" s="1"/>
  <c r="L120" i="24"/>
  <c r="N120" i="24" s="1"/>
  <c r="B120" i="24"/>
  <c r="T119" i="24"/>
  <c r="Z119" i="24" s="1"/>
  <c r="P119" i="24"/>
  <c r="X119" i="24" s="1"/>
  <c r="N119" i="24"/>
  <c r="H119" i="24"/>
  <c r="D119" i="24"/>
  <c r="L119" i="24" s="1"/>
  <c r="B119" i="24"/>
  <c r="X118" i="24"/>
  <c r="Z118" i="24" s="1"/>
  <c r="L118" i="24"/>
  <c r="N118" i="24" s="1"/>
  <c r="B118" i="24"/>
  <c r="X117" i="24"/>
  <c r="Z117" i="24" s="1"/>
  <c r="N117" i="24"/>
  <c r="L117" i="24"/>
  <c r="B117" i="24"/>
  <c r="X116" i="24"/>
  <c r="Z116" i="24" s="1"/>
  <c r="N116" i="24"/>
  <c r="L116" i="24"/>
  <c r="B116" i="24"/>
  <c r="Z115" i="24"/>
  <c r="X115" i="24"/>
  <c r="N115" i="24"/>
  <c r="L115" i="24"/>
  <c r="B115" i="24"/>
  <c r="T114" i="24"/>
  <c r="P114" i="24"/>
  <c r="X114" i="24" s="1"/>
  <c r="L114" i="24"/>
  <c r="N114" i="24" s="1"/>
  <c r="H114" i="24"/>
  <c r="D114" i="24"/>
  <c r="B114" i="24"/>
  <c r="Z113" i="24"/>
  <c r="X113" i="24"/>
  <c r="N113" i="24"/>
  <c r="L113" i="24"/>
  <c r="B113" i="24"/>
  <c r="T112" i="24"/>
  <c r="P112" i="24"/>
  <c r="N112" i="24"/>
  <c r="H112" i="24"/>
  <c r="L112" i="24" s="1"/>
  <c r="D112" i="24"/>
  <c r="B112" i="24"/>
  <c r="X111" i="24"/>
  <c r="Z111" i="24" s="1"/>
  <c r="L111" i="24"/>
  <c r="N111" i="24" s="1"/>
  <c r="B111" i="24"/>
  <c r="Z110" i="24"/>
  <c r="X110" i="24"/>
  <c r="L110" i="24"/>
  <c r="N110" i="24" s="1"/>
  <c r="B110" i="24"/>
  <c r="T109" i="24"/>
  <c r="P109" i="24"/>
  <c r="X109" i="24" s="1"/>
  <c r="Z109" i="24" s="1"/>
  <c r="H109" i="24"/>
  <c r="D109" i="24"/>
  <c r="L109" i="24" s="1"/>
  <c r="N109" i="24" s="1"/>
  <c r="B109" i="24"/>
  <c r="X108" i="24"/>
  <c r="Z108" i="24" s="1"/>
  <c r="N108" i="24"/>
  <c r="L108" i="24"/>
  <c r="B108" i="24"/>
  <c r="X107" i="24"/>
  <c r="Z107" i="24" s="1"/>
  <c r="N107" i="24"/>
  <c r="L107" i="24"/>
  <c r="B107" i="24"/>
  <c r="X106" i="24"/>
  <c r="T106" i="24"/>
  <c r="Z106" i="24" s="1"/>
  <c r="P106" i="24"/>
  <c r="L106" i="24"/>
  <c r="H106" i="24"/>
  <c r="N106" i="24" s="1"/>
  <c r="D106" i="24"/>
  <c r="B106" i="24"/>
  <c r="Z105" i="24"/>
  <c r="X105" i="24"/>
  <c r="N105" i="24"/>
  <c r="L105" i="24"/>
  <c r="B105" i="24"/>
  <c r="T104" i="24"/>
  <c r="P104" i="24"/>
  <c r="X104" i="24" s="1"/>
  <c r="L104" i="24"/>
  <c r="H104" i="24"/>
  <c r="N104" i="24" s="1"/>
  <c r="D104" i="24"/>
  <c r="B104" i="24"/>
  <c r="X103" i="24"/>
  <c r="Z103" i="24" s="1"/>
  <c r="N103" i="24"/>
  <c r="L103" i="24"/>
  <c r="B103" i="24"/>
  <c r="T102" i="24"/>
  <c r="P102" i="24"/>
  <c r="X102" i="24" s="1"/>
  <c r="Z102" i="24" s="1"/>
  <c r="H102" i="24"/>
  <c r="N102" i="24" s="1"/>
  <c r="D102" i="24"/>
  <c r="B102" i="24"/>
  <c r="Z101" i="24"/>
  <c r="X101" i="24"/>
  <c r="N101" i="24"/>
  <c r="L101" i="24"/>
  <c r="B101" i="24"/>
  <c r="X100" i="24"/>
  <c r="T100" i="24"/>
  <c r="P100" i="24"/>
  <c r="H100" i="24"/>
  <c r="N100" i="24" s="1"/>
  <c r="D100" i="24"/>
  <c r="L100" i="24" s="1"/>
  <c r="B100" i="24"/>
  <c r="Z99" i="24"/>
  <c r="X99" i="24"/>
  <c r="N99" i="24"/>
  <c r="L99" i="24"/>
  <c r="B99" i="24"/>
  <c r="Z98" i="24"/>
  <c r="X98" i="24"/>
  <c r="N98" i="24"/>
  <c r="L98" i="24"/>
  <c r="B98" i="24"/>
  <c r="T97" i="24"/>
  <c r="P97" i="24"/>
  <c r="N97" i="24"/>
  <c r="L97" i="24"/>
  <c r="H97" i="24"/>
  <c r="D97" i="24"/>
  <c r="B97" i="24"/>
  <c r="X96" i="24"/>
  <c r="Z96" i="24" s="1"/>
  <c r="L96" i="24"/>
  <c r="N96" i="24" s="1"/>
  <c r="B96" i="24"/>
  <c r="T95" i="24"/>
  <c r="P95" i="24"/>
  <c r="X95" i="24" s="1"/>
  <c r="Z95" i="24" s="1"/>
  <c r="N95" i="24"/>
  <c r="H95" i="24"/>
  <c r="D95" i="24"/>
  <c r="L95" i="24" s="1"/>
  <c r="B95" i="24"/>
  <c r="X94" i="24"/>
  <c r="Z94" i="24" s="1"/>
  <c r="L94" i="24"/>
  <c r="N94" i="24" s="1"/>
  <c r="B94" i="24"/>
  <c r="T93" i="24"/>
  <c r="X93" i="24" s="1"/>
  <c r="Z93" i="24" s="1"/>
  <c r="P93" i="24"/>
  <c r="L93" i="24"/>
  <c r="N93" i="24" s="1"/>
  <c r="H93" i="24"/>
  <c r="D93" i="24"/>
  <c r="B93" i="24"/>
  <c r="X92" i="24"/>
  <c r="Z92" i="24" s="1"/>
  <c r="L92" i="24"/>
  <c r="N92" i="24" s="1"/>
  <c r="B92" i="24"/>
  <c r="Z91" i="24"/>
  <c r="X91" i="24"/>
  <c r="N91" i="24"/>
  <c r="L91" i="24"/>
  <c r="B91" i="24"/>
  <c r="Z90" i="24"/>
  <c r="X90" i="24"/>
  <c r="N90" i="24"/>
  <c r="L90" i="24"/>
  <c r="B90" i="24"/>
  <c r="Z89" i="24"/>
  <c r="X89" i="24"/>
  <c r="N89" i="24"/>
  <c r="L89" i="24"/>
  <c r="B89" i="24"/>
  <c r="X88" i="24"/>
  <c r="Z88" i="24" s="1"/>
  <c r="L88" i="24"/>
  <c r="N88" i="24" s="1"/>
  <c r="B88" i="24"/>
  <c r="Z87" i="24"/>
  <c r="X87" i="24"/>
  <c r="T87" i="24"/>
  <c r="P87" i="24"/>
  <c r="H87" i="24"/>
  <c r="D87" i="24"/>
  <c r="B87" i="24"/>
  <c r="Z86" i="24"/>
  <c r="X86" i="24"/>
  <c r="L86" i="24"/>
  <c r="N86" i="24" s="1"/>
  <c r="B86" i="24"/>
  <c r="Z85" i="24"/>
  <c r="X85" i="24"/>
  <c r="N85" i="24"/>
  <c r="L85" i="24"/>
  <c r="B85" i="24"/>
  <c r="X84" i="24"/>
  <c r="Z84" i="24" s="1"/>
  <c r="L84" i="24"/>
  <c r="N84" i="24" s="1"/>
  <c r="B84" i="24"/>
  <c r="X83" i="24"/>
  <c r="Z83" i="24" s="1"/>
  <c r="L83" i="24"/>
  <c r="N83" i="24" s="1"/>
  <c r="B83" i="24"/>
  <c r="Z82" i="24"/>
  <c r="X82" i="24"/>
  <c r="L82" i="24"/>
  <c r="N82" i="24" s="1"/>
  <c r="B82" i="24"/>
  <c r="Z81" i="24"/>
  <c r="X81" i="24"/>
  <c r="N81" i="24"/>
  <c r="L81" i="24"/>
  <c r="B81" i="24"/>
  <c r="X80" i="24"/>
  <c r="Z80" i="24" s="1"/>
  <c r="L80" i="24"/>
  <c r="N80" i="24" s="1"/>
  <c r="B80" i="24"/>
  <c r="X79" i="24"/>
  <c r="Z79" i="24" s="1"/>
  <c r="L79" i="24"/>
  <c r="N79" i="24" s="1"/>
  <c r="B79" i="24"/>
  <c r="T78" i="24"/>
  <c r="P78" i="24"/>
  <c r="X78" i="24" s="1"/>
  <c r="Z78" i="24" s="1"/>
  <c r="H78" i="24"/>
  <c r="D78" i="24"/>
  <c r="L78" i="24" s="1"/>
  <c r="B78" i="24"/>
  <c r="T77" i="24"/>
  <c r="P77" i="24"/>
  <c r="H77" i="24"/>
  <c r="D77" i="24"/>
  <c r="L77" i="24" s="1"/>
  <c r="N77" i="24" s="1"/>
  <c r="X73" i="24"/>
  <c r="Z73" i="24" s="1"/>
  <c r="N73" i="24"/>
  <c r="L73" i="24"/>
  <c r="B73" i="24"/>
  <c r="X72" i="24"/>
  <c r="Z72" i="24" s="1"/>
  <c r="N72" i="24"/>
  <c r="L72" i="24"/>
  <c r="B72" i="24"/>
  <c r="X71" i="24"/>
  <c r="Z71" i="24" s="1"/>
  <c r="N71" i="24"/>
  <c r="L71" i="24"/>
  <c r="B71" i="24"/>
  <c r="X70" i="24"/>
  <c r="Z70" i="24" s="1"/>
  <c r="N70" i="24"/>
  <c r="L70" i="24"/>
  <c r="B70" i="24"/>
  <c r="X69" i="24"/>
  <c r="Z69" i="24" s="1"/>
  <c r="N69" i="24"/>
  <c r="L69" i="24"/>
  <c r="B69" i="24"/>
  <c r="X68" i="24"/>
  <c r="Z68" i="24" s="1"/>
  <c r="L68" i="24"/>
  <c r="N68" i="24" s="1"/>
  <c r="B68" i="24"/>
  <c r="X67" i="24"/>
  <c r="Z67" i="24" s="1"/>
  <c r="N67" i="24"/>
  <c r="L67" i="24"/>
  <c r="B67" i="24"/>
  <c r="Z66" i="24"/>
  <c r="X66" i="24"/>
  <c r="L66" i="24"/>
  <c r="N66" i="24" s="1"/>
  <c r="B66" i="24"/>
  <c r="X65" i="24"/>
  <c r="Z65" i="24" s="1"/>
  <c r="N65" i="24"/>
  <c r="L65" i="24"/>
  <c r="B65" i="24"/>
  <c r="X64" i="24"/>
  <c r="Z64" i="24" s="1"/>
  <c r="N64" i="24"/>
  <c r="L64" i="24"/>
  <c r="B64" i="24"/>
  <c r="X63" i="24"/>
  <c r="Z63" i="24" s="1"/>
  <c r="N63" i="24"/>
  <c r="L63" i="24"/>
  <c r="B63" i="24"/>
  <c r="X62" i="24"/>
  <c r="Z62" i="24" s="1"/>
  <c r="N62" i="24"/>
  <c r="L62" i="24"/>
  <c r="B62" i="24"/>
  <c r="X61" i="24"/>
  <c r="Z61" i="24" s="1"/>
  <c r="N61" i="24"/>
  <c r="L61" i="24"/>
  <c r="B61" i="24"/>
  <c r="X60" i="24"/>
  <c r="Z60" i="24" s="1"/>
  <c r="N60" i="24"/>
  <c r="L60" i="24"/>
  <c r="B60" i="24"/>
  <c r="X59" i="24"/>
  <c r="Z59" i="24" s="1"/>
  <c r="N59" i="24"/>
  <c r="L59" i="24"/>
  <c r="B59" i="24"/>
  <c r="Z58" i="24"/>
  <c r="X58" i="24"/>
  <c r="N58" i="24"/>
  <c r="L58" i="24"/>
  <c r="B58" i="24"/>
  <c r="X57" i="24"/>
  <c r="Z57" i="24" s="1"/>
  <c r="N57" i="24"/>
  <c r="L57" i="24"/>
  <c r="B57" i="24"/>
  <c r="X56" i="24"/>
  <c r="Z56" i="24" s="1"/>
  <c r="L56" i="24"/>
  <c r="N56" i="24" s="1"/>
  <c r="B56" i="24"/>
  <c r="X55" i="24"/>
  <c r="Z55" i="24" s="1"/>
  <c r="N55" i="24"/>
  <c r="L55" i="24"/>
  <c r="B55" i="24"/>
  <c r="X54" i="24"/>
  <c r="Z54" i="24" s="1"/>
  <c r="N54" i="24"/>
  <c r="L54" i="24"/>
  <c r="B54" i="24"/>
  <c r="X53" i="24"/>
  <c r="Z53" i="24" s="1"/>
  <c r="N53" i="24"/>
  <c r="L53" i="24"/>
  <c r="B53" i="24"/>
  <c r="Z52" i="24"/>
  <c r="X52" i="24"/>
  <c r="N52" i="24"/>
  <c r="L52" i="24"/>
  <c r="B52" i="24"/>
  <c r="X51" i="24"/>
  <c r="Z51" i="24" s="1"/>
  <c r="N51" i="24"/>
  <c r="L51" i="24"/>
  <c r="B51" i="24"/>
  <c r="T50" i="24"/>
  <c r="P50" i="24"/>
  <c r="X50" i="24" s="1"/>
  <c r="Z50" i="24" s="1"/>
  <c r="L50" i="24"/>
  <c r="H50" i="24"/>
  <c r="D50" i="24"/>
  <c r="Z48" i="24"/>
  <c r="X48" i="24"/>
  <c r="T48" i="24"/>
  <c r="P48" i="24"/>
  <c r="N48" i="24"/>
  <c r="L48" i="24"/>
  <c r="H48" i="24"/>
  <c r="D48" i="24"/>
  <c r="B48" i="24"/>
  <c r="T47" i="24"/>
  <c r="Z47" i="24" s="1"/>
  <c r="P47" i="24"/>
  <c r="X47" i="24" s="1"/>
  <c r="N47" i="24"/>
  <c r="H47" i="24"/>
  <c r="D47" i="24"/>
  <c r="L47" i="24" s="1"/>
  <c r="B47" i="24"/>
  <c r="X46" i="24"/>
  <c r="T46" i="24"/>
  <c r="P46" i="24"/>
  <c r="H46" i="24"/>
  <c r="N46" i="24" s="1"/>
  <c r="D46" i="24"/>
  <c r="B46" i="24"/>
  <c r="X45" i="24"/>
  <c r="T45" i="24"/>
  <c r="P45" i="24"/>
  <c r="N45" i="24"/>
  <c r="L45" i="24"/>
  <c r="H45" i="24"/>
  <c r="D45" i="24"/>
  <c r="B45" i="24"/>
  <c r="X44" i="24"/>
  <c r="Z44" i="24" s="1"/>
  <c r="T44" i="24"/>
  <c r="P44" i="24"/>
  <c r="H44" i="24"/>
  <c r="D44" i="24"/>
  <c r="L44" i="24" s="1"/>
  <c r="N44" i="24" s="1"/>
  <c r="B44" i="24"/>
  <c r="T43" i="24"/>
  <c r="P43" i="24"/>
  <c r="X43" i="24" s="1"/>
  <c r="H43" i="24"/>
  <c r="D43" i="24"/>
  <c r="L43" i="24" s="1"/>
  <c r="N43" i="24" s="1"/>
  <c r="B43" i="24"/>
  <c r="X42" i="24"/>
  <c r="T42" i="24"/>
  <c r="P42" i="24"/>
  <c r="H42" i="24"/>
  <c r="D42" i="24"/>
  <c r="B42" i="24"/>
  <c r="T41" i="24"/>
  <c r="P41" i="24"/>
  <c r="N41" i="24"/>
  <c r="L41" i="24"/>
  <c r="H41" i="24"/>
  <c r="D41" i="24"/>
  <c r="B41" i="24"/>
  <c r="X40" i="24"/>
  <c r="Z40" i="24" s="1"/>
  <c r="T40" i="24"/>
  <c r="P40" i="24"/>
  <c r="N40" i="24"/>
  <c r="L40" i="24"/>
  <c r="H40" i="24"/>
  <c r="D40" i="24"/>
  <c r="B40" i="24"/>
  <c r="T39" i="24"/>
  <c r="P39" i="24"/>
  <c r="X39" i="24" s="1"/>
  <c r="H39" i="24"/>
  <c r="D39" i="24"/>
  <c r="L39" i="24" s="1"/>
  <c r="N39" i="24" s="1"/>
  <c r="B39" i="24"/>
  <c r="X38" i="24"/>
  <c r="T38" i="24"/>
  <c r="Z38" i="24" s="1"/>
  <c r="P38" i="24"/>
  <c r="H38" i="24"/>
  <c r="D38" i="24"/>
  <c r="L38" i="24" s="1"/>
  <c r="B38" i="24"/>
  <c r="T37" i="24"/>
  <c r="P37" i="24"/>
  <c r="N37" i="24"/>
  <c r="L37" i="24"/>
  <c r="H37" i="24"/>
  <c r="D37" i="24"/>
  <c r="B37" i="24"/>
  <c r="Z36" i="24"/>
  <c r="X36" i="24"/>
  <c r="T36" i="24"/>
  <c r="P36" i="24"/>
  <c r="L36" i="24"/>
  <c r="N36" i="24" s="1"/>
  <c r="H36" i="24"/>
  <c r="D36" i="24"/>
  <c r="B36" i="24"/>
  <c r="T35" i="24"/>
  <c r="Z35" i="24" s="1"/>
  <c r="P35" i="24"/>
  <c r="X35" i="24" s="1"/>
  <c r="N35" i="24"/>
  <c r="H35" i="24"/>
  <c r="D35" i="24"/>
  <c r="L35" i="24" s="1"/>
  <c r="B35" i="24"/>
  <c r="X34" i="24"/>
  <c r="T34" i="24"/>
  <c r="P34" i="24"/>
  <c r="H34" i="24"/>
  <c r="D34" i="24"/>
  <c r="B34" i="24"/>
  <c r="X33" i="24"/>
  <c r="T33" i="24"/>
  <c r="P33" i="24"/>
  <c r="N33" i="24"/>
  <c r="L33" i="24"/>
  <c r="H33" i="24"/>
  <c r="D33" i="24"/>
  <c r="B33" i="24"/>
  <c r="Z32" i="24"/>
  <c r="X32" i="24"/>
  <c r="T32" i="24"/>
  <c r="P32" i="24"/>
  <c r="H32" i="24"/>
  <c r="D32" i="24"/>
  <c r="L32" i="24" s="1"/>
  <c r="N32" i="24" s="1"/>
  <c r="B32" i="24"/>
  <c r="T31" i="24"/>
  <c r="P31" i="24"/>
  <c r="X31" i="24" s="1"/>
  <c r="H31" i="24"/>
  <c r="D31" i="24"/>
  <c r="L31" i="24" s="1"/>
  <c r="N31" i="24" s="1"/>
  <c r="B31" i="24"/>
  <c r="X30" i="24"/>
  <c r="T30" i="24"/>
  <c r="P30" i="24"/>
  <c r="H30" i="24"/>
  <c r="D30" i="24"/>
  <c r="L30" i="24" s="1"/>
  <c r="B30" i="24"/>
  <c r="T29" i="24"/>
  <c r="P29" i="24"/>
  <c r="N29" i="24"/>
  <c r="L29" i="24"/>
  <c r="H29" i="24"/>
  <c r="D29" i="24"/>
  <c r="B29" i="24"/>
  <c r="X28" i="24"/>
  <c r="Z28" i="24" s="1"/>
  <c r="T28" i="24"/>
  <c r="P28" i="24"/>
  <c r="L28" i="24"/>
  <c r="N28" i="24" s="1"/>
  <c r="H28" i="24"/>
  <c r="D28" i="24"/>
  <c r="B28" i="24"/>
  <c r="T27" i="24"/>
  <c r="P27" i="24"/>
  <c r="X27" i="24" s="1"/>
  <c r="N27" i="24"/>
  <c r="H27" i="24"/>
  <c r="D27" i="24"/>
  <c r="L27" i="24" s="1"/>
  <c r="B27" i="24"/>
  <c r="X26" i="24"/>
  <c r="T26" i="24"/>
  <c r="Z26" i="24" s="1"/>
  <c r="P26" i="24"/>
  <c r="H26" i="24"/>
  <c r="D26" i="24"/>
  <c r="L26" i="24" s="1"/>
  <c r="B26" i="24"/>
  <c r="T25" i="24"/>
  <c r="P25" i="24"/>
  <c r="N25" i="24"/>
  <c r="L25" i="24"/>
  <c r="H25" i="24"/>
  <c r="D25" i="24"/>
  <c r="B25" i="24"/>
  <c r="Z24" i="24"/>
  <c r="X24" i="24"/>
  <c r="T24" i="24"/>
  <c r="P24" i="24"/>
  <c r="L24" i="24"/>
  <c r="N24" i="24" s="1"/>
  <c r="H24" i="24"/>
  <c r="D24" i="24"/>
  <c r="B24" i="24"/>
  <c r="T23" i="24"/>
  <c r="Z23" i="24" s="1"/>
  <c r="P23" i="24"/>
  <c r="X23" i="24" s="1"/>
  <c r="N23" i="24"/>
  <c r="H23" i="24"/>
  <c r="D23" i="24"/>
  <c r="L23" i="24" s="1"/>
  <c r="B23" i="24"/>
  <c r="X22" i="24"/>
  <c r="T22" i="24"/>
  <c r="P22" i="24"/>
  <c r="H22" i="24"/>
  <c r="D22" i="24"/>
  <c r="B22" i="24"/>
  <c r="X21" i="24"/>
  <c r="T21" i="24"/>
  <c r="P21" i="24"/>
  <c r="N21" i="24"/>
  <c r="L21" i="24"/>
  <c r="H21" i="24"/>
  <c r="D21" i="24"/>
  <c r="B21" i="24"/>
  <c r="Z20" i="24"/>
  <c r="X20" i="24"/>
  <c r="T20" i="24"/>
  <c r="P20" i="24"/>
  <c r="H20" i="24"/>
  <c r="D20" i="24"/>
  <c r="L20" i="24" s="1"/>
  <c r="N20" i="24" s="1"/>
  <c r="B20" i="24"/>
  <c r="T19" i="24"/>
  <c r="Z19" i="24" s="1"/>
  <c r="P19" i="24"/>
  <c r="X19" i="24" s="1"/>
  <c r="H19" i="24"/>
  <c r="D19" i="24"/>
  <c r="L19" i="24" s="1"/>
  <c r="N19" i="24" s="1"/>
  <c r="B19" i="24"/>
  <c r="X18" i="24"/>
  <c r="T18" i="24"/>
  <c r="Z18" i="24" s="1"/>
  <c r="P18" i="24"/>
  <c r="H18" i="24"/>
  <c r="D18" i="24"/>
  <c r="L18" i="24" s="1"/>
  <c r="B18" i="24"/>
  <c r="X17" i="24"/>
  <c r="T17" i="24"/>
  <c r="P17" i="24"/>
  <c r="N17" i="24"/>
  <c r="L17" i="24"/>
  <c r="H17" i="24"/>
  <c r="D17" i="24"/>
  <c r="B17" i="24"/>
  <c r="X16" i="24"/>
  <c r="Z16" i="24" s="1"/>
  <c r="T16" i="24"/>
  <c r="P16" i="24"/>
  <c r="H16" i="24"/>
  <c r="D16" i="24"/>
  <c r="L16" i="24" s="1"/>
  <c r="N16" i="24" s="1"/>
  <c r="B16" i="24"/>
  <c r="T15" i="24"/>
  <c r="P15" i="24"/>
  <c r="N15" i="24"/>
  <c r="H15" i="24"/>
  <c r="D15" i="24"/>
  <c r="L15" i="24" s="1"/>
  <c r="B15" i="24"/>
  <c r="X14" i="24"/>
  <c r="T14" i="24"/>
  <c r="Z14" i="24" s="1"/>
  <c r="P14" i="24"/>
  <c r="H14" i="24"/>
  <c r="D14" i="24"/>
  <c r="L14" i="24" s="1"/>
  <c r="B14" i="24"/>
  <c r="T13" i="24"/>
  <c r="P13" i="24"/>
  <c r="N13" i="24"/>
  <c r="L13" i="24"/>
  <c r="H13" i="24"/>
  <c r="D13" i="24"/>
  <c r="B13" i="24"/>
  <c r="D4" i="24"/>
  <c r="X104" i="21"/>
  <c r="Z104" i="21" s="1"/>
  <c r="L104" i="21"/>
  <c r="N104" i="21" s="1"/>
  <c r="Z100" i="21"/>
  <c r="T100" i="21"/>
  <c r="P100" i="21"/>
  <c r="X100" i="21" s="1"/>
  <c r="H100" i="21"/>
  <c r="N100" i="21" s="1"/>
  <c r="D100" i="21"/>
  <c r="Z98" i="21"/>
  <c r="X98" i="21"/>
  <c r="L98" i="21"/>
  <c r="N98" i="21" s="1"/>
  <c r="B98" i="21"/>
  <c r="X97" i="21"/>
  <c r="Z97" i="21" s="1"/>
  <c r="T97" i="21"/>
  <c r="P97" i="21"/>
  <c r="H97" i="21"/>
  <c r="D97" i="21"/>
  <c r="L97" i="21" s="1"/>
  <c r="B97" i="21"/>
  <c r="Z96" i="21"/>
  <c r="X96" i="21"/>
  <c r="N96" i="21"/>
  <c r="L96" i="21"/>
  <c r="B96" i="21"/>
  <c r="T95" i="21"/>
  <c r="P95" i="21"/>
  <c r="N95" i="21"/>
  <c r="H95" i="21"/>
  <c r="D95" i="21"/>
  <c r="L95" i="21" s="1"/>
  <c r="B95" i="21"/>
  <c r="X94" i="21"/>
  <c r="Z94" i="21" s="1"/>
  <c r="N94" i="21"/>
  <c r="L94" i="21"/>
  <c r="B94" i="21"/>
  <c r="Z93" i="21"/>
  <c r="X93" i="21"/>
  <c r="T93" i="21"/>
  <c r="P93" i="21"/>
  <c r="L93" i="21"/>
  <c r="H93" i="21"/>
  <c r="D93" i="21"/>
  <c r="B93" i="21"/>
  <c r="Z92" i="21"/>
  <c r="X92" i="21"/>
  <c r="N92" i="21"/>
  <c r="L92" i="21"/>
  <c r="B92" i="21"/>
  <c r="X91" i="21"/>
  <c r="Z91" i="21" s="1"/>
  <c r="N91" i="21"/>
  <c r="L91" i="21"/>
  <c r="B91" i="21"/>
  <c r="Z90" i="21"/>
  <c r="X90" i="21"/>
  <c r="L90" i="21"/>
  <c r="N90" i="21" s="1"/>
  <c r="B90" i="21"/>
  <c r="Z89" i="21"/>
  <c r="X89" i="21"/>
  <c r="N89" i="21"/>
  <c r="L89" i="21"/>
  <c r="B89" i="21"/>
  <c r="Z88" i="21"/>
  <c r="X88" i="21"/>
  <c r="N88" i="21"/>
  <c r="L88" i="21"/>
  <c r="B88" i="21"/>
  <c r="X87" i="21"/>
  <c r="Z87" i="21" s="1"/>
  <c r="L87" i="21"/>
  <c r="N87" i="21" s="1"/>
  <c r="B87" i="21"/>
  <c r="Z86" i="21"/>
  <c r="X86" i="21"/>
  <c r="N86" i="21"/>
  <c r="L86" i="21"/>
  <c r="B86" i="21"/>
  <c r="X85" i="21"/>
  <c r="Z85" i="21" s="1"/>
  <c r="N85" i="21"/>
  <c r="L85" i="21"/>
  <c r="B85" i="21"/>
  <c r="T84" i="21"/>
  <c r="P84" i="21"/>
  <c r="N84" i="21"/>
  <c r="H84" i="21"/>
  <c r="D84" i="21"/>
  <c r="L84" i="21" s="1"/>
  <c r="B84" i="21"/>
  <c r="X83" i="21"/>
  <c r="Z83" i="21" s="1"/>
  <c r="L83" i="21"/>
  <c r="N83" i="21" s="1"/>
  <c r="B83" i="21"/>
  <c r="X82" i="21"/>
  <c r="Z82" i="21" s="1"/>
  <c r="T82" i="21"/>
  <c r="P82" i="21"/>
  <c r="H82" i="21"/>
  <c r="D82" i="21"/>
  <c r="L82" i="21" s="1"/>
  <c r="N82" i="21" s="1"/>
  <c r="B82" i="21"/>
  <c r="Z81" i="21"/>
  <c r="X81" i="21"/>
  <c r="N81" i="21"/>
  <c r="L81" i="21"/>
  <c r="B81" i="21"/>
  <c r="X80" i="21"/>
  <c r="Z80" i="21" s="1"/>
  <c r="N80" i="21"/>
  <c r="L80" i="21"/>
  <c r="B80" i="21"/>
  <c r="X79" i="21"/>
  <c r="Z79" i="21" s="1"/>
  <c r="N79" i="21"/>
  <c r="L79" i="21"/>
  <c r="B79" i="21"/>
  <c r="Z78" i="21"/>
  <c r="X78" i="21"/>
  <c r="N78" i="21"/>
  <c r="L78" i="21"/>
  <c r="B78" i="21"/>
  <c r="T77" i="21"/>
  <c r="P77" i="21"/>
  <c r="X77" i="21" s="1"/>
  <c r="Z77" i="21" s="1"/>
  <c r="L77" i="21"/>
  <c r="H77" i="21"/>
  <c r="N77" i="21" s="1"/>
  <c r="D77" i="21"/>
  <c r="B77" i="21"/>
  <c r="Z76" i="21"/>
  <c r="X76" i="21"/>
  <c r="N76" i="21"/>
  <c r="L76" i="21"/>
  <c r="B76" i="21"/>
  <c r="T75" i="21"/>
  <c r="P75" i="21"/>
  <c r="X75" i="21" s="1"/>
  <c r="N75" i="21"/>
  <c r="L75" i="21"/>
  <c r="H75" i="21"/>
  <c r="D75" i="21"/>
  <c r="B75" i="21"/>
  <c r="X74" i="21"/>
  <c r="Z74" i="21" s="1"/>
  <c r="L74" i="21"/>
  <c r="N74" i="21" s="1"/>
  <c r="B74" i="21"/>
  <c r="Z73" i="21"/>
  <c r="X73" i="21"/>
  <c r="N73" i="21"/>
  <c r="L73" i="21"/>
  <c r="B73" i="21"/>
  <c r="Z72" i="21"/>
  <c r="X72" i="21"/>
  <c r="N72" i="21"/>
  <c r="L72" i="21"/>
  <c r="B72" i="21"/>
  <c r="T71" i="21"/>
  <c r="P71" i="21"/>
  <c r="N71" i="21"/>
  <c r="H71" i="21"/>
  <c r="D71" i="21"/>
  <c r="L71" i="21" s="1"/>
  <c r="B71" i="21"/>
  <c r="Z70" i="21"/>
  <c r="X70" i="21"/>
  <c r="L70" i="21"/>
  <c r="N70" i="21" s="1"/>
  <c r="B70" i="21"/>
  <c r="X69" i="21"/>
  <c r="T69" i="21"/>
  <c r="Z69" i="21" s="1"/>
  <c r="P69" i="21"/>
  <c r="L69" i="21"/>
  <c r="H69" i="21"/>
  <c r="D69" i="21"/>
  <c r="B69" i="21"/>
  <c r="Z68" i="21"/>
  <c r="X68" i="21"/>
  <c r="N68" i="21"/>
  <c r="L68" i="21"/>
  <c r="B68" i="21"/>
  <c r="T67" i="21"/>
  <c r="P67" i="21"/>
  <c r="N67" i="21"/>
  <c r="L67" i="21"/>
  <c r="H67" i="21"/>
  <c r="D67" i="21"/>
  <c r="B67" i="21"/>
  <c r="X66" i="21"/>
  <c r="Z66" i="21" s="1"/>
  <c r="N66" i="21"/>
  <c r="L66" i="21"/>
  <c r="B66" i="21"/>
  <c r="T65" i="21"/>
  <c r="P65" i="21"/>
  <c r="X65" i="21" s="1"/>
  <c r="Z65" i="21" s="1"/>
  <c r="H65" i="21"/>
  <c r="D65" i="21"/>
  <c r="B65" i="21"/>
  <c r="X64" i="21"/>
  <c r="Z64" i="21" s="1"/>
  <c r="N64" i="21"/>
  <c r="L64" i="21"/>
  <c r="B64" i="21"/>
  <c r="X63" i="21"/>
  <c r="T63" i="21"/>
  <c r="Z63" i="21" s="1"/>
  <c r="P63" i="21"/>
  <c r="H63" i="21"/>
  <c r="D63" i="21"/>
  <c r="B63" i="21"/>
  <c r="X62" i="21"/>
  <c r="Z62" i="21" s="1"/>
  <c r="L62" i="21"/>
  <c r="N62" i="21" s="1"/>
  <c r="B62" i="21"/>
  <c r="X61" i="21"/>
  <c r="T61" i="21"/>
  <c r="Z61" i="21" s="1"/>
  <c r="P61" i="21"/>
  <c r="H61" i="21"/>
  <c r="D61" i="21"/>
  <c r="B61" i="21"/>
  <c r="Z60" i="21"/>
  <c r="X60" i="21"/>
  <c r="N60" i="21"/>
  <c r="L60" i="21"/>
  <c r="B60" i="21"/>
  <c r="T59" i="21"/>
  <c r="P59" i="21"/>
  <c r="X59" i="21" s="1"/>
  <c r="N59" i="21"/>
  <c r="H59" i="21"/>
  <c r="D59" i="21"/>
  <c r="L59" i="21" s="1"/>
  <c r="B59" i="21"/>
  <c r="X58" i="21"/>
  <c r="Z58" i="21" s="1"/>
  <c r="N58" i="21"/>
  <c r="L58" i="21"/>
  <c r="B58" i="21"/>
  <c r="Z57" i="21"/>
  <c r="X57" i="21"/>
  <c r="T57" i="21"/>
  <c r="P57" i="21"/>
  <c r="L57" i="21"/>
  <c r="H57" i="21"/>
  <c r="N57" i="21" s="1"/>
  <c r="D57" i="21"/>
  <c r="B57" i="21"/>
  <c r="Z56" i="21"/>
  <c r="X56" i="21"/>
  <c r="N56" i="21"/>
  <c r="L56" i="21"/>
  <c r="B56" i="21"/>
  <c r="T55" i="21"/>
  <c r="P55" i="21"/>
  <c r="X55" i="21" s="1"/>
  <c r="H55" i="21"/>
  <c r="D55" i="21"/>
  <c r="B55" i="21"/>
  <c r="X54" i="21"/>
  <c r="Z54" i="21" s="1"/>
  <c r="L54" i="21"/>
  <c r="N54" i="21" s="1"/>
  <c r="B54" i="21"/>
  <c r="Z53" i="21"/>
  <c r="X53" i="21"/>
  <c r="N53" i="21"/>
  <c r="L53" i="21"/>
  <c r="B53" i="21"/>
  <c r="T52" i="21"/>
  <c r="P52" i="21"/>
  <c r="H52" i="21"/>
  <c r="D52" i="21"/>
  <c r="L52" i="21" s="1"/>
  <c r="N52" i="21" s="1"/>
  <c r="B52" i="21"/>
  <c r="X51" i="21"/>
  <c r="Z51" i="21" s="1"/>
  <c r="L51" i="21"/>
  <c r="N51" i="21" s="1"/>
  <c r="B51" i="21"/>
  <c r="T50" i="21"/>
  <c r="P50" i="21"/>
  <c r="X50" i="21" s="1"/>
  <c r="Z50" i="21" s="1"/>
  <c r="L50" i="21"/>
  <c r="H50" i="21"/>
  <c r="N50" i="21" s="1"/>
  <c r="D50" i="21"/>
  <c r="B50" i="21"/>
  <c r="Z49" i="21"/>
  <c r="X49" i="21"/>
  <c r="N49" i="21"/>
  <c r="L49" i="21"/>
  <c r="B49" i="21"/>
  <c r="T48" i="21"/>
  <c r="P48" i="21"/>
  <c r="L48" i="21"/>
  <c r="N48" i="21" s="1"/>
  <c r="H48" i="21"/>
  <c r="D48" i="21"/>
  <c r="B48" i="21"/>
  <c r="Z47" i="21"/>
  <c r="X47" i="21"/>
  <c r="L47" i="21"/>
  <c r="N47" i="21" s="1"/>
  <c r="B47" i="21"/>
  <c r="T46" i="21"/>
  <c r="P46" i="21"/>
  <c r="X46" i="21" s="1"/>
  <c r="Z46" i="21" s="1"/>
  <c r="H46" i="21"/>
  <c r="N46" i="21" s="1"/>
  <c r="D46" i="21"/>
  <c r="L46" i="21" s="1"/>
  <c r="B46" i="21"/>
  <c r="X45" i="21"/>
  <c r="Z45" i="21" s="1"/>
  <c r="N45" i="21"/>
  <c r="L45" i="21"/>
  <c r="B45" i="21"/>
  <c r="Z44" i="21"/>
  <c r="X44" i="21"/>
  <c r="N44" i="21"/>
  <c r="L44" i="21"/>
  <c r="F44" i="21"/>
  <c r="B44" i="21"/>
  <c r="X43" i="21"/>
  <c r="Z43" i="21" s="1"/>
  <c r="L43" i="21"/>
  <c r="N43" i="21" s="1"/>
  <c r="B43" i="21"/>
  <c r="X42" i="21"/>
  <c r="Z42" i="21" s="1"/>
  <c r="L42" i="21"/>
  <c r="N42" i="21" s="1"/>
  <c r="B42" i="21"/>
  <c r="X41" i="21"/>
  <c r="Z41" i="21" s="1"/>
  <c r="N41" i="21"/>
  <c r="L41" i="21"/>
  <c r="B41" i="21"/>
  <c r="Z40" i="21"/>
  <c r="X40" i="21"/>
  <c r="N40" i="21"/>
  <c r="L40" i="21"/>
  <c r="F40" i="21"/>
  <c r="B40" i="21"/>
  <c r="T39" i="21"/>
  <c r="Z39" i="21" s="1"/>
  <c r="P39" i="21"/>
  <c r="X39" i="21" s="1"/>
  <c r="L39" i="21"/>
  <c r="N39" i="21" s="1"/>
  <c r="H39" i="21"/>
  <c r="D39" i="21"/>
  <c r="B39" i="21"/>
  <c r="X38" i="21"/>
  <c r="Z38" i="21" s="1"/>
  <c r="N38" i="21"/>
  <c r="L38" i="21"/>
  <c r="B38" i="21"/>
  <c r="Z37" i="21"/>
  <c r="X37" i="21"/>
  <c r="N37" i="21"/>
  <c r="L37" i="21"/>
  <c r="F37" i="21"/>
  <c r="B37" i="21"/>
  <c r="Z36" i="21"/>
  <c r="X36" i="21"/>
  <c r="N36" i="21"/>
  <c r="L36" i="21"/>
  <c r="B36" i="21"/>
  <c r="X35" i="21"/>
  <c r="Z35" i="21" s="1"/>
  <c r="N35" i="21"/>
  <c r="L35" i="21"/>
  <c r="B35" i="21"/>
  <c r="X34" i="21"/>
  <c r="Z34" i="21" s="1"/>
  <c r="N34" i="21"/>
  <c r="L34" i="21"/>
  <c r="B34" i="21"/>
  <c r="Z33" i="21"/>
  <c r="X33" i="21"/>
  <c r="N33" i="21"/>
  <c r="L33" i="21"/>
  <c r="B33" i="21"/>
  <c r="Z32" i="21"/>
  <c r="X32" i="21"/>
  <c r="N32" i="21"/>
  <c r="L32" i="21"/>
  <c r="B32" i="21"/>
  <c r="X31" i="21"/>
  <c r="Z31" i="21" s="1"/>
  <c r="N31" i="21"/>
  <c r="L31" i="21"/>
  <c r="B31" i="21"/>
  <c r="X30" i="21"/>
  <c r="Z30" i="21" s="1"/>
  <c r="T30" i="21"/>
  <c r="P30" i="21"/>
  <c r="H30" i="21"/>
  <c r="D30" i="21"/>
  <c r="B30" i="21"/>
  <c r="T29" i="21"/>
  <c r="P29" i="21"/>
  <c r="H29" i="21"/>
  <c r="D29" i="21"/>
  <c r="L29" i="21" s="1"/>
  <c r="Z25" i="21"/>
  <c r="X25" i="21"/>
  <c r="L25" i="21"/>
  <c r="N25" i="21" s="1"/>
  <c r="B25" i="21"/>
  <c r="Z24" i="21"/>
  <c r="X24" i="21"/>
  <c r="N24" i="21"/>
  <c r="L24" i="21"/>
  <c r="B24" i="21"/>
  <c r="T23" i="21"/>
  <c r="Z23" i="21" s="1"/>
  <c r="P23" i="21"/>
  <c r="X23" i="21" s="1"/>
  <c r="H23" i="21"/>
  <c r="D23" i="21"/>
  <c r="T21" i="21"/>
  <c r="P21" i="21"/>
  <c r="L21" i="21"/>
  <c r="H21" i="21"/>
  <c r="N21" i="21" s="1"/>
  <c r="D21" i="21"/>
  <c r="B21" i="21"/>
  <c r="T20" i="21"/>
  <c r="P20" i="21"/>
  <c r="X20" i="21" s="1"/>
  <c r="Z20" i="21" s="1"/>
  <c r="L20" i="21"/>
  <c r="H20" i="21"/>
  <c r="N20" i="21" s="1"/>
  <c r="D20" i="21"/>
  <c r="B20" i="21"/>
  <c r="T19" i="21"/>
  <c r="P19" i="21"/>
  <c r="X19" i="21" s="1"/>
  <c r="Z19" i="21" s="1"/>
  <c r="L19" i="21"/>
  <c r="H19" i="21"/>
  <c r="N19" i="21" s="1"/>
  <c r="D19" i="21"/>
  <c r="B19" i="21"/>
  <c r="T18" i="21"/>
  <c r="P18" i="21"/>
  <c r="X18" i="21" s="1"/>
  <c r="H18" i="21"/>
  <c r="D18" i="21"/>
  <c r="B18" i="21"/>
  <c r="T17" i="21"/>
  <c r="P17" i="21"/>
  <c r="L17" i="21"/>
  <c r="H17" i="21"/>
  <c r="N17" i="21" s="1"/>
  <c r="D17" i="21"/>
  <c r="B17" i="21"/>
  <c r="T16" i="21"/>
  <c r="P16" i="21"/>
  <c r="X16" i="21" s="1"/>
  <c r="Z16" i="21" s="1"/>
  <c r="L16" i="21"/>
  <c r="H16" i="21"/>
  <c r="N16" i="21" s="1"/>
  <c r="D16" i="21"/>
  <c r="B16" i="21"/>
  <c r="T15" i="21"/>
  <c r="P15" i="21"/>
  <c r="X15" i="21" s="1"/>
  <c r="Z15" i="21" s="1"/>
  <c r="L15" i="21"/>
  <c r="H15" i="21"/>
  <c r="N15" i="21" s="1"/>
  <c r="D15" i="21"/>
  <c r="B15" i="21"/>
  <c r="T14" i="21"/>
  <c r="P14" i="21"/>
  <c r="X14" i="21" s="1"/>
  <c r="H14" i="21"/>
  <c r="D14" i="21"/>
  <c r="B14" i="21"/>
  <c r="T13" i="21"/>
  <c r="P13" i="21"/>
  <c r="L13" i="21"/>
  <c r="H13" i="21"/>
  <c r="N13" i="21" s="1"/>
  <c r="D13" i="21"/>
  <c r="D12" i="21" s="1"/>
  <c r="F49" i="21" s="1"/>
  <c r="B13" i="21"/>
  <c r="D4" i="21"/>
  <c r="X291" i="18"/>
  <c r="Z291" i="18" s="1"/>
  <c r="N291" i="18"/>
  <c r="L291" i="18"/>
  <c r="T287" i="18"/>
  <c r="P287" i="18"/>
  <c r="L287" i="18"/>
  <c r="H287" i="18"/>
  <c r="N287" i="18" s="1"/>
  <c r="D287" i="18"/>
  <c r="B287" i="18"/>
  <c r="T286" i="18"/>
  <c r="X286" i="18" s="1"/>
  <c r="Z286" i="18" s="1"/>
  <c r="P286" i="18"/>
  <c r="H286" i="18"/>
  <c r="D286" i="18"/>
  <c r="B286" i="18"/>
  <c r="T285" i="18"/>
  <c r="P285" i="18"/>
  <c r="H285" i="18"/>
  <c r="N285" i="18" s="1"/>
  <c r="D285" i="18"/>
  <c r="L285" i="18" s="1"/>
  <c r="B285" i="18"/>
  <c r="X284" i="18"/>
  <c r="Z284" i="18" s="1"/>
  <c r="T284" i="18"/>
  <c r="P284" i="18"/>
  <c r="L284" i="18"/>
  <c r="H284" i="18"/>
  <c r="D284" i="18"/>
  <c r="B284" i="18"/>
  <c r="X283" i="18"/>
  <c r="T283" i="18"/>
  <c r="Z283" i="18" s="1"/>
  <c r="P283" i="18"/>
  <c r="H283" i="18"/>
  <c r="L283" i="18" s="1"/>
  <c r="N283" i="18" s="1"/>
  <c r="D283" i="18"/>
  <c r="B283" i="18"/>
  <c r="Z282" i="18"/>
  <c r="T282" i="18"/>
  <c r="P282" i="18"/>
  <c r="X282" i="18" s="1"/>
  <c r="H282" i="18"/>
  <c r="D282" i="18"/>
  <c r="L282" i="18" s="1"/>
  <c r="N282" i="18" s="1"/>
  <c r="B282" i="18"/>
  <c r="X281" i="18"/>
  <c r="T281" i="18"/>
  <c r="Z281" i="18" s="1"/>
  <c r="P281" i="18"/>
  <c r="H281" i="18"/>
  <c r="N281" i="18" s="1"/>
  <c r="D281" i="18"/>
  <c r="L281" i="18" s="1"/>
  <c r="B281" i="18"/>
  <c r="T280" i="18"/>
  <c r="P280" i="18"/>
  <c r="N280" i="18"/>
  <c r="H280" i="18"/>
  <c r="L280" i="18" s="1"/>
  <c r="D280" i="18"/>
  <c r="B280" i="18"/>
  <c r="T279" i="18"/>
  <c r="Z279" i="18" s="1"/>
  <c r="P279" i="18"/>
  <c r="X279" i="18" s="1"/>
  <c r="H279" i="18"/>
  <c r="D279" i="18"/>
  <c r="B279" i="18"/>
  <c r="X278" i="18"/>
  <c r="T278" i="18"/>
  <c r="Z278" i="18" s="1"/>
  <c r="P278" i="18"/>
  <c r="N278" i="18"/>
  <c r="L278" i="18"/>
  <c r="H278" i="18"/>
  <c r="D278" i="18"/>
  <c r="B278" i="18"/>
  <c r="Z277" i="18"/>
  <c r="T277" i="18"/>
  <c r="X277" i="18" s="1"/>
  <c r="P277" i="18"/>
  <c r="L277" i="18"/>
  <c r="H277" i="18"/>
  <c r="H275" i="18" s="1"/>
  <c r="D277" i="18"/>
  <c r="B277" i="18"/>
  <c r="T276" i="18"/>
  <c r="P276" i="18"/>
  <c r="X276" i="18" s="1"/>
  <c r="Z276" i="18" s="1"/>
  <c r="H276" i="18"/>
  <c r="D276" i="18"/>
  <c r="B276" i="18"/>
  <c r="X273" i="18"/>
  <c r="Z273" i="18" s="1"/>
  <c r="L273" i="18"/>
  <c r="N273" i="18" s="1"/>
  <c r="B273" i="18"/>
  <c r="X272" i="18"/>
  <c r="Z272" i="18" s="1"/>
  <c r="T272" i="18"/>
  <c r="P272" i="18"/>
  <c r="H272" i="18"/>
  <c r="D272" i="18"/>
  <c r="L272" i="18" s="1"/>
  <c r="N272" i="18" s="1"/>
  <c r="B272" i="18"/>
  <c r="Z271" i="18"/>
  <c r="X271" i="18"/>
  <c r="L271" i="18"/>
  <c r="N271" i="18" s="1"/>
  <c r="B271" i="18"/>
  <c r="Z270" i="18"/>
  <c r="X270" i="18"/>
  <c r="N270" i="18"/>
  <c r="L270" i="18"/>
  <c r="B270" i="18"/>
  <c r="X269" i="18"/>
  <c r="Z269" i="18" s="1"/>
  <c r="N269" i="18"/>
  <c r="L269" i="18"/>
  <c r="B269" i="18"/>
  <c r="T268" i="18"/>
  <c r="P268" i="18"/>
  <c r="X268" i="18" s="1"/>
  <c r="Z268" i="18" s="1"/>
  <c r="H268" i="18"/>
  <c r="D268" i="18"/>
  <c r="B268" i="18"/>
  <c r="X267" i="18"/>
  <c r="Z267" i="18" s="1"/>
  <c r="L267" i="18"/>
  <c r="N267" i="18" s="1"/>
  <c r="B267" i="18"/>
  <c r="T266" i="18"/>
  <c r="P266" i="18"/>
  <c r="X266" i="18" s="1"/>
  <c r="Z266" i="18" s="1"/>
  <c r="N266" i="18"/>
  <c r="H266" i="18"/>
  <c r="D266" i="18"/>
  <c r="L266" i="18" s="1"/>
  <c r="B266" i="18"/>
  <c r="X265" i="18"/>
  <c r="Z265" i="18" s="1"/>
  <c r="L265" i="18"/>
  <c r="N265" i="18" s="1"/>
  <c r="B265" i="18"/>
  <c r="X264" i="18"/>
  <c r="Z264" i="18" s="1"/>
  <c r="N264" i="18"/>
  <c r="L264" i="18"/>
  <c r="B264" i="18"/>
  <c r="X263" i="18"/>
  <c r="T263" i="18"/>
  <c r="Z263" i="18" s="1"/>
  <c r="P263" i="18"/>
  <c r="H263" i="18"/>
  <c r="N263" i="18" s="1"/>
  <c r="D263" i="18"/>
  <c r="L263" i="18" s="1"/>
  <c r="B263" i="18"/>
  <c r="Z262" i="18"/>
  <c r="X262" i="18"/>
  <c r="N262" i="18"/>
  <c r="L262" i="18"/>
  <c r="B262" i="18"/>
  <c r="X261" i="18"/>
  <c r="Z261" i="18" s="1"/>
  <c r="N261" i="18"/>
  <c r="L261" i="18"/>
  <c r="B261" i="18"/>
  <c r="Z260" i="18"/>
  <c r="X260" i="18"/>
  <c r="N260" i="18"/>
  <c r="L260" i="18"/>
  <c r="B260" i="18"/>
  <c r="Z259" i="18"/>
  <c r="X259" i="18"/>
  <c r="L259" i="18"/>
  <c r="N259" i="18" s="1"/>
  <c r="B259" i="18"/>
  <c r="Z258" i="18"/>
  <c r="X258" i="18"/>
  <c r="N258" i="18"/>
  <c r="L258" i="18"/>
  <c r="B258" i="18"/>
  <c r="Z257" i="18"/>
  <c r="X257" i="18"/>
  <c r="N257" i="18"/>
  <c r="L257" i="18"/>
  <c r="B257" i="18"/>
  <c r="Z256" i="18"/>
  <c r="X256" i="18"/>
  <c r="N256" i="18"/>
  <c r="L256" i="18"/>
  <c r="B256" i="18"/>
  <c r="T255" i="18"/>
  <c r="X255" i="18" s="1"/>
  <c r="Z255" i="18" s="1"/>
  <c r="P255" i="18"/>
  <c r="L255" i="18"/>
  <c r="H255" i="18"/>
  <c r="D255" i="18"/>
  <c r="B255" i="18"/>
  <c r="Z254" i="18"/>
  <c r="X254" i="18"/>
  <c r="N254" i="18"/>
  <c r="L254" i="18"/>
  <c r="B254" i="18"/>
  <c r="X253" i="18"/>
  <c r="Z253" i="18" s="1"/>
  <c r="L253" i="18"/>
  <c r="N253" i="18" s="1"/>
  <c r="B253" i="18"/>
  <c r="T252" i="18"/>
  <c r="P252" i="18"/>
  <c r="X252" i="18" s="1"/>
  <c r="Z252" i="18" s="1"/>
  <c r="H252" i="18"/>
  <c r="D252" i="18"/>
  <c r="L252" i="18" s="1"/>
  <c r="N252" i="18" s="1"/>
  <c r="B252" i="18"/>
  <c r="X251" i="18"/>
  <c r="Z251" i="18" s="1"/>
  <c r="N251" i="18"/>
  <c r="L251" i="18"/>
  <c r="B251" i="18"/>
  <c r="X250" i="18"/>
  <c r="Z250" i="18" s="1"/>
  <c r="N250" i="18"/>
  <c r="L250" i="18"/>
  <c r="B250" i="18"/>
  <c r="X249" i="18"/>
  <c r="Z249" i="18" s="1"/>
  <c r="N249" i="18"/>
  <c r="L249" i="18"/>
  <c r="B249" i="18"/>
  <c r="X248" i="18"/>
  <c r="Z248" i="18" s="1"/>
  <c r="N248" i="18"/>
  <c r="L248" i="18"/>
  <c r="B248" i="18"/>
  <c r="X247" i="18"/>
  <c r="T247" i="18"/>
  <c r="Z247" i="18" s="1"/>
  <c r="P247" i="18"/>
  <c r="H247" i="18"/>
  <c r="D247" i="18"/>
  <c r="L247" i="18" s="1"/>
  <c r="B247" i="18"/>
  <c r="Z246" i="18"/>
  <c r="X246" i="18"/>
  <c r="N246" i="18"/>
  <c r="L246" i="18"/>
  <c r="B246" i="18"/>
  <c r="X245" i="18"/>
  <c r="Z245" i="18" s="1"/>
  <c r="L245" i="18"/>
  <c r="N245" i="18" s="1"/>
  <c r="B245" i="18"/>
  <c r="Z244" i="18"/>
  <c r="X244" i="18"/>
  <c r="N244" i="18"/>
  <c r="L244" i="18"/>
  <c r="B244" i="18"/>
  <c r="Z243" i="18"/>
  <c r="T243" i="18"/>
  <c r="X243" i="18" s="1"/>
  <c r="P243" i="18"/>
  <c r="L243" i="18"/>
  <c r="H243" i="18"/>
  <c r="D243" i="18"/>
  <c r="B243" i="18"/>
  <c r="Z242" i="18"/>
  <c r="X242" i="18"/>
  <c r="N242" i="18"/>
  <c r="L242" i="18"/>
  <c r="B242" i="18"/>
  <c r="X241" i="18"/>
  <c r="Z241" i="18" s="1"/>
  <c r="L241" i="18"/>
  <c r="N241" i="18" s="1"/>
  <c r="B241" i="18"/>
  <c r="Z240" i="18"/>
  <c r="X240" i="18"/>
  <c r="L240" i="18"/>
  <c r="N240" i="18" s="1"/>
  <c r="B240" i="18"/>
  <c r="X239" i="18"/>
  <c r="Z239" i="18" s="1"/>
  <c r="L239" i="18"/>
  <c r="N239" i="18" s="1"/>
  <c r="B239" i="18"/>
  <c r="T238" i="18"/>
  <c r="P238" i="18"/>
  <c r="X238" i="18" s="1"/>
  <c r="Z238" i="18" s="1"/>
  <c r="N238" i="18"/>
  <c r="H238" i="18"/>
  <c r="D238" i="18"/>
  <c r="L238" i="18" s="1"/>
  <c r="B238" i="18"/>
  <c r="X237" i="18"/>
  <c r="Z237" i="18" s="1"/>
  <c r="L237" i="18"/>
  <c r="N237" i="18" s="1"/>
  <c r="B237" i="18"/>
  <c r="X236" i="18"/>
  <c r="Z236" i="18" s="1"/>
  <c r="T236" i="18"/>
  <c r="P236" i="18"/>
  <c r="H236" i="18"/>
  <c r="D236" i="18"/>
  <c r="L236" i="18" s="1"/>
  <c r="N236" i="18" s="1"/>
  <c r="B236" i="18"/>
  <c r="Z235" i="18"/>
  <c r="X235" i="18"/>
  <c r="N235" i="18"/>
  <c r="L235" i="18"/>
  <c r="B235" i="18"/>
  <c r="T234" i="18"/>
  <c r="P234" i="18"/>
  <c r="N234" i="18"/>
  <c r="H234" i="18"/>
  <c r="D234" i="18"/>
  <c r="L234" i="18" s="1"/>
  <c r="B234" i="18"/>
  <c r="X233" i="18"/>
  <c r="Z233" i="18" s="1"/>
  <c r="L233" i="18"/>
  <c r="N233" i="18" s="1"/>
  <c r="B233" i="18"/>
  <c r="T232" i="18"/>
  <c r="P232" i="18"/>
  <c r="X232" i="18" s="1"/>
  <c r="Z232" i="18" s="1"/>
  <c r="H232" i="18"/>
  <c r="D232" i="18"/>
  <c r="L232" i="18" s="1"/>
  <c r="N232" i="18" s="1"/>
  <c r="B232" i="18"/>
  <c r="X231" i="18"/>
  <c r="Z231" i="18" s="1"/>
  <c r="N231" i="18"/>
  <c r="L231" i="18"/>
  <c r="B231" i="18"/>
  <c r="T230" i="18"/>
  <c r="P230" i="18"/>
  <c r="L230" i="18"/>
  <c r="N230" i="18" s="1"/>
  <c r="H230" i="18"/>
  <c r="D230" i="18"/>
  <c r="B230" i="18"/>
  <c r="X229" i="18"/>
  <c r="Z229" i="18" s="1"/>
  <c r="L229" i="18"/>
  <c r="N229" i="18" s="1"/>
  <c r="B229" i="18"/>
  <c r="T228" i="18"/>
  <c r="P228" i="18"/>
  <c r="X228" i="18" s="1"/>
  <c r="Z228" i="18" s="1"/>
  <c r="H228" i="18"/>
  <c r="D228" i="18"/>
  <c r="B228" i="18"/>
  <c r="X227" i="18"/>
  <c r="Z227" i="18" s="1"/>
  <c r="L227" i="18"/>
  <c r="N227" i="18" s="1"/>
  <c r="B227" i="18"/>
  <c r="Z226" i="18"/>
  <c r="X226" i="18"/>
  <c r="L226" i="18"/>
  <c r="N226" i="18" s="1"/>
  <c r="B226" i="18"/>
  <c r="T225" i="18"/>
  <c r="P225" i="18"/>
  <c r="X225" i="18" s="1"/>
  <c r="H225" i="18"/>
  <c r="D225" i="18"/>
  <c r="B225" i="18"/>
  <c r="X224" i="18"/>
  <c r="Z224" i="18" s="1"/>
  <c r="N224" i="18"/>
  <c r="L224" i="18"/>
  <c r="B224" i="18"/>
  <c r="X223" i="18"/>
  <c r="T223" i="18"/>
  <c r="Z223" i="18" s="1"/>
  <c r="P223" i="18"/>
  <c r="H223" i="18"/>
  <c r="N223" i="18" s="1"/>
  <c r="D223" i="18"/>
  <c r="L223" i="18" s="1"/>
  <c r="B223" i="18"/>
  <c r="Z222" i="18"/>
  <c r="X222" i="18"/>
  <c r="N222" i="18"/>
  <c r="L222" i="18"/>
  <c r="B222" i="18"/>
  <c r="X221" i="18"/>
  <c r="T221" i="18"/>
  <c r="Z221" i="18" s="1"/>
  <c r="P221" i="18"/>
  <c r="N221" i="18"/>
  <c r="H221" i="18"/>
  <c r="D221" i="18"/>
  <c r="L221" i="18" s="1"/>
  <c r="B221" i="18"/>
  <c r="Z220" i="18"/>
  <c r="X220" i="18"/>
  <c r="N220" i="18"/>
  <c r="L220" i="18"/>
  <c r="B220" i="18"/>
  <c r="T219" i="18"/>
  <c r="P219" i="18"/>
  <c r="X219" i="18" s="1"/>
  <c r="H219" i="18"/>
  <c r="N219" i="18" s="1"/>
  <c r="D219" i="18"/>
  <c r="L219" i="18" s="1"/>
  <c r="B219" i="18"/>
  <c r="Z218" i="18"/>
  <c r="X218" i="18"/>
  <c r="N218" i="18"/>
  <c r="L218" i="18"/>
  <c r="B218" i="18"/>
  <c r="X217" i="18"/>
  <c r="Z217" i="18" s="1"/>
  <c r="L217" i="18"/>
  <c r="N217" i="18" s="1"/>
  <c r="B217" i="18"/>
  <c r="X216" i="18"/>
  <c r="T216" i="18"/>
  <c r="P216" i="18"/>
  <c r="H216" i="18"/>
  <c r="D216" i="18"/>
  <c r="L216" i="18" s="1"/>
  <c r="N216" i="18" s="1"/>
  <c r="B216" i="18"/>
  <c r="Z215" i="18"/>
  <c r="X215" i="18"/>
  <c r="L215" i="18"/>
  <c r="N215" i="18" s="1"/>
  <c r="B215" i="18"/>
  <c r="Z214" i="18"/>
  <c r="X214" i="18"/>
  <c r="N214" i="18"/>
  <c r="L214" i="18"/>
  <c r="B214" i="18"/>
  <c r="X213" i="18"/>
  <c r="T213" i="18"/>
  <c r="Z213" i="18" s="1"/>
  <c r="P213" i="18"/>
  <c r="H213" i="18"/>
  <c r="D213" i="18"/>
  <c r="L213" i="18" s="1"/>
  <c r="N213" i="18" s="1"/>
  <c r="B213" i="18"/>
  <c r="Z212" i="18"/>
  <c r="X212" i="18"/>
  <c r="L212" i="18"/>
  <c r="N212" i="18" s="1"/>
  <c r="B212" i="18"/>
  <c r="T211" i="18"/>
  <c r="P211" i="18"/>
  <c r="X211" i="18" s="1"/>
  <c r="H211" i="18"/>
  <c r="D211" i="18"/>
  <c r="L211" i="18" s="1"/>
  <c r="B211" i="18"/>
  <c r="Z210" i="18"/>
  <c r="X210" i="18"/>
  <c r="N210" i="18"/>
  <c r="L210" i="18"/>
  <c r="B210" i="18"/>
  <c r="X209" i="18"/>
  <c r="Z209" i="18" s="1"/>
  <c r="L209" i="18"/>
  <c r="N209" i="18" s="1"/>
  <c r="B209" i="18"/>
  <c r="X208" i="18"/>
  <c r="Z208" i="18" s="1"/>
  <c r="T208" i="18"/>
  <c r="P208" i="18"/>
  <c r="H208" i="18"/>
  <c r="D208" i="18"/>
  <c r="L208" i="18" s="1"/>
  <c r="N208" i="18" s="1"/>
  <c r="B208" i="18"/>
  <c r="Z207" i="18"/>
  <c r="X207" i="18"/>
  <c r="L207" i="18"/>
  <c r="N207" i="18" s="1"/>
  <c r="B207" i="18"/>
  <c r="Z206" i="18"/>
  <c r="T206" i="18"/>
  <c r="X206" i="18" s="1"/>
  <c r="P206" i="18"/>
  <c r="H206" i="18"/>
  <c r="D206" i="18"/>
  <c r="L206" i="18" s="1"/>
  <c r="N206" i="18" s="1"/>
  <c r="B206" i="18"/>
  <c r="Z205" i="18"/>
  <c r="X205" i="18"/>
  <c r="L205" i="18"/>
  <c r="N205" i="18" s="1"/>
  <c r="B205" i="18"/>
  <c r="Z204" i="18"/>
  <c r="X204" i="18"/>
  <c r="L204" i="18"/>
  <c r="N204" i="18" s="1"/>
  <c r="B204" i="18"/>
  <c r="X203" i="18"/>
  <c r="Z203" i="18" s="1"/>
  <c r="L203" i="18"/>
  <c r="N203" i="18" s="1"/>
  <c r="B203" i="18"/>
  <c r="Z202" i="18"/>
  <c r="X202" i="18"/>
  <c r="L202" i="18"/>
  <c r="N202" i="18" s="1"/>
  <c r="J202" i="18"/>
  <c r="B202" i="18"/>
  <c r="Z201" i="18"/>
  <c r="X201" i="18"/>
  <c r="L201" i="18"/>
  <c r="N201" i="18" s="1"/>
  <c r="B201" i="18"/>
  <c r="Z200" i="18"/>
  <c r="X200" i="18"/>
  <c r="L200" i="18"/>
  <c r="N200" i="18" s="1"/>
  <c r="B200" i="18"/>
  <c r="X199" i="18"/>
  <c r="Z199" i="18" s="1"/>
  <c r="L199" i="18"/>
  <c r="N199" i="18" s="1"/>
  <c r="B199" i="18"/>
  <c r="T198" i="18"/>
  <c r="P198" i="18"/>
  <c r="X198" i="18" s="1"/>
  <c r="Z198" i="18" s="1"/>
  <c r="H198" i="18"/>
  <c r="D198" i="18"/>
  <c r="L198" i="18" s="1"/>
  <c r="N198" i="18" s="1"/>
  <c r="B198" i="18"/>
  <c r="X197" i="18"/>
  <c r="Z197" i="18" s="1"/>
  <c r="L197" i="18"/>
  <c r="N197" i="18" s="1"/>
  <c r="B197" i="18"/>
  <c r="X196" i="18"/>
  <c r="Z196" i="18" s="1"/>
  <c r="N196" i="18"/>
  <c r="L196" i="18"/>
  <c r="B196" i="18"/>
  <c r="X195" i="18"/>
  <c r="Z195" i="18" s="1"/>
  <c r="N195" i="18"/>
  <c r="L195" i="18"/>
  <c r="B195" i="18"/>
  <c r="X194" i="18"/>
  <c r="Z194" i="18" s="1"/>
  <c r="N194" i="18"/>
  <c r="L194" i="18"/>
  <c r="B194" i="18"/>
  <c r="Z193" i="18"/>
  <c r="X193" i="18"/>
  <c r="N193" i="18"/>
  <c r="L193" i="18"/>
  <c r="B193" i="18"/>
  <c r="X192" i="18"/>
  <c r="Z192" i="18" s="1"/>
  <c r="N192" i="18"/>
  <c r="L192" i="18"/>
  <c r="B192" i="18"/>
  <c r="X191" i="18"/>
  <c r="Z191" i="18" s="1"/>
  <c r="N191" i="18"/>
  <c r="L191" i="18"/>
  <c r="B191" i="18"/>
  <c r="X190" i="18"/>
  <c r="Z190" i="18" s="1"/>
  <c r="N190" i="18"/>
  <c r="L190" i="18"/>
  <c r="B190" i="18"/>
  <c r="X189" i="18"/>
  <c r="Z189" i="18" s="1"/>
  <c r="L189" i="18"/>
  <c r="N189" i="18" s="1"/>
  <c r="B189" i="18"/>
  <c r="X188" i="18"/>
  <c r="Z188" i="18" s="1"/>
  <c r="L188" i="18"/>
  <c r="N188" i="18" s="1"/>
  <c r="B188" i="18"/>
  <c r="X187" i="18"/>
  <c r="T187" i="18"/>
  <c r="P187" i="18"/>
  <c r="H187" i="18"/>
  <c r="N187" i="18" s="1"/>
  <c r="D187" i="18"/>
  <c r="L187" i="18" s="1"/>
  <c r="B187" i="18"/>
  <c r="T186" i="18"/>
  <c r="P186" i="18"/>
  <c r="H186" i="18"/>
  <c r="D186" i="18"/>
  <c r="L186" i="18" s="1"/>
  <c r="Z182" i="18"/>
  <c r="X182" i="18"/>
  <c r="N182" i="18"/>
  <c r="L182" i="18"/>
  <c r="B182" i="18"/>
  <c r="X181" i="18"/>
  <c r="Z181" i="18" s="1"/>
  <c r="N181" i="18"/>
  <c r="L181" i="18"/>
  <c r="B181" i="18"/>
  <c r="X180" i="18"/>
  <c r="Z180" i="18" s="1"/>
  <c r="N180" i="18"/>
  <c r="L180" i="18"/>
  <c r="B180" i="18"/>
  <c r="Z179" i="18"/>
  <c r="X179" i="18"/>
  <c r="N179" i="18"/>
  <c r="L179" i="18"/>
  <c r="B179" i="18"/>
  <c r="Z178" i="18"/>
  <c r="X178" i="18"/>
  <c r="N178" i="18"/>
  <c r="L178" i="18"/>
  <c r="B178" i="18"/>
  <c r="Z177" i="18"/>
  <c r="X177" i="18"/>
  <c r="N177" i="18"/>
  <c r="L177" i="18"/>
  <c r="B177" i="18"/>
  <c r="X176" i="18"/>
  <c r="Z176" i="18" s="1"/>
  <c r="N176" i="18"/>
  <c r="L176" i="18"/>
  <c r="B176" i="18"/>
  <c r="Z175" i="18"/>
  <c r="X175" i="18"/>
  <c r="N175" i="18"/>
  <c r="L175" i="18"/>
  <c r="B175" i="18"/>
  <c r="Z174" i="18"/>
  <c r="X174" i="18"/>
  <c r="N174" i="18"/>
  <c r="L174" i="18"/>
  <c r="B174" i="18"/>
  <c r="Z173" i="18"/>
  <c r="X173" i="18"/>
  <c r="N173" i="18"/>
  <c r="L173" i="18"/>
  <c r="B173" i="18"/>
  <c r="X172" i="18"/>
  <c r="Z172" i="18" s="1"/>
  <c r="N172" i="18"/>
  <c r="L172" i="18"/>
  <c r="J172" i="18"/>
  <c r="B172" i="18"/>
  <c r="Z171" i="18"/>
  <c r="X171" i="18"/>
  <c r="L171" i="18"/>
  <c r="N171" i="18" s="1"/>
  <c r="B171" i="18"/>
  <c r="Z170" i="18"/>
  <c r="X170" i="18"/>
  <c r="L170" i="18"/>
  <c r="N170" i="18" s="1"/>
  <c r="B170" i="18"/>
  <c r="X169" i="18"/>
  <c r="Z169" i="18" s="1"/>
  <c r="N169" i="18"/>
  <c r="L169" i="18"/>
  <c r="B169" i="18"/>
  <c r="X168" i="18"/>
  <c r="Z168" i="18" s="1"/>
  <c r="N168" i="18"/>
  <c r="L168" i="18"/>
  <c r="B168" i="18"/>
  <c r="Z167" i="18"/>
  <c r="X167" i="18"/>
  <c r="N167" i="18"/>
  <c r="L167" i="18"/>
  <c r="B167" i="18"/>
  <c r="Z166" i="18"/>
  <c r="X166" i="18"/>
  <c r="N166" i="18"/>
  <c r="L166" i="18"/>
  <c r="B166" i="18"/>
  <c r="X165" i="18"/>
  <c r="Z165" i="18" s="1"/>
  <c r="N165" i="18"/>
  <c r="L165" i="18"/>
  <c r="J165" i="18"/>
  <c r="B165" i="18"/>
  <c r="X164" i="18"/>
  <c r="Z164" i="18" s="1"/>
  <c r="N164" i="18"/>
  <c r="L164" i="18"/>
  <c r="B164" i="18"/>
  <c r="Z163" i="18"/>
  <c r="X163" i="18"/>
  <c r="L163" i="18"/>
  <c r="N163" i="18" s="1"/>
  <c r="J163" i="18"/>
  <c r="B163" i="18"/>
  <c r="Z162" i="18"/>
  <c r="X162" i="18"/>
  <c r="L162" i="18"/>
  <c r="N162" i="18" s="1"/>
  <c r="B162" i="18"/>
  <c r="Z161" i="18"/>
  <c r="X161" i="18"/>
  <c r="L161" i="18"/>
  <c r="N161" i="18" s="1"/>
  <c r="B161" i="18"/>
  <c r="X160" i="18"/>
  <c r="Z160" i="18" s="1"/>
  <c r="L160" i="18"/>
  <c r="N160" i="18" s="1"/>
  <c r="B160" i="18"/>
  <c r="Z159" i="18"/>
  <c r="X159" i="18"/>
  <c r="N159" i="18"/>
  <c r="L159" i="18"/>
  <c r="B159" i="18"/>
  <c r="Z158" i="18"/>
  <c r="X158" i="18"/>
  <c r="L158" i="18"/>
  <c r="N158" i="18" s="1"/>
  <c r="B158" i="18"/>
  <c r="X157" i="18"/>
  <c r="Z157" i="18" s="1"/>
  <c r="N157" i="18"/>
  <c r="L157" i="18"/>
  <c r="B157" i="18"/>
  <c r="X156" i="18"/>
  <c r="Z156" i="18" s="1"/>
  <c r="N156" i="18"/>
  <c r="L156" i="18"/>
  <c r="J156" i="18"/>
  <c r="B156" i="18"/>
  <c r="Z155" i="18"/>
  <c r="X155" i="18"/>
  <c r="N155" i="18"/>
  <c r="L155" i="18"/>
  <c r="B155" i="18"/>
  <c r="Z154" i="18"/>
  <c r="X154" i="18"/>
  <c r="N154" i="18"/>
  <c r="L154" i="18"/>
  <c r="B154" i="18"/>
  <c r="X153" i="18"/>
  <c r="Z153" i="18" s="1"/>
  <c r="L153" i="18"/>
  <c r="N153" i="18" s="1"/>
  <c r="J153" i="18"/>
  <c r="B153" i="18"/>
  <c r="X152" i="18"/>
  <c r="Z152" i="18" s="1"/>
  <c r="N152" i="18"/>
  <c r="L152" i="18"/>
  <c r="B152" i="18"/>
  <c r="Z151" i="18"/>
  <c r="X151" i="18"/>
  <c r="L151" i="18"/>
  <c r="N151" i="18" s="1"/>
  <c r="B151" i="18"/>
  <c r="Z150" i="18"/>
  <c r="X150" i="18"/>
  <c r="N150" i="18"/>
  <c r="L150" i="18"/>
  <c r="B150" i="18"/>
  <c r="X149" i="18"/>
  <c r="Z149" i="18" s="1"/>
  <c r="N149" i="18"/>
  <c r="L149" i="18"/>
  <c r="B149" i="18"/>
  <c r="Z148" i="18"/>
  <c r="X148" i="18"/>
  <c r="N148" i="18"/>
  <c r="L148" i="18"/>
  <c r="B148" i="18"/>
  <c r="X147" i="18"/>
  <c r="Z147" i="18" s="1"/>
  <c r="L147" i="18"/>
  <c r="N147" i="18" s="1"/>
  <c r="B147" i="18"/>
  <c r="X146" i="18"/>
  <c r="Z146" i="18" s="1"/>
  <c r="N146" i="18"/>
  <c r="L146" i="18"/>
  <c r="B146" i="18"/>
  <c r="X145" i="18"/>
  <c r="Z145" i="18" s="1"/>
  <c r="N145" i="18"/>
  <c r="L145" i="18"/>
  <c r="B145" i="18"/>
  <c r="Z144" i="18"/>
  <c r="X144" i="18"/>
  <c r="N144" i="18"/>
  <c r="L144" i="18"/>
  <c r="B144" i="18"/>
  <c r="X143" i="18"/>
  <c r="Z143" i="18" s="1"/>
  <c r="L143" i="18"/>
  <c r="N143" i="18" s="1"/>
  <c r="B143" i="18"/>
  <c r="X142" i="18"/>
  <c r="Z142" i="18" s="1"/>
  <c r="N142" i="18"/>
  <c r="L142" i="18"/>
  <c r="B142" i="18"/>
  <c r="X141" i="18"/>
  <c r="Z141" i="18" s="1"/>
  <c r="N141" i="18"/>
  <c r="L141" i="18"/>
  <c r="B141" i="18"/>
  <c r="Z140" i="18"/>
  <c r="X140" i="18"/>
  <c r="N140" i="18"/>
  <c r="L140" i="18"/>
  <c r="B140" i="18"/>
  <c r="X139" i="18"/>
  <c r="Z139" i="18" s="1"/>
  <c r="L139" i="18"/>
  <c r="N139" i="18" s="1"/>
  <c r="B139" i="18"/>
  <c r="X138" i="18"/>
  <c r="Z138" i="18" s="1"/>
  <c r="N138" i="18"/>
  <c r="L138" i="18"/>
  <c r="B138" i="18"/>
  <c r="X137" i="18"/>
  <c r="Z137" i="18" s="1"/>
  <c r="N137" i="18"/>
  <c r="L137" i="18"/>
  <c r="B137" i="18"/>
  <c r="Z136" i="18"/>
  <c r="X136" i="18"/>
  <c r="N136" i="18"/>
  <c r="L136" i="18"/>
  <c r="B136" i="18"/>
  <c r="X135" i="18"/>
  <c r="Z135" i="18" s="1"/>
  <c r="L135" i="18"/>
  <c r="N135" i="18" s="1"/>
  <c r="B135" i="18"/>
  <c r="X134" i="18"/>
  <c r="Z134" i="18" s="1"/>
  <c r="N134" i="18"/>
  <c r="L134" i="18"/>
  <c r="B134" i="18"/>
  <c r="Z133" i="18"/>
  <c r="X133" i="18"/>
  <c r="N133" i="18"/>
  <c r="L133" i="18"/>
  <c r="B133" i="18"/>
  <c r="Z132" i="18"/>
  <c r="X132" i="18"/>
  <c r="N132" i="18"/>
  <c r="L132" i="18"/>
  <c r="B132" i="18"/>
  <c r="X131" i="18"/>
  <c r="Z131" i="18" s="1"/>
  <c r="L131" i="18"/>
  <c r="N131" i="18" s="1"/>
  <c r="B131" i="18"/>
  <c r="X130" i="18"/>
  <c r="Z130" i="18" s="1"/>
  <c r="L130" i="18"/>
  <c r="N130" i="18" s="1"/>
  <c r="B130" i="18"/>
  <c r="X129" i="18"/>
  <c r="Z129" i="18" s="1"/>
  <c r="N129" i="18"/>
  <c r="L129" i="18"/>
  <c r="B129" i="18"/>
  <c r="Z128" i="18"/>
  <c r="X128" i="18"/>
  <c r="N128" i="18"/>
  <c r="L128" i="18"/>
  <c r="B128" i="18"/>
  <c r="X127" i="18"/>
  <c r="Z127" i="18" s="1"/>
  <c r="L127" i="18"/>
  <c r="N127" i="18" s="1"/>
  <c r="B127" i="18"/>
  <c r="X126" i="18"/>
  <c r="Z126" i="18" s="1"/>
  <c r="L126" i="18"/>
  <c r="N126" i="18" s="1"/>
  <c r="B126" i="18"/>
  <c r="X125" i="18"/>
  <c r="Z125" i="18" s="1"/>
  <c r="T125" i="18"/>
  <c r="P125" i="18"/>
  <c r="H125" i="18"/>
  <c r="D125" i="18"/>
  <c r="L125" i="18" s="1"/>
  <c r="X123" i="18"/>
  <c r="T123" i="18"/>
  <c r="P123" i="18"/>
  <c r="L123" i="18"/>
  <c r="N123" i="18" s="1"/>
  <c r="H123" i="18"/>
  <c r="D123" i="18"/>
  <c r="B123" i="18"/>
  <c r="T122" i="18"/>
  <c r="P122" i="18"/>
  <c r="N122" i="18"/>
  <c r="L122" i="18"/>
  <c r="H122" i="18"/>
  <c r="D122" i="18"/>
  <c r="B122" i="18"/>
  <c r="T121" i="18"/>
  <c r="Z121" i="18" s="1"/>
  <c r="P121" i="18"/>
  <c r="X121" i="18" s="1"/>
  <c r="N121" i="18"/>
  <c r="H121" i="18"/>
  <c r="D121" i="18"/>
  <c r="L121" i="18" s="1"/>
  <c r="B121" i="18"/>
  <c r="T120" i="18"/>
  <c r="P120" i="18"/>
  <c r="H120" i="18"/>
  <c r="N120" i="18" s="1"/>
  <c r="D120" i="18"/>
  <c r="B120" i="18"/>
  <c r="X119" i="18"/>
  <c r="T119" i="18"/>
  <c r="P119" i="18"/>
  <c r="L119" i="18"/>
  <c r="N119" i="18" s="1"/>
  <c r="H119" i="18"/>
  <c r="D119" i="18"/>
  <c r="B119" i="18"/>
  <c r="T118" i="18"/>
  <c r="P118" i="18"/>
  <c r="N118" i="18"/>
  <c r="L118" i="18"/>
  <c r="H118" i="18"/>
  <c r="D118" i="18"/>
  <c r="B118" i="18"/>
  <c r="T117" i="18"/>
  <c r="Z117" i="18" s="1"/>
  <c r="P117" i="18"/>
  <c r="X117" i="18" s="1"/>
  <c r="H117" i="18"/>
  <c r="D117" i="18"/>
  <c r="L117" i="18" s="1"/>
  <c r="N117" i="18" s="1"/>
  <c r="B117" i="18"/>
  <c r="T116" i="18"/>
  <c r="P116" i="18"/>
  <c r="H116" i="18"/>
  <c r="N116" i="18" s="1"/>
  <c r="D116" i="18"/>
  <c r="B116" i="18"/>
  <c r="X115" i="18"/>
  <c r="T115" i="18"/>
  <c r="Z115" i="18" s="1"/>
  <c r="P115" i="18"/>
  <c r="L115" i="18"/>
  <c r="N115" i="18" s="1"/>
  <c r="H115" i="18"/>
  <c r="D115" i="18"/>
  <c r="B115" i="18"/>
  <c r="T114" i="18"/>
  <c r="P114" i="18"/>
  <c r="N114" i="18"/>
  <c r="L114" i="18"/>
  <c r="H114" i="18"/>
  <c r="D114" i="18"/>
  <c r="B114" i="18"/>
  <c r="T113" i="18"/>
  <c r="P113" i="18"/>
  <c r="X113" i="18" s="1"/>
  <c r="N113" i="18"/>
  <c r="L113" i="18"/>
  <c r="H113" i="18"/>
  <c r="D113" i="18"/>
  <c r="B113" i="18"/>
  <c r="T112" i="18"/>
  <c r="P112" i="18"/>
  <c r="H112" i="18"/>
  <c r="D112" i="18"/>
  <c r="B112" i="18"/>
  <c r="X111" i="18"/>
  <c r="T111" i="18"/>
  <c r="Z111" i="18" s="1"/>
  <c r="P111" i="18"/>
  <c r="L111" i="18"/>
  <c r="N111" i="18" s="1"/>
  <c r="H111" i="18"/>
  <c r="D111" i="18"/>
  <c r="B111" i="18"/>
  <c r="T110" i="18"/>
  <c r="P110" i="18"/>
  <c r="N110" i="18"/>
  <c r="L110" i="18"/>
  <c r="H110" i="18"/>
  <c r="D110" i="18"/>
  <c r="B110" i="18"/>
  <c r="T109" i="18"/>
  <c r="Z109" i="18" s="1"/>
  <c r="P109" i="18"/>
  <c r="X109" i="18" s="1"/>
  <c r="N109" i="18"/>
  <c r="H109" i="18"/>
  <c r="D109" i="18"/>
  <c r="L109" i="18" s="1"/>
  <c r="B109" i="18"/>
  <c r="T108" i="18"/>
  <c r="P108" i="18"/>
  <c r="H108" i="18"/>
  <c r="N108" i="18" s="1"/>
  <c r="D108" i="18"/>
  <c r="B108" i="18"/>
  <c r="X107" i="18"/>
  <c r="T107" i="18"/>
  <c r="P107" i="18"/>
  <c r="L107" i="18"/>
  <c r="N107" i="18" s="1"/>
  <c r="H107" i="18"/>
  <c r="D107" i="18"/>
  <c r="B107" i="18"/>
  <c r="T106" i="18"/>
  <c r="P106" i="18"/>
  <c r="N106" i="18"/>
  <c r="L106" i="18"/>
  <c r="H106" i="18"/>
  <c r="D106" i="18"/>
  <c r="B106" i="18"/>
  <c r="T105" i="18"/>
  <c r="P105" i="18"/>
  <c r="X105" i="18" s="1"/>
  <c r="N105" i="18"/>
  <c r="H105" i="18"/>
  <c r="D105" i="18"/>
  <c r="L105" i="18" s="1"/>
  <c r="B105" i="18"/>
  <c r="T104" i="18"/>
  <c r="P104" i="18"/>
  <c r="H104" i="18"/>
  <c r="D104" i="18"/>
  <c r="B104" i="18"/>
  <c r="X103" i="18"/>
  <c r="T103" i="18"/>
  <c r="Z103" i="18" s="1"/>
  <c r="P103" i="18"/>
  <c r="L103" i="18"/>
  <c r="N103" i="18" s="1"/>
  <c r="H103" i="18"/>
  <c r="D103" i="18"/>
  <c r="B103" i="18"/>
  <c r="T102" i="18"/>
  <c r="P102" i="18"/>
  <c r="N102" i="18"/>
  <c r="L102" i="18"/>
  <c r="H102" i="18"/>
  <c r="D102" i="18"/>
  <c r="B102" i="18"/>
  <c r="T101" i="18"/>
  <c r="P101" i="18"/>
  <c r="X101" i="18" s="1"/>
  <c r="L101" i="18"/>
  <c r="N101" i="18" s="1"/>
  <c r="H101" i="18"/>
  <c r="D101" i="18"/>
  <c r="B101" i="18"/>
  <c r="T100" i="18"/>
  <c r="P100" i="18"/>
  <c r="H100" i="18"/>
  <c r="D100" i="18"/>
  <c r="B100" i="18"/>
  <c r="X99" i="18"/>
  <c r="T99" i="18"/>
  <c r="Z99" i="18" s="1"/>
  <c r="P99" i="18"/>
  <c r="L99" i="18"/>
  <c r="N99" i="18" s="1"/>
  <c r="H99" i="18"/>
  <c r="D99" i="18"/>
  <c r="B99" i="18"/>
  <c r="T98" i="18"/>
  <c r="P98" i="18"/>
  <c r="N98" i="18"/>
  <c r="L98" i="18"/>
  <c r="H98" i="18"/>
  <c r="D98" i="18"/>
  <c r="B98" i="18"/>
  <c r="T97" i="18"/>
  <c r="Z97" i="18" s="1"/>
  <c r="P97" i="18"/>
  <c r="X97" i="18" s="1"/>
  <c r="H97" i="18"/>
  <c r="D97" i="18"/>
  <c r="L97" i="18" s="1"/>
  <c r="N97" i="18" s="1"/>
  <c r="B97" i="18"/>
  <c r="T96" i="18"/>
  <c r="P96" i="18"/>
  <c r="H96" i="18"/>
  <c r="D96" i="18"/>
  <c r="B96" i="18"/>
  <c r="X95" i="18"/>
  <c r="T95" i="18"/>
  <c r="Z95" i="18" s="1"/>
  <c r="P95" i="18"/>
  <c r="N95" i="18"/>
  <c r="L95" i="18"/>
  <c r="H95" i="18"/>
  <c r="D95" i="18"/>
  <c r="B95" i="18"/>
  <c r="T94" i="18"/>
  <c r="P94" i="18"/>
  <c r="N94" i="18"/>
  <c r="L94" i="18"/>
  <c r="H94" i="18"/>
  <c r="D94" i="18"/>
  <c r="B94" i="18"/>
  <c r="T93" i="18"/>
  <c r="Z93" i="18" s="1"/>
  <c r="P93" i="18"/>
  <c r="X93" i="18" s="1"/>
  <c r="L93" i="18"/>
  <c r="N93" i="18" s="1"/>
  <c r="H93" i="18"/>
  <c r="D93" i="18"/>
  <c r="B93" i="18"/>
  <c r="T92" i="18"/>
  <c r="P92" i="18"/>
  <c r="H92" i="18"/>
  <c r="D92" i="18"/>
  <c r="B92" i="18"/>
  <c r="X91" i="18"/>
  <c r="T91" i="18"/>
  <c r="Z91" i="18" s="1"/>
  <c r="P91" i="18"/>
  <c r="L91" i="18"/>
  <c r="N91" i="18" s="1"/>
  <c r="H91" i="18"/>
  <c r="D91" i="18"/>
  <c r="B91" i="18"/>
  <c r="T90" i="18"/>
  <c r="P90" i="18"/>
  <c r="N90" i="18"/>
  <c r="L90" i="18"/>
  <c r="H90" i="18"/>
  <c r="D90" i="18"/>
  <c r="B90" i="18"/>
  <c r="T89" i="18"/>
  <c r="P89" i="18"/>
  <c r="X89" i="18" s="1"/>
  <c r="N89" i="18"/>
  <c r="H89" i="18"/>
  <c r="D89" i="18"/>
  <c r="L89" i="18" s="1"/>
  <c r="B89" i="18"/>
  <c r="T88" i="18"/>
  <c r="P88" i="18"/>
  <c r="H88" i="18"/>
  <c r="N88" i="18" s="1"/>
  <c r="D88" i="18"/>
  <c r="B88" i="18"/>
  <c r="X87" i="18"/>
  <c r="T87" i="18"/>
  <c r="Z87" i="18" s="1"/>
  <c r="P87" i="18"/>
  <c r="L87" i="18"/>
  <c r="N87" i="18" s="1"/>
  <c r="H87" i="18"/>
  <c r="D87" i="18"/>
  <c r="B87" i="18"/>
  <c r="T86" i="18"/>
  <c r="P86" i="18"/>
  <c r="N86" i="18"/>
  <c r="L86" i="18"/>
  <c r="H86" i="18"/>
  <c r="D86" i="18"/>
  <c r="B86" i="18"/>
  <c r="T85" i="18"/>
  <c r="P85" i="18"/>
  <c r="X85" i="18" s="1"/>
  <c r="N85" i="18"/>
  <c r="L85" i="18"/>
  <c r="H85" i="18"/>
  <c r="D85" i="18"/>
  <c r="B85" i="18"/>
  <c r="T84" i="18"/>
  <c r="P84" i="18"/>
  <c r="H84" i="18"/>
  <c r="D84" i="18"/>
  <c r="B84" i="18"/>
  <c r="X83" i="18"/>
  <c r="T83" i="18"/>
  <c r="Z83" i="18" s="1"/>
  <c r="P83" i="18"/>
  <c r="L83" i="18"/>
  <c r="N83" i="18" s="1"/>
  <c r="H83" i="18"/>
  <c r="D83" i="18"/>
  <c r="B83" i="18"/>
  <c r="T82" i="18"/>
  <c r="P82" i="18"/>
  <c r="N82" i="18"/>
  <c r="L82" i="18"/>
  <c r="H82" i="18"/>
  <c r="D82" i="18"/>
  <c r="B82" i="18"/>
  <c r="T81" i="18"/>
  <c r="P81" i="18"/>
  <c r="X81" i="18" s="1"/>
  <c r="H81" i="18"/>
  <c r="D81" i="18"/>
  <c r="L81" i="18" s="1"/>
  <c r="N81" i="18" s="1"/>
  <c r="B81" i="18"/>
  <c r="T80" i="18"/>
  <c r="P80" i="18"/>
  <c r="H80" i="18"/>
  <c r="D80" i="18"/>
  <c r="B80" i="18"/>
  <c r="X79" i="18"/>
  <c r="T79" i="18"/>
  <c r="P79" i="18"/>
  <c r="N79" i="18"/>
  <c r="L79" i="18"/>
  <c r="H79" i="18"/>
  <c r="D79" i="18"/>
  <c r="B79" i="18"/>
  <c r="T78" i="18"/>
  <c r="P78" i="18"/>
  <c r="N78" i="18"/>
  <c r="L78" i="18"/>
  <c r="H78" i="18"/>
  <c r="D78" i="18"/>
  <c r="B78" i="18"/>
  <c r="T77" i="18"/>
  <c r="P77" i="18"/>
  <c r="X77" i="18" s="1"/>
  <c r="L77" i="18"/>
  <c r="N77" i="18" s="1"/>
  <c r="H77" i="18"/>
  <c r="D77" i="18"/>
  <c r="B77" i="18"/>
  <c r="T76" i="18"/>
  <c r="P76" i="18"/>
  <c r="H76" i="18"/>
  <c r="D76" i="18"/>
  <c r="B76" i="18"/>
  <c r="X75" i="18"/>
  <c r="T75" i="18"/>
  <c r="P75" i="18"/>
  <c r="L75" i="18"/>
  <c r="N75" i="18" s="1"/>
  <c r="H75" i="18"/>
  <c r="D75" i="18"/>
  <c r="B75" i="18"/>
  <c r="T74" i="18"/>
  <c r="P74" i="18"/>
  <c r="N74" i="18"/>
  <c r="L74" i="18"/>
  <c r="H74" i="18"/>
  <c r="D74" i="18"/>
  <c r="B74" i="18"/>
  <c r="T73" i="18"/>
  <c r="P73" i="18"/>
  <c r="X73" i="18" s="1"/>
  <c r="N73" i="18"/>
  <c r="L73" i="18"/>
  <c r="H73" i="18"/>
  <c r="D73" i="18"/>
  <c r="B73" i="18"/>
  <c r="T72" i="18"/>
  <c r="P72" i="18"/>
  <c r="H72" i="18"/>
  <c r="D72" i="18"/>
  <c r="B72" i="18"/>
  <c r="X71" i="18"/>
  <c r="T71" i="18"/>
  <c r="Z71" i="18" s="1"/>
  <c r="P71" i="18"/>
  <c r="N71" i="18"/>
  <c r="L71" i="18"/>
  <c r="H71" i="18"/>
  <c r="D71" i="18"/>
  <c r="B71" i="18"/>
  <c r="T70" i="18"/>
  <c r="P70" i="18"/>
  <c r="N70" i="18"/>
  <c r="L70" i="18"/>
  <c r="H70" i="18"/>
  <c r="D70" i="18"/>
  <c r="B70" i="18"/>
  <c r="T69" i="18"/>
  <c r="P69" i="18"/>
  <c r="X69" i="18" s="1"/>
  <c r="L69" i="18"/>
  <c r="N69" i="18" s="1"/>
  <c r="H69" i="18"/>
  <c r="D69" i="18"/>
  <c r="B69" i="18"/>
  <c r="T68" i="18"/>
  <c r="P68" i="18"/>
  <c r="H68" i="18"/>
  <c r="D68" i="18"/>
  <c r="B68" i="18"/>
  <c r="X67" i="18"/>
  <c r="T67" i="18"/>
  <c r="P67" i="18"/>
  <c r="L67" i="18"/>
  <c r="N67" i="18" s="1"/>
  <c r="H67" i="18"/>
  <c r="D67" i="18"/>
  <c r="B67" i="18"/>
  <c r="T66" i="18"/>
  <c r="P66" i="18"/>
  <c r="N66" i="18"/>
  <c r="L66" i="18"/>
  <c r="H66" i="18"/>
  <c r="D66" i="18"/>
  <c r="B66" i="18"/>
  <c r="T65" i="18"/>
  <c r="Z65" i="18" s="1"/>
  <c r="P65" i="18"/>
  <c r="X65" i="18" s="1"/>
  <c r="N65" i="18"/>
  <c r="H65" i="18"/>
  <c r="D65" i="18"/>
  <c r="L65" i="18" s="1"/>
  <c r="B65" i="18"/>
  <c r="T64" i="18"/>
  <c r="P64" i="18"/>
  <c r="H64" i="18"/>
  <c r="D64" i="18"/>
  <c r="B64" i="18"/>
  <c r="X63" i="18"/>
  <c r="T63" i="18"/>
  <c r="P63" i="18"/>
  <c r="L63" i="18"/>
  <c r="N63" i="18" s="1"/>
  <c r="H63" i="18"/>
  <c r="D63" i="18"/>
  <c r="B63" i="18"/>
  <c r="T62" i="18"/>
  <c r="P62" i="18"/>
  <c r="N62" i="18"/>
  <c r="L62" i="18"/>
  <c r="H62" i="18"/>
  <c r="D62" i="18"/>
  <c r="B62" i="18"/>
  <c r="T61" i="18"/>
  <c r="Z61" i="18" s="1"/>
  <c r="P61" i="18"/>
  <c r="X61" i="18" s="1"/>
  <c r="H61" i="18"/>
  <c r="D61" i="18"/>
  <c r="L61" i="18" s="1"/>
  <c r="N61" i="18" s="1"/>
  <c r="B61" i="18"/>
  <c r="T60" i="18"/>
  <c r="P60" i="18"/>
  <c r="H60" i="18"/>
  <c r="D60" i="18"/>
  <c r="B60" i="18"/>
  <c r="X59" i="18"/>
  <c r="T59" i="18"/>
  <c r="Z59" i="18" s="1"/>
  <c r="P59" i="18"/>
  <c r="L59" i="18"/>
  <c r="N59" i="18" s="1"/>
  <c r="H59" i="18"/>
  <c r="D59" i="18"/>
  <c r="B59" i="18"/>
  <c r="T58" i="18"/>
  <c r="P58" i="18"/>
  <c r="N58" i="18"/>
  <c r="L58" i="18"/>
  <c r="H58" i="18"/>
  <c r="D58" i="18"/>
  <c r="B58" i="18"/>
  <c r="T57" i="18"/>
  <c r="P57" i="18"/>
  <c r="X57" i="18" s="1"/>
  <c r="N57" i="18"/>
  <c r="L57" i="18"/>
  <c r="H57" i="18"/>
  <c r="D57" i="18"/>
  <c r="B57" i="18"/>
  <c r="T56" i="18"/>
  <c r="P56" i="18"/>
  <c r="H56" i="18"/>
  <c r="N56" i="18" s="1"/>
  <c r="D56" i="18"/>
  <c r="B56" i="18"/>
  <c r="X55" i="18"/>
  <c r="T55" i="18"/>
  <c r="Z55" i="18" s="1"/>
  <c r="P55" i="18"/>
  <c r="L55" i="18"/>
  <c r="N55" i="18" s="1"/>
  <c r="H55" i="18"/>
  <c r="D55" i="18"/>
  <c r="B55" i="18"/>
  <c r="T54" i="18"/>
  <c r="P54" i="18"/>
  <c r="N54" i="18"/>
  <c r="L54" i="18"/>
  <c r="H54" i="18"/>
  <c r="D54" i="18"/>
  <c r="B54" i="18"/>
  <c r="T53" i="18"/>
  <c r="P53" i="18"/>
  <c r="X53" i="18" s="1"/>
  <c r="H53" i="18"/>
  <c r="D53" i="18"/>
  <c r="L53" i="18" s="1"/>
  <c r="N53" i="18" s="1"/>
  <c r="B53" i="18"/>
  <c r="T52" i="18"/>
  <c r="P52" i="18"/>
  <c r="H52" i="18"/>
  <c r="D52" i="18"/>
  <c r="B52" i="18"/>
  <c r="X51" i="18"/>
  <c r="T51" i="18"/>
  <c r="Z51" i="18" s="1"/>
  <c r="P51" i="18"/>
  <c r="L51" i="18"/>
  <c r="N51" i="18" s="1"/>
  <c r="H51" i="18"/>
  <c r="D51" i="18"/>
  <c r="B51" i="18"/>
  <c r="T50" i="18"/>
  <c r="P50" i="18"/>
  <c r="N50" i="18"/>
  <c r="L50" i="18"/>
  <c r="H50" i="18"/>
  <c r="D50" i="18"/>
  <c r="B50" i="18"/>
  <c r="T49" i="18"/>
  <c r="Z49" i="18" s="1"/>
  <c r="P49" i="18"/>
  <c r="X49" i="18" s="1"/>
  <c r="H49" i="18"/>
  <c r="D49" i="18"/>
  <c r="L49" i="18" s="1"/>
  <c r="N49" i="18" s="1"/>
  <c r="B49" i="18"/>
  <c r="T48" i="18"/>
  <c r="P48" i="18"/>
  <c r="H48" i="18"/>
  <c r="N48" i="18" s="1"/>
  <c r="D48" i="18"/>
  <c r="B48" i="18"/>
  <c r="X47" i="18"/>
  <c r="T47" i="18"/>
  <c r="Z47" i="18" s="1"/>
  <c r="P47" i="18"/>
  <c r="L47" i="18"/>
  <c r="N47" i="18" s="1"/>
  <c r="H47" i="18"/>
  <c r="D47" i="18"/>
  <c r="B47" i="18"/>
  <c r="T46" i="18"/>
  <c r="P46" i="18"/>
  <c r="N46" i="18"/>
  <c r="L46" i="18"/>
  <c r="H46" i="18"/>
  <c r="D46" i="18"/>
  <c r="B46" i="18"/>
  <c r="T45" i="18"/>
  <c r="Z45" i="18" s="1"/>
  <c r="P45" i="18"/>
  <c r="X45" i="18" s="1"/>
  <c r="N45" i="18"/>
  <c r="L45" i="18"/>
  <c r="H45" i="18"/>
  <c r="D45" i="18"/>
  <c r="B45" i="18"/>
  <c r="T44" i="18"/>
  <c r="P44" i="18"/>
  <c r="H44" i="18"/>
  <c r="N44" i="18" s="1"/>
  <c r="D44" i="18"/>
  <c r="B44" i="18"/>
  <c r="X43" i="18"/>
  <c r="T43" i="18"/>
  <c r="P43" i="18"/>
  <c r="L43" i="18"/>
  <c r="N43" i="18" s="1"/>
  <c r="H43" i="18"/>
  <c r="D43" i="18"/>
  <c r="B43" i="18"/>
  <c r="T42" i="18"/>
  <c r="P42" i="18"/>
  <c r="N42" i="18"/>
  <c r="L42" i="18"/>
  <c r="H42" i="18"/>
  <c r="D42" i="18"/>
  <c r="B42" i="18"/>
  <c r="T41" i="18"/>
  <c r="P41" i="18"/>
  <c r="X41" i="18" s="1"/>
  <c r="L41" i="18"/>
  <c r="N41" i="18" s="1"/>
  <c r="H41" i="18"/>
  <c r="D41" i="18"/>
  <c r="B41" i="18"/>
  <c r="T40" i="18"/>
  <c r="P40" i="18"/>
  <c r="H40" i="18"/>
  <c r="D40" i="18"/>
  <c r="B40" i="18"/>
  <c r="X39" i="18"/>
  <c r="T39" i="18"/>
  <c r="Z39" i="18" s="1"/>
  <c r="P39" i="18"/>
  <c r="L39" i="18"/>
  <c r="N39" i="18" s="1"/>
  <c r="H39" i="18"/>
  <c r="D39" i="18"/>
  <c r="B39" i="18"/>
  <c r="T38" i="18"/>
  <c r="P38" i="18"/>
  <c r="N38" i="18"/>
  <c r="L38" i="18"/>
  <c r="H38" i="18"/>
  <c r="D38" i="18"/>
  <c r="B38" i="18"/>
  <c r="T37" i="18"/>
  <c r="Z37" i="18" s="1"/>
  <c r="P37" i="18"/>
  <c r="X37" i="18" s="1"/>
  <c r="L37" i="18"/>
  <c r="N37" i="18" s="1"/>
  <c r="H37" i="18"/>
  <c r="D37" i="18"/>
  <c r="B37" i="18"/>
  <c r="T36" i="18"/>
  <c r="P36" i="18"/>
  <c r="H36" i="18"/>
  <c r="D36" i="18"/>
  <c r="B36" i="18"/>
  <c r="X35" i="18"/>
  <c r="T35" i="18"/>
  <c r="Z35" i="18" s="1"/>
  <c r="P35" i="18"/>
  <c r="L35" i="18"/>
  <c r="N35" i="18" s="1"/>
  <c r="H35" i="18"/>
  <c r="D35" i="18"/>
  <c r="B35" i="18"/>
  <c r="T34" i="18"/>
  <c r="P34" i="18"/>
  <c r="N34" i="18"/>
  <c r="L34" i="18"/>
  <c r="H34" i="18"/>
  <c r="D34" i="18"/>
  <c r="B34" i="18"/>
  <c r="T33" i="18"/>
  <c r="P33" i="18"/>
  <c r="X33" i="18" s="1"/>
  <c r="L33" i="18"/>
  <c r="N33" i="18" s="1"/>
  <c r="H33" i="18"/>
  <c r="D33" i="18"/>
  <c r="B33" i="18"/>
  <c r="T32" i="18"/>
  <c r="P32" i="18"/>
  <c r="H32" i="18"/>
  <c r="D32" i="18"/>
  <c r="B32" i="18"/>
  <c r="X31" i="18"/>
  <c r="T31" i="18"/>
  <c r="P31" i="18"/>
  <c r="L31" i="18"/>
  <c r="N31" i="18" s="1"/>
  <c r="H31" i="18"/>
  <c r="D31" i="18"/>
  <c r="B31" i="18"/>
  <c r="T30" i="18"/>
  <c r="P30" i="18"/>
  <c r="N30" i="18"/>
  <c r="L30" i="18"/>
  <c r="H30" i="18"/>
  <c r="D30" i="18"/>
  <c r="B30" i="18"/>
  <c r="T29" i="18"/>
  <c r="Z29" i="18" s="1"/>
  <c r="P29" i="18"/>
  <c r="X29" i="18" s="1"/>
  <c r="L29" i="18"/>
  <c r="N29" i="18" s="1"/>
  <c r="H29" i="18"/>
  <c r="D29" i="18"/>
  <c r="B29" i="18"/>
  <c r="T28" i="18"/>
  <c r="P28" i="18"/>
  <c r="H28" i="18"/>
  <c r="D28" i="18"/>
  <c r="B28" i="18"/>
  <c r="X27" i="18"/>
  <c r="T27" i="18"/>
  <c r="Z27" i="18" s="1"/>
  <c r="P27" i="18"/>
  <c r="L27" i="18"/>
  <c r="N27" i="18" s="1"/>
  <c r="H27" i="18"/>
  <c r="D27" i="18"/>
  <c r="B27" i="18"/>
  <c r="T26" i="18"/>
  <c r="P26" i="18"/>
  <c r="N26" i="18"/>
  <c r="L26" i="18"/>
  <c r="H26" i="18"/>
  <c r="D26" i="18"/>
  <c r="B26" i="18"/>
  <c r="T25" i="18"/>
  <c r="P25" i="18"/>
  <c r="X25" i="18" s="1"/>
  <c r="H25" i="18"/>
  <c r="D25" i="18"/>
  <c r="L25" i="18" s="1"/>
  <c r="N25" i="18" s="1"/>
  <c r="B25" i="18"/>
  <c r="T24" i="18"/>
  <c r="P24" i="18"/>
  <c r="H24" i="18"/>
  <c r="D24" i="18"/>
  <c r="B24" i="18"/>
  <c r="X23" i="18"/>
  <c r="T23" i="18"/>
  <c r="P23" i="18"/>
  <c r="N23" i="18"/>
  <c r="L23" i="18"/>
  <c r="H23" i="18"/>
  <c r="D23" i="18"/>
  <c r="B23" i="18"/>
  <c r="T22" i="18"/>
  <c r="P22" i="18"/>
  <c r="N22" i="18"/>
  <c r="L22" i="18"/>
  <c r="H22" i="18"/>
  <c r="D22" i="18"/>
  <c r="B22" i="18"/>
  <c r="T21" i="18"/>
  <c r="P21" i="18"/>
  <c r="X21" i="18" s="1"/>
  <c r="L21" i="18"/>
  <c r="N21" i="18" s="1"/>
  <c r="H21" i="18"/>
  <c r="D21" i="18"/>
  <c r="B21" i="18"/>
  <c r="T20" i="18"/>
  <c r="P20" i="18"/>
  <c r="H20" i="18"/>
  <c r="D20" i="18"/>
  <c r="B20" i="18"/>
  <c r="X19" i="18"/>
  <c r="T19" i="18"/>
  <c r="P19" i="18"/>
  <c r="L19" i="18"/>
  <c r="N19" i="18" s="1"/>
  <c r="H19" i="18"/>
  <c r="D19" i="18"/>
  <c r="B19" i="18"/>
  <c r="T18" i="18"/>
  <c r="P18" i="18"/>
  <c r="N18" i="18"/>
  <c r="L18" i="18"/>
  <c r="H18" i="18"/>
  <c r="D18" i="18"/>
  <c r="B18" i="18"/>
  <c r="T17" i="18"/>
  <c r="Z17" i="18" s="1"/>
  <c r="P17" i="18"/>
  <c r="X17" i="18" s="1"/>
  <c r="L17" i="18"/>
  <c r="N17" i="18" s="1"/>
  <c r="H17" i="18"/>
  <c r="D17" i="18"/>
  <c r="B17" i="18"/>
  <c r="T16" i="18"/>
  <c r="P16" i="18"/>
  <c r="H16" i="18"/>
  <c r="D16" i="18"/>
  <c r="B16" i="18"/>
  <c r="X15" i="18"/>
  <c r="T15" i="18"/>
  <c r="Z15" i="18" s="1"/>
  <c r="P15" i="18"/>
  <c r="L15" i="18"/>
  <c r="N15" i="18" s="1"/>
  <c r="H15" i="18"/>
  <c r="D15" i="18"/>
  <c r="B15" i="18"/>
  <c r="T14" i="18"/>
  <c r="P14" i="18"/>
  <c r="N14" i="18"/>
  <c r="L14" i="18"/>
  <c r="H14" i="18"/>
  <c r="D14" i="18"/>
  <c r="B14" i="18"/>
  <c r="T13" i="18"/>
  <c r="Z13" i="18" s="1"/>
  <c r="P13" i="18"/>
  <c r="P12" i="18" s="1"/>
  <c r="R187" i="18" s="1"/>
  <c r="N13" i="18"/>
  <c r="H13" i="18"/>
  <c r="D13" i="18"/>
  <c r="B13" i="18"/>
  <c r="H12" i="18"/>
  <c r="J167" i="18" s="1"/>
  <c r="D4" i="18"/>
  <c r="Z263" i="15"/>
  <c r="X263" i="15"/>
  <c r="L263" i="15"/>
  <c r="N263" i="15" s="1"/>
  <c r="X259" i="15"/>
  <c r="T259" i="15"/>
  <c r="P259" i="15"/>
  <c r="N259" i="15"/>
  <c r="H259" i="15"/>
  <c r="D259" i="15"/>
  <c r="L259" i="15" s="1"/>
  <c r="B259" i="15"/>
  <c r="T258" i="15"/>
  <c r="P258" i="15"/>
  <c r="X258" i="15" s="1"/>
  <c r="Z258" i="15" s="1"/>
  <c r="N258" i="15"/>
  <c r="H258" i="15"/>
  <c r="D258" i="15"/>
  <c r="L258" i="15" s="1"/>
  <c r="B258" i="15"/>
  <c r="X257" i="15"/>
  <c r="T257" i="15"/>
  <c r="P257" i="15"/>
  <c r="H257" i="15"/>
  <c r="N257" i="15" s="1"/>
  <c r="D257" i="15"/>
  <c r="L257" i="15" s="1"/>
  <c r="B257" i="15"/>
  <c r="Z256" i="15"/>
  <c r="X256" i="15"/>
  <c r="T256" i="15"/>
  <c r="P256" i="15"/>
  <c r="L256" i="15"/>
  <c r="H256" i="15"/>
  <c r="N256" i="15" s="1"/>
  <c r="D256" i="15"/>
  <c r="B256" i="15"/>
  <c r="T255" i="15"/>
  <c r="Z255" i="15" s="1"/>
  <c r="P255" i="15"/>
  <c r="X255" i="15" s="1"/>
  <c r="H255" i="15"/>
  <c r="D255" i="15"/>
  <c r="B255" i="15"/>
  <c r="T254" i="15"/>
  <c r="P254" i="15"/>
  <c r="X254" i="15" s="1"/>
  <c r="Z254" i="15" s="1"/>
  <c r="H254" i="15"/>
  <c r="D254" i="15"/>
  <c r="L254" i="15" s="1"/>
  <c r="N254" i="15" s="1"/>
  <c r="B254" i="15"/>
  <c r="T253" i="15"/>
  <c r="P253" i="15"/>
  <c r="X253" i="15" s="1"/>
  <c r="Z253" i="15" s="1"/>
  <c r="L253" i="15"/>
  <c r="H253" i="15"/>
  <c r="D253" i="15"/>
  <c r="B253" i="15"/>
  <c r="T252" i="15"/>
  <c r="P252" i="15"/>
  <c r="X252" i="15" s="1"/>
  <c r="Z252" i="15" s="1"/>
  <c r="N252" i="15"/>
  <c r="H252" i="15"/>
  <c r="D252" i="15"/>
  <c r="L252" i="15" s="1"/>
  <c r="B252" i="15"/>
  <c r="T251" i="15"/>
  <c r="P251" i="15"/>
  <c r="L251" i="15"/>
  <c r="H251" i="15"/>
  <c r="N251" i="15" s="1"/>
  <c r="D251" i="15"/>
  <c r="B251" i="15"/>
  <c r="X248" i="15"/>
  <c r="Z248" i="15" s="1"/>
  <c r="N248" i="15"/>
  <c r="L248" i="15"/>
  <c r="B248" i="15"/>
  <c r="T247" i="15"/>
  <c r="P247" i="15"/>
  <c r="X247" i="15" s="1"/>
  <c r="Z247" i="15" s="1"/>
  <c r="L247" i="15"/>
  <c r="H247" i="15"/>
  <c r="D247" i="15"/>
  <c r="B247" i="15"/>
  <c r="Z246" i="15"/>
  <c r="X246" i="15"/>
  <c r="N246" i="15"/>
  <c r="L246" i="15"/>
  <c r="B246" i="15"/>
  <c r="Z245" i="15"/>
  <c r="X245" i="15"/>
  <c r="N245" i="15"/>
  <c r="L245" i="15"/>
  <c r="B245" i="15"/>
  <c r="Z244" i="15"/>
  <c r="X244" i="15"/>
  <c r="N244" i="15"/>
  <c r="L244" i="15"/>
  <c r="B244" i="15"/>
  <c r="T243" i="15"/>
  <c r="P243" i="15"/>
  <c r="X243" i="15" s="1"/>
  <c r="H243" i="15"/>
  <c r="L243" i="15" s="1"/>
  <c r="D243" i="15"/>
  <c r="B243" i="15"/>
  <c r="Z242" i="15"/>
  <c r="X242" i="15"/>
  <c r="N242" i="15"/>
  <c r="L242" i="15"/>
  <c r="B242" i="15"/>
  <c r="T241" i="15"/>
  <c r="Z241" i="15" s="1"/>
  <c r="P241" i="15"/>
  <c r="X241" i="15" s="1"/>
  <c r="L241" i="15"/>
  <c r="H241" i="15"/>
  <c r="D241" i="15"/>
  <c r="B241" i="15"/>
  <c r="X240" i="15"/>
  <c r="Z240" i="15" s="1"/>
  <c r="N240" i="15"/>
  <c r="L240" i="15"/>
  <c r="B240" i="15"/>
  <c r="X239" i="15"/>
  <c r="Z239" i="15" s="1"/>
  <c r="L239" i="15"/>
  <c r="N239" i="15" s="1"/>
  <c r="B239" i="15"/>
  <c r="Z238" i="15"/>
  <c r="X238" i="15"/>
  <c r="T238" i="15"/>
  <c r="P238" i="15"/>
  <c r="L238" i="15"/>
  <c r="H238" i="15"/>
  <c r="N238" i="15" s="1"/>
  <c r="D238" i="15"/>
  <c r="B238" i="15"/>
  <c r="Z237" i="15"/>
  <c r="X237" i="15"/>
  <c r="N237" i="15"/>
  <c r="L237" i="15"/>
  <c r="B237" i="15"/>
  <c r="Z236" i="15"/>
  <c r="X236" i="15"/>
  <c r="L236" i="15"/>
  <c r="N236" i="15" s="1"/>
  <c r="B236" i="15"/>
  <c r="X235" i="15"/>
  <c r="Z235" i="15" s="1"/>
  <c r="L235" i="15"/>
  <c r="N235" i="15" s="1"/>
  <c r="B235" i="15"/>
  <c r="Z234" i="15"/>
  <c r="X234" i="15"/>
  <c r="N234" i="15"/>
  <c r="L234" i="15"/>
  <c r="B234" i="15"/>
  <c r="Z233" i="15"/>
  <c r="X233" i="15"/>
  <c r="L233" i="15"/>
  <c r="N233" i="15" s="1"/>
  <c r="B233" i="15"/>
  <c r="Z232" i="15"/>
  <c r="X232" i="15"/>
  <c r="N232" i="15"/>
  <c r="L232" i="15"/>
  <c r="B232" i="15"/>
  <c r="X231" i="15"/>
  <c r="Z231" i="15" s="1"/>
  <c r="L231" i="15"/>
  <c r="N231" i="15" s="1"/>
  <c r="B231" i="15"/>
  <c r="T230" i="15"/>
  <c r="P230" i="15"/>
  <c r="X230" i="15" s="1"/>
  <c r="Z230" i="15" s="1"/>
  <c r="N230" i="15"/>
  <c r="H230" i="15"/>
  <c r="D230" i="15"/>
  <c r="L230" i="15" s="1"/>
  <c r="B230" i="15"/>
  <c r="X229" i="15"/>
  <c r="Z229" i="15" s="1"/>
  <c r="L229" i="15"/>
  <c r="N229" i="15" s="1"/>
  <c r="B229" i="15"/>
  <c r="X228" i="15"/>
  <c r="Z228" i="15" s="1"/>
  <c r="L228" i="15"/>
  <c r="N228" i="15" s="1"/>
  <c r="B228" i="15"/>
  <c r="X227" i="15"/>
  <c r="T227" i="15"/>
  <c r="P227" i="15"/>
  <c r="H227" i="15"/>
  <c r="D227" i="15"/>
  <c r="L227" i="15" s="1"/>
  <c r="B227" i="15"/>
  <c r="Z226" i="15"/>
  <c r="X226" i="15"/>
  <c r="N226" i="15"/>
  <c r="L226" i="15"/>
  <c r="B226" i="15"/>
  <c r="X225" i="15"/>
  <c r="Z225" i="15" s="1"/>
  <c r="N225" i="15"/>
  <c r="L225" i="15"/>
  <c r="B225" i="15"/>
  <c r="X224" i="15"/>
  <c r="Z224" i="15" s="1"/>
  <c r="N224" i="15"/>
  <c r="L224" i="15"/>
  <c r="B224" i="15"/>
  <c r="X223" i="15"/>
  <c r="Z223" i="15" s="1"/>
  <c r="L223" i="15"/>
  <c r="N223" i="15" s="1"/>
  <c r="B223" i="15"/>
  <c r="T222" i="15"/>
  <c r="X222" i="15" s="1"/>
  <c r="Z222" i="15" s="1"/>
  <c r="P222" i="15"/>
  <c r="L222" i="15"/>
  <c r="H222" i="15"/>
  <c r="N222" i="15" s="1"/>
  <c r="D222" i="15"/>
  <c r="B222" i="15"/>
  <c r="Z221" i="15"/>
  <c r="X221" i="15"/>
  <c r="N221" i="15"/>
  <c r="L221" i="15"/>
  <c r="B221" i="15"/>
  <c r="Z220" i="15"/>
  <c r="X220" i="15"/>
  <c r="L220" i="15"/>
  <c r="N220" i="15" s="1"/>
  <c r="B220" i="15"/>
  <c r="X219" i="15"/>
  <c r="Z219" i="15" s="1"/>
  <c r="N219" i="15"/>
  <c r="L219" i="15"/>
  <c r="B219" i="15"/>
  <c r="T218" i="15"/>
  <c r="P218" i="15"/>
  <c r="X218" i="15" s="1"/>
  <c r="Z218" i="15" s="1"/>
  <c r="N218" i="15"/>
  <c r="H218" i="15"/>
  <c r="D218" i="15"/>
  <c r="L218" i="15" s="1"/>
  <c r="B218" i="15"/>
  <c r="Z217" i="15"/>
  <c r="X217" i="15"/>
  <c r="L217" i="15"/>
  <c r="N217" i="15" s="1"/>
  <c r="B217" i="15"/>
  <c r="X216" i="15"/>
  <c r="Z216" i="15" s="1"/>
  <c r="L216" i="15"/>
  <c r="N216" i="15" s="1"/>
  <c r="B216" i="15"/>
  <c r="X215" i="15"/>
  <c r="Z215" i="15" s="1"/>
  <c r="L215" i="15"/>
  <c r="N215" i="15" s="1"/>
  <c r="B215" i="15"/>
  <c r="Z214" i="15"/>
  <c r="X214" i="15"/>
  <c r="N214" i="15"/>
  <c r="L214" i="15"/>
  <c r="B214" i="15"/>
  <c r="T213" i="15"/>
  <c r="P213" i="15"/>
  <c r="X213" i="15" s="1"/>
  <c r="L213" i="15"/>
  <c r="H213" i="15"/>
  <c r="N213" i="15" s="1"/>
  <c r="D213" i="15"/>
  <c r="B213" i="15"/>
  <c r="X212" i="15"/>
  <c r="Z212" i="15" s="1"/>
  <c r="N212" i="15"/>
  <c r="L212" i="15"/>
  <c r="B212" i="15"/>
  <c r="T211" i="15"/>
  <c r="P211" i="15"/>
  <c r="X211" i="15" s="1"/>
  <c r="Z211" i="15" s="1"/>
  <c r="H211" i="15"/>
  <c r="L211" i="15" s="1"/>
  <c r="D211" i="15"/>
  <c r="B211" i="15"/>
  <c r="Z210" i="15"/>
  <c r="X210" i="15"/>
  <c r="N210" i="15"/>
  <c r="L210" i="15"/>
  <c r="B210" i="15"/>
  <c r="T209" i="15"/>
  <c r="X209" i="15" s="1"/>
  <c r="P209" i="15"/>
  <c r="H209" i="15"/>
  <c r="N209" i="15" s="1"/>
  <c r="D209" i="15"/>
  <c r="L209" i="15" s="1"/>
  <c r="B209" i="15"/>
  <c r="X208" i="15"/>
  <c r="Z208" i="15" s="1"/>
  <c r="L208" i="15"/>
  <c r="N208" i="15" s="1"/>
  <c r="B208" i="15"/>
  <c r="X207" i="15"/>
  <c r="T207" i="15"/>
  <c r="Z207" i="15" s="1"/>
  <c r="P207" i="15"/>
  <c r="H207" i="15"/>
  <c r="D207" i="15"/>
  <c r="B207" i="15"/>
  <c r="Z206" i="15"/>
  <c r="X206" i="15"/>
  <c r="N206" i="15"/>
  <c r="L206" i="15"/>
  <c r="B206" i="15"/>
  <c r="X205" i="15"/>
  <c r="T205" i="15"/>
  <c r="P205" i="15"/>
  <c r="H205" i="15"/>
  <c r="D205" i="15"/>
  <c r="L205" i="15" s="1"/>
  <c r="N205" i="15" s="1"/>
  <c r="B205" i="15"/>
  <c r="Z204" i="15"/>
  <c r="X204" i="15"/>
  <c r="L204" i="15"/>
  <c r="N204" i="15" s="1"/>
  <c r="B204" i="15"/>
  <c r="T203" i="15"/>
  <c r="P203" i="15"/>
  <c r="H203" i="15"/>
  <c r="N203" i="15" s="1"/>
  <c r="D203" i="15"/>
  <c r="L203" i="15" s="1"/>
  <c r="B203" i="15"/>
  <c r="Z202" i="15"/>
  <c r="X202" i="15"/>
  <c r="N202" i="15"/>
  <c r="L202" i="15"/>
  <c r="B202" i="15"/>
  <c r="X201" i="15"/>
  <c r="Z201" i="15" s="1"/>
  <c r="L201" i="15"/>
  <c r="N201" i="15" s="1"/>
  <c r="B201" i="15"/>
  <c r="X200" i="15"/>
  <c r="Z200" i="15" s="1"/>
  <c r="T200" i="15"/>
  <c r="P200" i="15"/>
  <c r="H200" i="15"/>
  <c r="D200" i="15"/>
  <c r="L200" i="15" s="1"/>
  <c r="N200" i="15" s="1"/>
  <c r="B200" i="15"/>
  <c r="X199" i="15"/>
  <c r="Z199" i="15" s="1"/>
  <c r="L199" i="15"/>
  <c r="N199" i="15" s="1"/>
  <c r="B199" i="15"/>
  <c r="T198" i="15"/>
  <c r="X198" i="15" s="1"/>
  <c r="Z198" i="15" s="1"/>
  <c r="P198" i="15"/>
  <c r="L198" i="15"/>
  <c r="N198" i="15" s="1"/>
  <c r="H198" i="15"/>
  <c r="D198" i="15"/>
  <c r="B198" i="15"/>
  <c r="Z197" i="15"/>
  <c r="X197" i="15"/>
  <c r="N197" i="15"/>
  <c r="L197" i="15"/>
  <c r="B197" i="15"/>
  <c r="T196" i="15"/>
  <c r="P196" i="15"/>
  <c r="X196" i="15" s="1"/>
  <c r="Z196" i="15" s="1"/>
  <c r="N196" i="15"/>
  <c r="H196" i="15"/>
  <c r="D196" i="15"/>
  <c r="L196" i="15" s="1"/>
  <c r="B196" i="15"/>
  <c r="X195" i="15"/>
  <c r="Z195" i="15" s="1"/>
  <c r="N195" i="15"/>
  <c r="L195" i="15"/>
  <c r="B195" i="15"/>
  <c r="T194" i="15"/>
  <c r="P194" i="15"/>
  <c r="X194" i="15" s="1"/>
  <c r="Z194" i="15" s="1"/>
  <c r="N194" i="15"/>
  <c r="L194" i="15"/>
  <c r="H194" i="15"/>
  <c r="D194" i="15"/>
  <c r="B194" i="15"/>
  <c r="X193" i="15"/>
  <c r="Z193" i="15" s="1"/>
  <c r="N193" i="15"/>
  <c r="L193" i="15"/>
  <c r="B193" i="15"/>
  <c r="X192" i="15"/>
  <c r="Z192" i="15" s="1"/>
  <c r="N192" i="15"/>
  <c r="L192" i="15"/>
  <c r="B192" i="15"/>
  <c r="T191" i="15"/>
  <c r="P191" i="15"/>
  <c r="X191" i="15" s="1"/>
  <c r="Z191" i="15" s="1"/>
  <c r="L191" i="15"/>
  <c r="H191" i="15"/>
  <c r="D191" i="15"/>
  <c r="B191" i="15"/>
  <c r="Z190" i="15"/>
  <c r="X190" i="15"/>
  <c r="N190" i="15"/>
  <c r="L190" i="15"/>
  <c r="B190" i="15"/>
  <c r="Z189" i="15"/>
  <c r="X189" i="15"/>
  <c r="N189" i="15"/>
  <c r="L189" i="15"/>
  <c r="B189" i="15"/>
  <c r="Z188" i="15"/>
  <c r="T188" i="15"/>
  <c r="P188" i="15"/>
  <c r="X188" i="15" s="1"/>
  <c r="H188" i="15"/>
  <c r="D188" i="15"/>
  <c r="L188" i="15" s="1"/>
  <c r="N188" i="15" s="1"/>
  <c r="B188" i="15"/>
  <c r="X187" i="15"/>
  <c r="Z187" i="15" s="1"/>
  <c r="L187" i="15"/>
  <c r="N187" i="15" s="1"/>
  <c r="B187" i="15"/>
  <c r="Z186" i="15"/>
  <c r="T186" i="15"/>
  <c r="P186" i="15"/>
  <c r="X186" i="15" s="1"/>
  <c r="L186" i="15"/>
  <c r="H186" i="15"/>
  <c r="N186" i="15" s="1"/>
  <c r="D186" i="15"/>
  <c r="B186" i="15"/>
  <c r="X185" i="15"/>
  <c r="Z185" i="15" s="1"/>
  <c r="N185" i="15"/>
  <c r="L185" i="15"/>
  <c r="B185" i="15"/>
  <c r="X184" i="15"/>
  <c r="Z184" i="15" s="1"/>
  <c r="N184" i="15"/>
  <c r="L184" i="15"/>
  <c r="B184" i="15"/>
  <c r="T183" i="15"/>
  <c r="P183" i="15"/>
  <c r="X183" i="15" s="1"/>
  <c r="Z183" i="15" s="1"/>
  <c r="L183" i="15"/>
  <c r="H183" i="15"/>
  <c r="D183" i="15"/>
  <c r="B183" i="15"/>
  <c r="Z182" i="15"/>
  <c r="X182" i="15"/>
  <c r="N182" i="15"/>
  <c r="L182" i="15"/>
  <c r="B182" i="15"/>
  <c r="T181" i="15"/>
  <c r="X181" i="15" s="1"/>
  <c r="P181" i="15"/>
  <c r="H181" i="15"/>
  <c r="D181" i="15"/>
  <c r="L181" i="15" s="1"/>
  <c r="B181" i="15"/>
  <c r="X180" i="15"/>
  <c r="Z180" i="15" s="1"/>
  <c r="L180" i="15"/>
  <c r="N180" i="15" s="1"/>
  <c r="B180" i="15"/>
  <c r="X179" i="15"/>
  <c r="Z179" i="15" s="1"/>
  <c r="L179" i="15"/>
  <c r="N179" i="15" s="1"/>
  <c r="B179" i="15"/>
  <c r="Z178" i="15"/>
  <c r="X178" i="15"/>
  <c r="N178" i="15"/>
  <c r="L178" i="15"/>
  <c r="B178" i="15"/>
  <c r="Z177" i="15"/>
  <c r="X177" i="15"/>
  <c r="L177" i="15"/>
  <c r="N177" i="15" s="1"/>
  <c r="B177" i="15"/>
  <c r="X176" i="15"/>
  <c r="Z176" i="15" s="1"/>
  <c r="L176" i="15"/>
  <c r="N176" i="15" s="1"/>
  <c r="B176" i="15"/>
  <c r="X175" i="15"/>
  <c r="Z175" i="15" s="1"/>
  <c r="L175" i="15"/>
  <c r="N175" i="15" s="1"/>
  <c r="B175" i="15"/>
  <c r="Z174" i="15"/>
  <c r="X174" i="15"/>
  <c r="N174" i="15"/>
  <c r="L174" i="15"/>
  <c r="B174" i="15"/>
  <c r="T173" i="15"/>
  <c r="P173" i="15"/>
  <c r="L173" i="15"/>
  <c r="H173" i="15"/>
  <c r="N173" i="15" s="1"/>
  <c r="D173" i="15"/>
  <c r="B173" i="15"/>
  <c r="X172" i="15"/>
  <c r="Z172" i="15" s="1"/>
  <c r="N172" i="15"/>
  <c r="L172" i="15"/>
  <c r="B172" i="15"/>
  <c r="X171" i="15"/>
  <c r="Z171" i="15" s="1"/>
  <c r="L171" i="15"/>
  <c r="N171" i="15" s="1"/>
  <c r="B171" i="15"/>
  <c r="Z170" i="15"/>
  <c r="X170" i="15"/>
  <c r="N170" i="15"/>
  <c r="L170" i="15"/>
  <c r="B170" i="15"/>
  <c r="X169" i="15"/>
  <c r="Z169" i="15" s="1"/>
  <c r="N169" i="15"/>
  <c r="L169" i="15"/>
  <c r="B169" i="15"/>
  <c r="Z168" i="15"/>
  <c r="X168" i="15"/>
  <c r="N168" i="15"/>
  <c r="L168" i="15"/>
  <c r="B168" i="15"/>
  <c r="X167" i="15"/>
  <c r="Z167" i="15" s="1"/>
  <c r="L167" i="15"/>
  <c r="N167" i="15" s="1"/>
  <c r="B167" i="15"/>
  <c r="Z166" i="15"/>
  <c r="X166" i="15"/>
  <c r="N166" i="15"/>
  <c r="L166" i="15"/>
  <c r="B166" i="15"/>
  <c r="X165" i="15"/>
  <c r="Z165" i="15" s="1"/>
  <c r="N165" i="15"/>
  <c r="L165" i="15"/>
  <c r="B165" i="15"/>
  <c r="X164" i="15"/>
  <c r="Z164" i="15" s="1"/>
  <c r="N164" i="15"/>
  <c r="L164" i="15"/>
  <c r="B164" i="15"/>
  <c r="X163" i="15"/>
  <c r="Z163" i="15" s="1"/>
  <c r="L163" i="15"/>
  <c r="N163" i="15" s="1"/>
  <c r="B163" i="15"/>
  <c r="Z162" i="15"/>
  <c r="T162" i="15"/>
  <c r="X162" i="15" s="1"/>
  <c r="P162" i="15"/>
  <c r="L162" i="15"/>
  <c r="H162" i="15"/>
  <c r="N162" i="15" s="1"/>
  <c r="D162" i="15"/>
  <c r="B162" i="15"/>
  <c r="T161" i="15"/>
  <c r="P161" i="15"/>
  <c r="H161" i="15"/>
  <c r="D161" i="15"/>
  <c r="Z157" i="15"/>
  <c r="X157" i="15"/>
  <c r="N157" i="15"/>
  <c r="L157" i="15"/>
  <c r="B157" i="15"/>
  <c r="Z156" i="15"/>
  <c r="X156" i="15"/>
  <c r="L156" i="15"/>
  <c r="N156" i="15" s="1"/>
  <c r="B156" i="15"/>
  <c r="X155" i="15"/>
  <c r="Z155" i="15" s="1"/>
  <c r="N155" i="15"/>
  <c r="L155" i="15"/>
  <c r="B155" i="15"/>
  <c r="Z154" i="15"/>
  <c r="X154" i="15"/>
  <c r="N154" i="15"/>
  <c r="L154" i="15"/>
  <c r="B154" i="15"/>
  <c r="Z153" i="15"/>
  <c r="X153" i="15"/>
  <c r="N153" i="15"/>
  <c r="L153" i="15"/>
  <c r="B153" i="15"/>
  <c r="Z152" i="15"/>
  <c r="X152" i="15"/>
  <c r="L152" i="15"/>
  <c r="N152" i="15" s="1"/>
  <c r="B152" i="15"/>
  <c r="X151" i="15"/>
  <c r="Z151" i="15" s="1"/>
  <c r="L151" i="15"/>
  <c r="N151" i="15" s="1"/>
  <c r="B151" i="15"/>
  <c r="Z150" i="15"/>
  <c r="X150" i="15"/>
  <c r="N150" i="15"/>
  <c r="L150" i="15"/>
  <c r="B150" i="15"/>
  <c r="Z149" i="15"/>
  <c r="X149" i="15"/>
  <c r="L149" i="15"/>
  <c r="N149" i="15" s="1"/>
  <c r="B149" i="15"/>
  <c r="Z148" i="15"/>
  <c r="X148" i="15"/>
  <c r="N148" i="15"/>
  <c r="L148" i="15"/>
  <c r="B148" i="15"/>
  <c r="X147" i="15"/>
  <c r="Z147" i="15" s="1"/>
  <c r="N147" i="15"/>
  <c r="L147" i="15"/>
  <c r="B147" i="15"/>
  <c r="Z146" i="15"/>
  <c r="X146" i="15"/>
  <c r="N146" i="15"/>
  <c r="L146" i="15"/>
  <c r="B146" i="15"/>
  <c r="Z145" i="15"/>
  <c r="X145" i="15"/>
  <c r="N145" i="15"/>
  <c r="L145" i="15"/>
  <c r="B145" i="15"/>
  <c r="Z144" i="15"/>
  <c r="X144" i="15"/>
  <c r="N144" i="15"/>
  <c r="L144" i="15"/>
  <c r="B144" i="15"/>
  <c r="X143" i="15"/>
  <c r="Z143" i="15" s="1"/>
  <c r="L143" i="15"/>
  <c r="N143" i="15" s="1"/>
  <c r="B143" i="15"/>
  <c r="Z142" i="15"/>
  <c r="X142" i="15"/>
  <c r="N142" i="15"/>
  <c r="L142" i="15"/>
  <c r="B142" i="15"/>
  <c r="Z141" i="15"/>
  <c r="X141" i="15"/>
  <c r="L141" i="15"/>
  <c r="N141" i="15" s="1"/>
  <c r="B141" i="15"/>
  <c r="Z140" i="15"/>
  <c r="X140" i="15"/>
  <c r="L140" i="15"/>
  <c r="N140" i="15" s="1"/>
  <c r="B140" i="15"/>
  <c r="X139" i="15"/>
  <c r="Z139" i="15" s="1"/>
  <c r="L139" i="15"/>
  <c r="N139" i="15" s="1"/>
  <c r="B139" i="15"/>
  <c r="Z138" i="15"/>
  <c r="X138" i="15"/>
  <c r="N138" i="15"/>
  <c r="L138" i="15"/>
  <c r="B138" i="15"/>
  <c r="Z137" i="15"/>
  <c r="X137" i="15"/>
  <c r="L137" i="15"/>
  <c r="N137" i="15" s="1"/>
  <c r="B137" i="15"/>
  <c r="Z136" i="15"/>
  <c r="X136" i="15"/>
  <c r="L136" i="15"/>
  <c r="N136" i="15" s="1"/>
  <c r="B136" i="15"/>
  <c r="X135" i="15"/>
  <c r="Z135" i="15" s="1"/>
  <c r="L135" i="15"/>
  <c r="N135" i="15" s="1"/>
  <c r="B135" i="15"/>
  <c r="Z134" i="15"/>
  <c r="X134" i="15"/>
  <c r="N134" i="15"/>
  <c r="L134" i="15"/>
  <c r="B134" i="15"/>
  <c r="Z133" i="15"/>
  <c r="X133" i="15"/>
  <c r="L133" i="15"/>
  <c r="N133" i="15" s="1"/>
  <c r="B133" i="15"/>
  <c r="Z132" i="15"/>
  <c r="X132" i="15"/>
  <c r="L132" i="15"/>
  <c r="N132" i="15" s="1"/>
  <c r="B132" i="15"/>
  <c r="X131" i="15"/>
  <c r="Z131" i="15" s="1"/>
  <c r="L131" i="15"/>
  <c r="N131" i="15" s="1"/>
  <c r="B131" i="15"/>
  <c r="Z130" i="15"/>
  <c r="X130" i="15"/>
  <c r="N130" i="15"/>
  <c r="L130" i="15"/>
  <c r="B130" i="15"/>
  <c r="Z129" i="15"/>
  <c r="X129" i="15"/>
  <c r="L129" i="15"/>
  <c r="N129" i="15" s="1"/>
  <c r="B129" i="15"/>
  <c r="Z128" i="15"/>
  <c r="X128" i="15"/>
  <c r="L128" i="15"/>
  <c r="N128" i="15" s="1"/>
  <c r="B128" i="15"/>
  <c r="X127" i="15"/>
  <c r="Z127" i="15" s="1"/>
  <c r="L127" i="15"/>
  <c r="N127" i="15" s="1"/>
  <c r="B127" i="15"/>
  <c r="Z126" i="15"/>
  <c r="X126" i="15"/>
  <c r="N126" i="15"/>
  <c r="L126" i="15"/>
  <c r="B126" i="15"/>
  <c r="Z125" i="15"/>
  <c r="X125" i="15"/>
  <c r="L125" i="15"/>
  <c r="N125" i="15" s="1"/>
  <c r="B125" i="15"/>
  <c r="Z124" i="15"/>
  <c r="X124" i="15"/>
  <c r="N124" i="15"/>
  <c r="L124" i="15"/>
  <c r="B124" i="15"/>
  <c r="X123" i="15"/>
  <c r="Z123" i="15" s="1"/>
  <c r="L123" i="15"/>
  <c r="N123" i="15" s="1"/>
  <c r="B123" i="15"/>
  <c r="Z122" i="15"/>
  <c r="X122" i="15"/>
  <c r="N122" i="15"/>
  <c r="L122" i="15"/>
  <c r="B122" i="15"/>
  <c r="Z121" i="15"/>
  <c r="X121" i="15"/>
  <c r="L121" i="15"/>
  <c r="N121" i="15" s="1"/>
  <c r="B121" i="15"/>
  <c r="Z120" i="15"/>
  <c r="X120" i="15"/>
  <c r="L120" i="15"/>
  <c r="N120" i="15" s="1"/>
  <c r="B120" i="15"/>
  <c r="X119" i="15"/>
  <c r="Z119" i="15" s="1"/>
  <c r="L119" i="15"/>
  <c r="N119" i="15" s="1"/>
  <c r="B119" i="15"/>
  <c r="Z118" i="15"/>
  <c r="X118" i="15"/>
  <c r="N118" i="15"/>
  <c r="L118" i="15"/>
  <c r="B118" i="15"/>
  <c r="Z117" i="15"/>
  <c r="X117" i="15"/>
  <c r="L117" i="15"/>
  <c r="N117" i="15" s="1"/>
  <c r="B117" i="15"/>
  <c r="Z116" i="15"/>
  <c r="X116" i="15"/>
  <c r="L116" i="15"/>
  <c r="N116" i="15" s="1"/>
  <c r="B116" i="15"/>
  <c r="Z115" i="15"/>
  <c r="X115" i="15"/>
  <c r="N115" i="15"/>
  <c r="L115" i="15"/>
  <c r="B115" i="15"/>
  <c r="Z114" i="15"/>
  <c r="X114" i="15"/>
  <c r="N114" i="15"/>
  <c r="L114" i="15"/>
  <c r="B114" i="15"/>
  <c r="Z113" i="15"/>
  <c r="X113" i="15"/>
  <c r="L113" i="15"/>
  <c r="N113" i="15" s="1"/>
  <c r="B113" i="15"/>
  <c r="Z112" i="15"/>
  <c r="X112" i="15"/>
  <c r="L112" i="15"/>
  <c r="N112" i="15" s="1"/>
  <c r="B112" i="15"/>
  <c r="X111" i="15"/>
  <c r="Z111" i="15" s="1"/>
  <c r="L111" i="15"/>
  <c r="N111" i="15" s="1"/>
  <c r="B111" i="15"/>
  <c r="Z110" i="15"/>
  <c r="X110" i="15"/>
  <c r="N110" i="15"/>
  <c r="L110" i="15"/>
  <c r="B110" i="15"/>
  <c r="X109" i="15"/>
  <c r="Z109" i="15" s="1"/>
  <c r="L109" i="15"/>
  <c r="N109" i="15" s="1"/>
  <c r="B109" i="15"/>
  <c r="Z108" i="15"/>
  <c r="X108" i="15"/>
  <c r="L108" i="15"/>
  <c r="N108" i="15" s="1"/>
  <c r="B108" i="15"/>
  <c r="X107" i="15"/>
  <c r="T107" i="15"/>
  <c r="P107" i="15"/>
  <c r="H107" i="15"/>
  <c r="N107" i="15" s="1"/>
  <c r="D107" i="15"/>
  <c r="L107" i="15" s="1"/>
  <c r="X105" i="15"/>
  <c r="T105" i="15"/>
  <c r="Z105" i="15" s="1"/>
  <c r="P105" i="15"/>
  <c r="N105" i="15"/>
  <c r="L105" i="15"/>
  <c r="H105" i="15"/>
  <c r="D105" i="15"/>
  <c r="B105" i="15"/>
  <c r="T104" i="15"/>
  <c r="X104" i="15" s="1"/>
  <c r="Z104" i="15" s="1"/>
  <c r="P104" i="15"/>
  <c r="N104" i="15"/>
  <c r="H104" i="15"/>
  <c r="L104" i="15" s="1"/>
  <c r="D104" i="15"/>
  <c r="B104" i="15"/>
  <c r="T103" i="15"/>
  <c r="P103" i="15"/>
  <c r="X103" i="15" s="1"/>
  <c r="H103" i="15"/>
  <c r="D103" i="15"/>
  <c r="L103" i="15" s="1"/>
  <c r="N103" i="15" s="1"/>
  <c r="B103" i="15"/>
  <c r="Z102" i="15"/>
  <c r="T102" i="15"/>
  <c r="X102" i="15" s="1"/>
  <c r="P102" i="15"/>
  <c r="L102" i="15"/>
  <c r="H102" i="15"/>
  <c r="N102" i="15" s="1"/>
  <c r="D102" i="15"/>
  <c r="B102" i="15"/>
  <c r="X101" i="15"/>
  <c r="T101" i="15"/>
  <c r="Z101" i="15" s="1"/>
  <c r="P101" i="15"/>
  <c r="N101" i="15"/>
  <c r="L101" i="15"/>
  <c r="H101" i="15"/>
  <c r="D101" i="15"/>
  <c r="B101" i="15"/>
  <c r="T100" i="15"/>
  <c r="X100" i="15" s="1"/>
  <c r="Z100" i="15" s="1"/>
  <c r="P100" i="15"/>
  <c r="H100" i="15"/>
  <c r="D100" i="15"/>
  <c r="B100" i="15"/>
  <c r="T99" i="15"/>
  <c r="P99" i="15"/>
  <c r="X99" i="15" s="1"/>
  <c r="H99" i="15"/>
  <c r="D99" i="15"/>
  <c r="L99" i="15" s="1"/>
  <c r="N99" i="15" s="1"/>
  <c r="B99" i="15"/>
  <c r="Z98" i="15"/>
  <c r="T98" i="15"/>
  <c r="X98" i="15" s="1"/>
  <c r="P98" i="15"/>
  <c r="L98" i="15"/>
  <c r="H98" i="15"/>
  <c r="N98" i="15" s="1"/>
  <c r="D98" i="15"/>
  <c r="B98" i="15"/>
  <c r="X97" i="15"/>
  <c r="T97" i="15"/>
  <c r="Z97" i="15" s="1"/>
  <c r="P97" i="15"/>
  <c r="L97" i="15"/>
  <c r="N97" i="15" s="1"/>
  <c r="H97" i="15"/>
  <c r="D97" i="15"/>
  <c r="B97" i="15"/>
  <c r="T96" i="15"/>
  <c r="X96" i="15" s="1"/>
  <c r="Z96" i="15" s="1"/>
  <c r="P96" i="15"/>
  <c r="N96" i="15"/>
  <c r="H96" i="15"/>
  <c r="L96" i="15" s="1"/>
  <c r="D96" i="15"/>
  <c r="B96" i="15"/>
  <c r="T95" i="15"/>
  <c r="Z95" i="15" s="1"/>
  <c r="P95" i="15"/>
  <c r="X95" i="15" s="1"/>
  <c r="N95" i="15"/>
  <c r="H95" i="15"/>
  <c r="D95" i="15"/>
  <c r="L95" i="15" s="1"/>
  <c r="B95" i="15"/>
  <c r="T94" i="15"/>
  <c r="X94" i="15" s="1"/>
  <c r="P94" i="15"/>
  <c r="L94" i="15"/>
  <c r="H94" i="15"/>
  <c r="N94" i="15" s="1"/>
  <c r="D94" i="15"/>
  <c r="B94" i="15"/>
  <c r="T93" i="15"/>
  <c r="P93" i="15"/>
  <c r="X93" i="15" s="1"/>
  <c r="N93" i="15"/>
  <c r="L93" i="15"/>
  <c r="H93" i="15"/>
  <c r="D93" i="15"/>
  <c r="B93" i="15"/>
  <c r="T92" i="15"/>
  <c r="X92" i="15" s="1"/>
  <c r="Z92" i="15" s="1"/>
  <c r="P92" i="15"/>
  <c r="H92" i="15"/>
  <c r="D92" i="15"/>
  <c r="B92" i="15"/>
  <c r="T91" i="15"/>
  <c r="Z91" i="15" s="1"/>
  <c r="P91" i="15"/>
  <c r="X91" i="15" s="1"/>
  <c r="H91" i="15"/>
  <c r="D91" i="15"/>
  <c r="L91" i="15" s="1"/>
  <c r="N91" i="15" s="1"/>
  <c r="B91" i="15"/>
  <c r="Z90" i="15"/>
  <c r="T90" i="15"/>
  <c r="X90" i="15" s="1"/>
  <c r="P90" i="15"/>
  <c r="L90" i="15"/>
  <c r="H90" i="15"/>
  <c r="N90" i="15" s="1"/>
  <c r="D90" i="15"/>
  <c r="B90" i="15"/>
  <c r="X89" i="15"/>
  <c r="T89" i="15"/>
  <c r="P89" i="15"/>
  <c r="L89" i="15"/>
  <c r="N89" i="15" s="1"/>
  <c r="H89" i="15"/>
  <c r="D89" i="15"/>
  <c r="B89" i="15"/>
  <c r="T88" i="15"/>
  <c r="X88" i="15" s="1"/>
  <c r="Z88" i="15" s="1"/>
  <c r="P88" i="15"/>
  <c r="N88" i="15"/>
  <c r="H88" i="15"/>
  <c r="L88" i="15" s="1"/>
  <c r="D88" i="15"/>
  <c r="B88" i="15"/>
  <c r="T87" i="15"/>
  <c r="Z87" i="15" s="1"/>
  <c r="P87" i="15"/>
  <c r="X87" i="15" s="1"/>
  <c r="H87" i="15"/>
  <c r="D87" i="15"/>
  <c r="L87" i="15" s="1"/>
  <c r="N87" i="15" s="1"/>
  <c r="B87" i="15"/>
  <c r="T86" i="15"/>
  <c r="P86" i="15"/>
  <c r="L86" i="15"/>
  <c r="H86" i="15"/>
  <c r="N86" i="15" s="1"/>
  <c r="D86" i="15"/>
  <c r="B86" i="15"/>
  <c r="X85" i="15"/>
  <c r="T85" i="15"/>
  <c r="P85" i="15"/>
  <c r="L85" i="15"/>
  <c r="N85" i="15" s="1"/>
  <c r="H85" i="15"/>
  <c r="D85" i="15"/>
  <c r="B85" i="15"/>
  <c r="T84" i="15"/>
  <c r="X84" i="15" s="1"/>
  <c r="Z84" i="15" s="1"/>
  <c r="P84" i="15"/>
  <c r="H84" i="15"/>
  <c r="L84" i="15" s="1"/>
  <c r="D84" i="15"/>
  <c r="B84" i="15"/>
  <c r="T83" i="15"/>
  <c r="Z83" i="15" s="1"/>
  <c r="P83" i="15"/>
  <c r="X83" i="15" s="1"/>
  <c r="H83" i="15"/>
  <c r="D83" i="15"/>
  <c r="L83" i="15" s="1"/>
  <c r="N83" i="15" s="1"/>
  <c r="B83" i="15"/>
  <c r="Z82" i="15"/>
  <c r="T82" i="15"/>
  <c r="X82" i="15" s="1"/>
  <c r="P82" i="15"/>
  <c r="L82" i="15"/>
  <c r="H82" i="15"/>
  <c r="N82" i="15" s="1"/>
  <c r="D82" i="15"/>
  <c r="B82" i="15"/>
  <c r="T81" i="15"/>
  <c r="P81" i="15"/>
  <c r="X81" i="15" s="1"/>
  <c r="L81" i="15"/>
  <c r="N81" i="15" s="1"/>
  <c r="H81" i="15"/>
  <c r="D81" i="15"/>
  <c r="B81" i="15"/>
  <c r="T80" i="15"/>
  <c r="P80" i="15"/>
  <c r="N80" i="15"/>
  <c r="H80" i="15"/>
  <c r="L80" i="15" s="1"/>
  <c r="D80" i="15"/>
  <c r="B80" i="15"/>
  <c r="T79" i="15"/>
  <c r="P79" i="15"/>
  <c r="X79" i="15" s="1"/>
  <c r="N79" i="15"/>
  <c r="H79" i="15"/>
  <c r="D79" i="15"/>
  <c r="L79" i="15" s="1"/>
  <c r="B79" i="15"/>
  <c r="Z78" i="15"/>
  <c r="T78" i="15"/>
  <c r="X78" i="15" s="1"/>
  <c r="P78" i="15"/>
  <c r="L78" i="15"/>
  <c r="H78" i="15"/>
  <c r="N78" i="15" s="1"/>
  <c r="D78" i="15"/>
  <c r="B78" i="15"/>
  <c r="X77" i="15"/>
  <c r="T77" i="15"/>
  <c r="Z77" i="15" s="1"/>
  <c r="P77" i="15"/>
  <c r="L77" i="15"/>
  <c r="N77" i="15" s="1"/>
  <c r="H77" i="15"/>
  <c r="D77" i="15"/>
  <c r="B77" i="15"/>
  <c r="T76" i="15"/>
  <c r="P76" i="15"/>
  <c r="N76" i="15"/>
  <c r="H76" i="15"/>
  <c r="L76" i="15" s="1"/>
  <c r="D76" i="15"/>
  <c r="B76" i="15"/>
  <c r="T75" i="15"/>
  <c r="Z75" i="15" s="1"/>
  <c r="P75" i="15"/>
  <c r="X75" i="15" s="1"/>
  <c r="H75" i="15"/>
  <c r="D75" i="15"/>
  <c r="L75" i="15" s="1"/>
  <c r="N75" i="15" s="1"/>
  <c r="B75" i="15"/>
  <c r="T74" i="15"/>
  <c r="X74" i="15" s="1"/>
  <c r="P74" i="15"/>
  <c r="L74" i="15"/>
  <c r="H74" i="15"/>
  <c r="N74" i="15" s="1"/>
  <c r="D74" i="15"/>
  <c r="B74" i="15"/>
  <c r="T73" i="15"/>
  <c r="P73" i="15"/>
  <c r="X73" i="15" s="1"/>
  <c r="N73" i="15"/>
  <c r="L73" i="15"/>
  <c r="H73" i="15"/>
  <c r="D73" i="15"/>
  <c r="B73" i="15"/>
  <c r="T72" i="15"/>
  <c r="P72" i="15"/>
  <c r="H72" i="15"/>
  <c r="L72" i="15" s="1"/>
  <c r="D72" i="15"/>
  <c r="B72" i="15"/>
  <c r="T71" i="15"/>
  <c r="Z71" i="15" s="1"/>
  <c r="P71" i="15"/>
  <c r="X71" i="15" s="1"/>
  <c r="H71" i="15"/>
  <c r="D71" i="15"/>
  <c r="L71" i="15" s="1"/>
  <c r="N71" i="15" s="1"/>
  <c r="B71" i="15"/>
  <c r="Z70" i="15"/>
  <c r="T70" i="15"/>
  <c r="X70" i="15" s="1"/>
  <c r="P70" i="15"/>
  <c r="L70" i="15"/>
  <c r="H70" i="15"/>
  <c r="N70" i="15" s="1"/>
  <c r="D70" i="15"/>
  <c r="B70" i="15"/>
  <c r="X69" i="15"/>
  <c r="T69" i="15"/>
  <c r="P69" i="15"/>
  <c r="L69" i="15"/>
  <c r="N69" i="15" s="1"/>
  <c r="H69" i="15"/>
  <c r="D69" i="15"/>
  <c r="B69" i="15"/>
  <c r="T68" i="15"/>
  <c r="Z68" i="15" s="1"/>
  <c r="P68" i="15"/>
  <c r="H68" i="15"/>
  <c r="D68" i="15"/>
  <c r="B68" i="15"/>
  <c r="T67" i="15"/>
  <c r="P67" i="15"/>
  <c r="X67" i="15" s="1"/>
  <c r="H67" i="15"/>
  <c r="D67" i="15"/>
  <c r="L67" i="15" s="1"/>
  <c r="N67" i="15" s="1"/>
  <c r="B67" i="15"/>
  <c r="Z66" i="15"/>
  <c r="T66" i="15"/>
  <c r="X66" i="15" s="1"/>
  <c r="P66" i="15"/>
  <c r="L66" i="15"/>
  <c r="H66" i="15"/>
  <c r="N66" i="15" s="1"/>
  <c r="D66" i="15"/>
  <c r="B66" i="15"/>
  <c r="X65" i="15"/>
  <c r="T65" i="15"/>
  <c r="Z65" i="15" s="1"/>
  <c r="P65" i="15"/>
  <c r="L65" i="15"/>
  <c r="N65" i="15" s="1"/>
  <c r="H65" i="15"/>
  <c r="D65" i="15"/>
  <c r="B65" i="15"/>
  <c r="T64" i="15"/>
  <c r="P64" i="15"/>
  <c r="N64" i="15"/>
  <c r="H64" i="15"/>
  <c r="L64" i="15" s="1"/>
  <c r="D64" i="15"/>
  <c r="B64" i="15"/>
  <c r="T63" i="15"/>
  <c r="Z63" i="15" s="1"/>
  <c r="P63" i="15"/>
  <c r="X63" i="15" s="1"/>
  <c r="H63" i="15"/>
  <c r="D63" i="15"/>
  <c r="L63" i="15" s="1"/>
  <c r="N63" i="15" s="1"/>
  <c r="B63" i="15"/>
  <c r="Z62" i="15"/>
  <c r="T62" i="15"/>
  <c r="X62" i="15" s="1"/>
  <c r="P62" i="15"/>
  <c r="L62" i="15"/>
  <c r="H62" i="15"/>
  <c r="N62" i="15" s="1"/>
  <c r="D62" i="15"/>
  <c r="B62" i="15"/>
  <c r="X61" i="15"/>
  <c r="T61" i="15"/>
  <c r="P61" i="15"/>
  <c r="L61" i="15"/>
  <c r="N61" i="15" s="1"/>
  <c r="H61" i="15"/>
  <c r="D61" i="15"/>
  <c r="B61" i="15"/>
  <c r="T60" i="15"/>
  <c r="P60" i="15"/>
  <c r="H60" i="15"/>
  <c r="D60" i="15"/>
  <c r="B60" i="15"/>
  <c r="T59" i="15"/>
  <c r="P59" i="15"/>
  <c r="X59" i="15" s="1"/>
  <c r="H59" i="15"/>
  <c r="D59" i="15"/>
  <c r="L59" i="15" s="1"/>
  <c r="N59" i="15" s="1"/>
  <c r="B59" i="15"/>
  <c r="T58" i="15"/>
  <c r="X58" i="15" s="1"/>
  <c r="P58" i="15"/>
  <c r="L58" i="15"/>
  <c r="H58" i="15"/>
  <c r="N58" i="15" s="1"/>
  <c r="D58" i="15"/>
  <c r="B58" i="15"/>
  <c r="T57" i="15"/>
  <c r="P57" i="15"/>
  <c r="X57" i="15" s="1"/>
  <c r="L57" i="15"/>
  <c r="N57" i="15" s="1"/>
  <c r="H57" i="15"/>
  <c r="D57" i="15"/>
  <c r="B57" i="15"/>
  <c r="T56" i="15"/>
  <c r="P56" i="15"/>
  <c r="N56" i="15"/>
  <c r="H56" i="15"/>
  <c r="L56" i="15" s="1"/>
  <c r="D56" i="15"/>
  <c r="B56" i="15"/>
  <c r="T55" i="15"/>
  <c r="Z55" i="15" s="1"/>
  <c r="P55" i="15"/>
  <c r="X55" i="15" s="1"/>
  <c r="H55" i="15"/>
  <c r="D55" i="15"/>
  <c r="L55" i="15" s="1"/>
  <c r="N55" i="15" s="1"/>
  <c r="B55" i="15"/>
  <c r="T54" i="15"/>
  <c r="P54" i="15"/>
  <c r="L54" i="15"/>
  <c r="H54" i="15"/>
  <c r="N54" i="15" s="1"/>
  <c r="D54" i="15"/>
  <c r="B54" i="15"/>
  <c r="X53" i="15"/>
  <c r="T53" i="15"/>
  <c r="P53" i="15"/>
  <c r="N53" i="15"/>
  <c r="L53" i="15"/>
  <c r="H53" i="15"/>
  <c r="D53" i="15"/>
  <c r="B53" i="15"/>
  <c r="T52" i="15"/>
  <c r="P52" i="15"/>
  <c r="N52" i="15"/>
  <c r="H52" i="15"/>
  <c r="L52" i="15" s="1"/>
  <c r="D52" i="15"/>
  <c r="B52" i="15"/>
  <c r="T51" i="15"/>
  <c r="Z51" i="15" s="1"/>
  <c r="P51" i="15"/>
  <c r="X51" i="15" s="1"/>
  <c r="H51" i="15"/>
  <c r="D51" i="15"/>
  <c r="L51" i="15" s="1"/>
  <c r="N51" i="15" s="1"/>
  <c r="B51" i="15"/>
  <c r="T50" i="15"/>
  <c r="P50" i="15"/>
  <c r="L50" i="15"/>
  <c r="H50" i="15"/>
  <c r="N50" i="15" s="1"/>
  <c r="D50" i="15"/>
  <c r="B50" i="15"/>
  <c r="X49" i="15"/>
  <c r="T49" i="15"/>
  <c r="P49" i="15"/>
  <c r="L49" i="15"/>
  <c r="N49" i="15" s="1"/>
  <c r="H49" i="15"/>
  <c r="D49" i="15"/>
  <c r="B49" i="15"/>
  <c r="T48" i="15"/>
  <c r="P48" i="15"/>
  <c r="H48" i="15"/>
  <c r="L48" i="15" s="1"/>
  <c r="D48" i="15"/>
  <c r="B48" i="15"/>
  <c r="T47" i="15"/>
  <c r="Z47" i="15" s="1"/>
  <c r="P47" i="15"/>
  <c r="X47" i="15" s="1"/>
  <c r="H47" i="15"/>
  <c r="D47" i="15"/>
  <c r="L47" i="15" s="1"/>
  <c r="N47" i="15" s="1"/>
  <c r="B47" i="15"/>
  <c r="Z46" i="15"/>
  <c r="T46" i="15"/>
  <c r="X46" i="15" s="1"/>
  <c r="P46" i="15"/>
  <c r="L46" i="15"/>
  <c r="H46" i="15"/>
  <c r="N46" i="15" s="1"/>
  <c r="D46" i="15"/>
  <c r="B46" i="15"/>
  <c r="T45" i="15"/>
  <c r="P45" i="15"/>
  <c r="X45" i="15" s="1"/>
  <c r="N45" i="15"/>
  <c r="L45" i="15"/>
  <c r="H45" i="15"/>
  <c r="D45" i="15"/>
  <c r="B45" i="15"/>
  <c r="T44" i="15"/>
  <c r="P44" i="15"/>
  <c r="N44" i="15"/>
  <c r="H44" i="15"/>
  <c r="L44" i="15" s="1"/>
  <c r="D44" i="15"/>
  <c r="B44" i="15"/>
  <c r="T43" i="15"/>
  <c r="P43" i="15"/>
  <c r="X43" i="15" s="1"/>
  <c r="H43" i="15"/>
  <c r="D43" i="15"/>
  <c r="L43" i="15" s="1"/>
  <c r="N43" i="15" s="1"/>
  <c r="B43" i="15"/>
  <c r="Z42" i="15"/>
  <c r="T42" i="15"/>
  <c r="X42" i="15" s="1"/>
  <c r="P42" i="15"/>
  <c r="L42" i="15"/>
  <c r="H42" i="15"/>
  <c r="N42" i="15" s="1"/>
  <c r="D42" i="15"/>
  <c r="B42" i="15"/>
  <c r="X41" i="15"/>
  <c r="T41" i="15"/>
  <c r="Z41" i="15" s="1"/>
  <c r="P41" i="15"/>
  <c r="L41" i="15"/>
  <c r="N41" i="15" s="1"/>
  <c r="H41" i="15"/>
  <c r="D41" i="15"/>
  <c r="B41" i="15"/>
  <c r="T40" i="15"/>
  <c r="P40" i="15"/>
  <c r="N40" i="15"/>
  <c r="H40" i="15"/>
  <c r="L40" i="15" s="1"/>
  <c r="D40" i="15"/>
  <c r="B40" i="15"/>
  <c r="T39" i="15"/>
  <c r="Z39" i="15" s="1"/>
  <c r="P39" i="15"/>
  <c r="X39" i="15" s="1"/>
  <c r="H39" i="15"/>
  <c r="D39" i="15"/>
  <c r="L39" i="15" s="1"/>
  <c r="N39" i="15" s="1"/>
  <c r="B39" i="15"/>
  <c r="T38" i="15"/>
  <c r="X38" i="15" s="1"/>
  <c r="P38" i="15"/>
  <c r="L38" i="15"/>
  <c r="H38" i="15"/>
  <c r="N38" i="15" s="1"/>
  <c r="D38" i="15"/>
  <c r="B38" i="15"/>
  <c r="X37" i="15"/>
  <c r="T37" i="15"/>
  <c r="P37" i="15"/>
  <c r="L37" i="15"/>
  <c r="N37" i="15" s="1"/>
  <c r="H37" i="15"/>
  <c r="D37" i="15"/>
  <c r="B37" i="15"/>
  <c r="T36" i="15"/>
  <c r="P36" i="15"/>
  <c r="H36" i="15"/>
  <c r="L36" i="15" s="1"/>
  <c r="D36" i="15"/>
  <c r="B36" i="15"/>
  <c r="T35" i="15"/>
  <c r="P35" i="15"/>
  <c r="X35" i="15" s="1"/>
  <c r="H35" i="15"/>
  <c r="D35" i="15"/>
  <c r="L35" i="15" s="1"/>
  <c r="N35" i="15" s="1"/>
  <c r="B35" i="15"/>
  <c r="Z34" i="15"/>
  <c r="T34" i="15"/>
  <c r="X34" i="15" s="1"/>
  <c r="P34" i="15"/>
  <c r="L34" i="15"/>
  <c r="H34" i="15"/>
  <c r="N34" i="15" s="1"/>
  <c r="D34" i="15"/>
  <c r="B34" i="15"/>
  <c r="T33" i="15"/>
  <c r="Z33" i="15" s="1"/>
  <c r="P33" i="15"/>
  <c r="X33" i="15" s="1"/>
  <c r="L33" i="15"/>
  <c r="N33" i="15" s="1"/>
  <c r="H33" i="15"/>
  <c r="D33" i="15"/>
  <c r="B33" i="15"/>
  <c r="T32" i="15"/>
  <c r="P32" i="15"/>
  <c r="H32" i="15"/>
  <c r="L32" i="15" s="1"/>
  <c r="D32" i="15"/>
  <c r="B32" i="15"/>
  <c r="T31" i="15"/>
  <c r="Z31" i="15" s="1"/>
  <c r="P31" i="15"/>
  <c r="X31" i="15" s="1"/>
  <c r="H31" i="15"/>
  <c r="D31" i="15"/>
  <c r="L31" i="15" s="1"/>
  <c r="N31" i="15" s="1"/>
  <c r="B31" i="15"/>
  <c r="Z30" i="15"/>
  <c r="T30" i="15"/>
  <c r="X30" i="15" s="1"/>
  <c r="P30" i="15"/>
  <c r="L30" i="15"/>
  <c r="H30" i="15"/>
  <c r="N30" i="15" s="1"/>
  <c r="D30" i="15"/>
  <c r="B30" i="15"/>
  <c r="X29" i="15"/>
  <c r="T29" i="15"/>
  <c r="P29" i="15"/>
  <c r="L29" i="15"/>
  <c r="N29" i="15" s="1"/>
  <c r="H29" i="15"/>
  <c r="D29" i="15"/>
  <c r="B29" i="15"/>
  <c r="T28" i="15"/>
  <c r="P28" i="15"/>
  <c r="H28" i="15"/>
  <c r="D28" i="15"/>
  <c r="B28" i="15"/>
  <c r="T27" i="15"/>
  <c r="P27" i="15"/>
  <c r="X27" i="15" s="1"/>
  <c r="H27" i="15"/>
  <c r="D27" i="15"/>
  <c r="L27" i="15" s="1"/>
  <c r="N27" i="15" s="1"/>
  <c r="B27" i="15"/>
  <c r="Z26" i="15"/>
  <c r="T26" i="15"/>
  <c r="X26" i="15" s="1"/>
  <c r="P26" i="15"/>
  <c r="L26" i="15"/>
  <c r="H26" i="15"/>
  <c r="N26" i="15" s="1"/>
  <c r="D26" i="15"/>
  <c r="B26" i="15"/>
  <c r="X25" i="15"/>
  <c r="T25" i="15"/>
  <c r="Z25" i="15" s="1"/>
  <c r="P25" i="15"/>
  <c r="L25" i="15"/>
  <c r="N25" i="15" s="1"/>
  <c r="H25" i="15"/>
  <c r="D25" i="15"/>
  <c r="B25" i="15"/>
  <c r="T24" i="15"/>
  <c r="P24" i="15"/>
  <c r="N24" i="15"/>
  <c r="H24" i="15"/>
  <c r="L24" i="15" s="1"/>
  <c r="D24" i="15"/>
  <c r="B24" i="15"/>
  <c r="T23" i="15"/>
  <c r="Z23" i="15" s="1"/>
  <c r="P23" i="15"/>
  <c r="X23" i="15" s="1"/>
  <c r="N23" i="15"/>
  <c r="H23" i="15"/>
  <c r="D23" i="15"/>
  <c r="L23" i="15" s="1"/>
  <c r="B23" i="15"/>
  <c r="T22" i="15"/>
  <c r="X22" i="15" s="1"/>
  <c r="P22" i="15"/>
  <c r="L22" i="15"/>
  <c r="H22" i="15"/>
  <c r="N22" i="15" s="1"/>
  <c r="D22" i="15"/>
  <c r="B22" i="15"/>
  <c r="T21" i="15"/>
  <c r="P21" i="15"/>
  <c r="X21" i="15" s="1"/>
  <c r="L21" i="15"/>
  <c r="N21" i="15" s="1"/>
  <c r="H21" i="15"/>
  <c r="D21" i="15"/>
  <c r="B21" i="15"/>
  <c r="T20" i="15"/>
  <c r="P20" i="15"/>
  <c r="N20" i="15"/>
  <c r="H20" i="15"/>
  <c r="L20" i="15" s="1"/>
  <c r="D20" i="15"/>
  <c r="B20" i="15"/>
  <c r="T19" i="15"/>
  <c r="Z19" i="15" s="1"/>
  <c r="P19" i="15"/>
  <c r="X19" i="15" s="1"/>
  <c r="H19" i="15"/>
  <c r="D19" i="15"/>
  <c r="L19" i="15" s="1"/>
  <c r="N19" i="15" s="1"/>
  <c r="B19" i="15"/>
  <c r="T18" i="15"/>
  <c r="P18" i="15"/>
  <c r="L18" i="15"/>
  <c r="H18" i="15"/>
  <c r="N18" i="15" s="1"/>
  <c r="D18" i="15"/>
  <c r="B18" i="15"/>
  <c r="X17" i="15"/>
  <c r="T17" i="15"/>
  <c r="P17" i="15"/>
  <c r="L17" i="15"/>
  <c r="N17" i="15" s="1"/>
  <c r="H17" i="15"/>
  <c r="D17" i="15"/>
  <c r="B17" i="15"/>
  <c r="T16" i="15"/>
  <c r="P16" i="15"/>
  <c r="H16" i="15"/>
  <c r="D16" i="15"/>
  <c r="B16" i="15"/>
  <c r="T15" i="15"/>
  <c r="Z15" i="15" s="1"/>
  <c r="P15" i="15"/>
  <c r="X15" i="15" s="1"/>
  <c r="H15" i="15"/>
  <c r="D15" i="15"/>
  <c r="B15" i="15"/>
  <c r="Z14" i="15"/>
  <c r="T14" i="15"/>
  <c r="X14" i="15" s="1"/>
  <c r="P14" i="15"/>
  <c r="L14" i="15"/>
  <c r="H14" i="15"/>
  <c r="N14" i="15" s="1"/>
  <c r="D14" i="15"/>
  <c r="B14" i="15"/>
  <c r="X13" i="15"/>
  <c r="T13" i="15"/>
  <c r="P13" i="15"/>
  <c r="N13" i="15"/>
  <c r="L13" i="15"/>
  <c r="H13" i="15"/>
  <c r="D13" i="15"/>
  <c r="B13" i="15"/>
  <c r="D4" i="15"/>
  <c r="Z272" i="12"/>
  <c r="X272" i="12"/>
  <c r="L272" i="12"/>
  <c r="N272" i="12" s="1"/>
  <c r="X268" i="12"/>
  <c r="T268" i="12"/>
  <c r="P268" i="12"/>
  <c r="H268" i="12"/>
  <c r="N268" i="12" s="1"/>
  <c r="D268" i="12"/>
  <c r="L268" i="12" s="1"/>
  <c r="B268" i="12"/>
  <c r="T267" i="12"/>
  <c r="X267" i="12" s="1"/>
  <c r="Z267" i="12" s="1"/>
  <c r="P267" i="12"/>
  <c r="N267" i="12"/>
  <c r="H267" i="12"/>
  <c r="D267" i="12"/>
  <c r="L267" i="12" s="1"/>
  <c r="B267" i="12"/>
  <c r="T266" i="12"/>
  <c r="P266" i="12"/>
  <c r="X266" i="12" s="1"/>
  <c r="L266" i="12"/>
  <c r="H266" i="12"/>
  <c r="N266" i="12" s="1"/>
  <c r="D266" i="12"/>
  <c r="B266" i="12"/>
  <c r="X265" i="12"/>
  <c r="Z265" i="12" s="1"/>
  <c r="T265" i="12"/>
  <c r="P265" i="12"/>
  <c r="N265" i="12"/>
  <c r="L265" i="12"/>
  <c r="H265" i="12"/>
  <c r="D265" i="12"/>
  <c r="B265" i="12"/>
  <c r="T264" i="12"/>
  <c r="P264" i="12"/>
  <c r="X264" i="12" s="1"/>
  <c r="Z264" i="12" s="1"/>
  <c r="L264" i="12"/>
  <c r="H264" i="12"/>
  <c r="D264" i="12"/>
  <c r="B264" i="12"/>
  <c r="T263" i="12"/>
  <c r="P263" i="12"/>
  <c r="X263" i="12" s="1"/>
  <c r="Z263" i="12" s="1"/>
  <c r="H263" i="12"/>
  <c r="D263" i="12"/>
  <c r="L263" i="12" s="1"/>
  <c r="N263" i="12" s="1"/>
  <c r="B263" i="12"/>
  <c r="T262" i="12"/>
  <c r="P262" i="12"/>
  <c r="L262" i="12"/>
  <c r="H262" i="12"/>
  <c r="D262" i="12"/>
  <c r="B262" i="12"/>
  <c r="T261" i="12"/>
  <c r="P261" i="12"/>
  <c r="X261" i="12" s="1"/>
  <c r="Z261" i="12" s="1"/>
  <c r="H261" i="12"/>
  <c r="N261" i="12" s="1"/>
  <c r="D261" i="12"/>
  <c r="B261" i="12"/>
  <c r="X260" i="12"/>
  <c r="T260" i="12"/>
  <c r="P260" i="12"/>
  <c r="H260" i="12"/>
  <c r="D260" i="12"/>
  <c r="L260" i="12" s="1"/>
  <c r="B260" i="12"/>
  <c r="Z257" i="12"/>
  <c r="X257" i="12"/>
  <c r="N257" i="12"/>
  <c r="L257" i="12"/>
  <c r="B257" i="12"/>
  <c r="T256" i="12"/>
  <c r="P256" i="12"/>
  <c r="X256" i="12" s="1"/>
  <c r="L256" i="12"/>
  <c r="N256" i="12" s="1"/>
  <c r="H256" i="12"/>
  <c r="D256" i="12"/>
  <c r="B256" i="12"/>
  <c r="Z255" i="12"/>
  <c r="X255" i="12"/>
  <c r="N255" i="12"/>
  <c r="L255" i="12"/>
  <c r="B255" i="12"/>
  <c r="Z254" i="12"/>
  <c r="X254" i="12"/>
  <c r="L254" i="12"/>
  <c r="N254" i="12" s="1"/>
  <c r="B254" i="12"/>
  <c r="Z253" i="12"/>
  <c r="X253" i="12"/>
  <c r="N253" i="12"/>
  <c r="L253" i="12"/>
  <c r="B253" i="12"/>
  <c r="X252" i="12"/>
  <c r="T252" i="12"/>
  <c r="P252" i="12"/>
  <c r="H252" i="12"/>
  <c r="D252" i="12"/>
  <c r="L252" i="12" s="1"/>
  <c r="N252" i="12" s="1"/>
  <c r="B252" i="12"/>
  <c r="Z251" i="12"/>
  <c r="X251" i="12"/>
  <c r="L251" i="12"/>
  <c r="N251" i="12" s="1"/>
  <c r="B251" i="12"/>
  <c r="T250" i="12"/>
  <c r="P250" i="12"/>
  <c r="X250" i="12" s="1"/>
  <c r="H250" i="12"/>
  <c r="N250" i="12" s="1"/>
  <c r="D250" i="12"/>
  <c r="L250" i="12" s="1"/>
  <c r="B250" i="12"/>
  <c r="Z249" i="12"/>
  <c r="X249" i="12"/>
  <c r="N249" i="12"/>
  <c r="L249" i="12"/>
  <c r="B249" i="12"/>
  <c r="X248" i="12"/>
  <c r="Z248" i="12" s="1"/>
  <c r="L248" i="12"/>
  <c r="N248" i="12" s="1"/>
  <c r="B248" i="12"/>
  <c r="X247" i="12"/>
  <c r="Z247" i="12" s="1"/>
  <c r="T247" i="12"/>
  <c r="P247" i="12"/>
  <c r="N247" i="12"/>
  <c r="L247" i="12"/>
  <c r="H247" i="12"/>
  <c r="D247" i="12"/>
  <c r="B247" i="12"/>
  <c r="Z246" i="12"/>
  <c r="X246" i="12"/>
  <c r="L246" i="12"/>
  <c r="N246" i="12" s="1"/>
  <c r="B246" i="12"/>
  <c r="Z245" i="12"/>
  <c r="X245" i="12"/>
  <c r="N245" i="12"/>
  <c r="L245" i="12"/>
  <c r="B245" i="12"/>
  <c r="X244" i="12"/>
  <c r="Z244" i="12" s="1"/>
  <c r="L244" i="12"/>
  <c r="N244" i="12" s="1"/>
  <c r="B244" i="12"/>
  <c r="Z243" i="12"/>
  <c r="X243" i="12"/>
  <c r="N243" i="12"/>
  <c r="L243" i="12"/>
  <c r="B243" i="12"/>
  <c r="Z242" i="12"/>
  <c r="X242" i="12"/>
  <c r="L242" i="12"/>
  <c r="N242" i="12" s="1"/>
  <c r="B242" i="12"/>
  <c r="Z241" i="12"/>
  <c r="X241" i="12"/>
  <c r="N241" i="12"/>
  <c r="L241" i="12"/>
  <c r="B241" i="12"/>
  <c r="Z240" i="12"/>
  <c r="X240" i="12"/>
  <c r="N240" i="12"/>
  <c r="L240" i="12"/>
  <c r="B240" i="12"/>
  <c r="Z239" i="12"/>
  <c r="X239" i="12"/>
  <c r="N239" i="12"/>
  <c r="L239" i="12"/>
  <c r="B239" i="12"/>
  <c r="Z238" i="12"/>
  <c r="T238" i="12"/>
  <c r="P238" i="12"/>
  <c r="X238" i="12" s="1"/>
  <c r="H238" i="12"/>
  <c r="D238" i="12"/>
  <c r="B238" i="12"/>
  <c r="Z237" i="12"/>
  <c r="X237" i="12"/>
  <c r="N237" i="12"/>
  <c r="L237" i="12"/>
  <c r="B237" i="12"/>
  <c r="X236" i="12"/>
  <c r="Z236" i="12" s="1"/>
  <c r="L236" i="12"/>
  <c r="N236" i="12" s="1"/>
  <c r="B236" i="12"/>
  <c r="T235" i="12"/>
  <c r="P235" i="12"/>
  <c r="X235" i="12" s="1"/>
  <c r="Z235" i="12" s="1"/>
  <c r="H235" i="12"/>
  <c r="D235" i="12"/>
  <c r="L235" i="12" s="1"/>
  <c r="N235" i="12" s="1"/>
  <c r="B235" i="12"/>
  <c r="X234" i="12"/>
  <c r="Z234" i="12" s="1"/>
  <c r="N234" i="12"/>
  <c r="L234" i="12"/>
  <c r="B234" i="12"/>
  <c r="Z233" i="12"/>
  <c r="X233" i="12"/>
  <c r="N233" i="12"/>
  <c r="L233" i="12"/>
  <c r="B233" i="12"/>
  <c r="X232" i="12"/>
  <c r="Z232" i="12" s="1"/>
  <c r="L232" i="12"/>
  <c r="N232" i="12" s="1"/>
  <c r="B232" i="12"/>
  <c r="X231" i="12"/>
  <c r="Z231" i="12" s="1"/>
  <c r="N231" i="12"/>
  <c r="L231" i="12"/>
  <c r="B231" i="12"/>
  <c r="X230" i="12"/>
  <c r="Z230" i="12" s="1"/>
  <c r="N230" i="12"/>
  <c r="L230" i="12"/>
  <c r="B230" i="12"/>
  <c r="Z229" i="12"/>
  <c r="X229" i="12"/>
  <c r="T229" i="12"/>
  <c r="P229" i="12"/>
  <c r="L229" i="12"/>
  <c r="N229" i="12" s="1"/>
  <c r="H229" i="12"/>
  <c r="D229" i="12"/>
  <c r="B229" i="12"/>
  <c r="X228" i="12"/>
  <c r="Z228" i="12" s="1"/>
  <c r="L228" i="12"/>
  <c r="N228" i="12" s="1"/>
  <c r="B228" i="12"/>
  <c r="Z227" i="12"/>
  <c r="X227" i="12"/>
  <c r="N227" i="12"/>
  <c r="L227" i="12"/>
  <c r="B227" i="12"/>
  <c r="Z226" i="12"/>
  <c r="X226" i="12"/>
  <c r="N226" i="12"/>
  <c r="L226" i="12"/>
  <c r="B226" i="12"/>
  <c r="Z225" i="12"/>
  <c r="T225" i="12"/>
  <c r="P225" i="12"/>
  <c r="X225" i="12" s="1"/>
  <c r="H225" i="12"/>
  <c r="N225" i="12" s="1"/>
  <c r="D225" i="12"/>
  <c r="L225" i="12" s="1"/>
  <c r="B225" i="12"/>
  <c r="X224" i="12"/>
  <c r="Z224" i="12" s="1"/>
  <c r="L224" i="12"/>
  <c r="N224" i="12" s="1"/>
  <c r="B224" i="12"/>
  <c r="Z223" i="12"/>
  <c r="X223" i="12"/>
  <c r="L223" i="12"/>
  <c r="N223" i="12" s="1"/>
  <c r="B223" i="12"/>
  <c r="X222" i="12"/>
  <c r="Z222" i="12" s="1"/>
  <c r="L222" i="12"/>
  <c r="N222" i="12" s="1"/>
  <c r="B222" i="12"/>
  <c r="X221" i="12"/>
  <c r="Z221" i="12" s="1"/>
  <c r="N221" i="12"/>
  <c r="L221" i="12"/>
  <c r="B221" i="12"/>
  <c r="T220" i="12"/>
  <c r="Z220" i="12" s="1"/>
  <c r="P220" i="12"/>
  <c r="X220" i="12" s="1"/>
  <c r="H220" i="12"/>
  <c r="D220" i="12"/>
  <c r="B220" i="12"/>
  <c r="X219" i="12"/>
  <c r="Z219" i="12" s="1"/>
  <c r="N219" i="12"/>
  <c r="L219" i="12"/>
  <c r="B219" i="12"/>
  <c r="X218" i="12"/>
  <c r="T218" i="12"/>
  <c r="Z218" i="12" s="1"/>
  <c r="P218" i="12"/>
  <c r="H218" i="12"/>
  <c r="D218" i="12"/>
  <c r="B218" i="12"/>
  <c r="Z217" i="12"/>
  <c r="X217" i="12"/>
  <c r="N217" i="12"/>
  <c r="L217" i="12"/>
  <c r="B217" i="12"/>
  <c r="X216" i="12"/>
  <c r="T216" i="12"/>
  <c r="P216" i="12"/>
  <c r="N216" i="12"/>
  <c r="H216" i="12"/>
  <c r="D216" i="12"/>
  <c r="L216" i="12" s="1"/>
  <c r="B216" i="12"/>
  <c r="Z215" i="12"/>
  <c r="X215" i="12"/>
  <c r="L215" i="12"/>
  <c r="N215" i="12" s="1"/>
  <c r="B215" i="12"/>
  <c r="X214" i="12"/>
  <c r="T214" i="12"/>
  <c r="P214" i="12"/>
  <c r="H214" i="12"/>
  <c r="D214" i="12"/>
  <c r="L214" i="12" s="1"/>
  <c r="B214" i="12"/>
  <c r="Z213" i="12"/>
  <c r="X213" i="12"/>
  <c r="N213" i="12"/>
  <c r="L213" i="12"/>
  <c r="B213" i="12"/>
  <c r="T212" i="12"/>
  <c r="P212" i="12"/>
  <c r="X212" i="12" s="1"/>
  <c r="L212" i="12"/>
  <c r="H212" i="12"/>
  <c r="N212" i="12" s="1"/>
  <c r="D212" i="12"/>
  <c r="B212" i="12"/>
  <c r="Z211" i="12"/>
  <c r="X211" i="12"/>
  <c r="N211" i="12"/>
  <c r="L211" i="12"/>
  <c r="B211" i="12"/>
  <c r="T210" i="12"/>
  <c r="P210" i="12"/>
  <c r="X210" i="12" s="1"/>
  <c r="Z210" i="12" s="1"/>
  <c r="H210" i="12"/>
  <c r="D210" i="12"/>
  <c r="B210" i="12"/>
  <c r="Z209" i="12"/>
  <c r="X209" i="12"/>
  <c r="N209" i="12"/>
  <c r="L209" i="12"/>
  <c r="B209" i="12"/>
  <c r="T208" i="12"/>
  <c r="Z208" i="12" s="1"/>
  <c r="P208" i="12"/>
  <c r="X208" i="12" s="1"/>
  <c r="H208" i="12"/>
  <c r="D208" i="12"/>
  <c r="L208" i="12" s="1"/>
  <c r="B208" i="12"/>
  <c r="X207" i="12"/>
  <c r="Z207" i="12" s="1"/>
  <c r="N207" i="12"/>
  <c r="L207" i="12"/>
  <c r="B207" i="12"/>
  <c r="X206" i="12"/>
  <c r="Z206" i="12" s="1"/>
  <c r="N206" i="12"/>
  <c r="L206" i="12"/>
  <c r="B206" i="12"/>
  <c r="Z205" i="12"/>
  <c r="X205" i="12"/>
  <c r="T205" i="12"/>
  <c r="P205" i="12"/>
  <c r="L205" i="12"/>
  <c r="N205" i="12" s="1"/>
  <c r="H205" i="12"/>
  <c r="D205" i="12"/>
  <c r="B205" i="12"/>
  <c r="X204" i="12"/>
  <c r="Z204" i="12" s="1"/>
  <c r="L204" i="12"/>
  <c r="N204" i="12" s="1"/>
  <c r="B204" i="12"/>
  <c r="T203" i="12"/>
  <c r="X203" i="12" s="1"/>
  <c r="Z203" i="12" s="1"/>
  <c r="P203" i="12"/>
  <c r="H203" i="12"/>
  <c r="N203" i="12" s="1"/>
  <c r="D203" i="12"/>
  <c r="L203" i="12" s="1"/>
  <c r="B203" i="12"/>
  <c r="X202" i="12"/>
  <c r="Z202" i="12" s="1"/>
  <c r="L202" i="12"/>
  <c r="N202" i="12" s="1"/>
  <c r="B202" i="12"/>
  <c r="T201" i="12"/>
  <c r="Z201" i="12" s="1"/>
  <c r="P201" i="12"/>
  <c r="X201" i="12" s="1"/>
  <c r="H201" i="12"/>
  <c r="D201" i="12"/>
  <c r="L201" i="12" s="1"/>
  <c r="N201" i="12" s="1"/>
  <c r="B201" i="12"/>
  <c r="X200" i="12"/>
  <c r="Z200" i="12" s="1"/>
  <c r="N200" i="12"/>
  <c r="L200" i="12"/>
  <c r="B200" i="12"/>
  <c r="X199" i="12"/>
  <c r="T199" i="12"/>
  <c r="Z199" i="12" s="1"/>
  <c r="P199" i="12"/>
  <c r="N199" i="12"/>
  <c r="L199" i="12"/>
  <c r="H199" i="12"/>
  <c r="D199" i="12"/>
  <c r="B199" i="12"/>
  <c r="Z198" i="12"/>
  <c r="X198" i="12"/>
  <c r="L198" i="12"/>
  <c r="N198" i="12" s="1"/>
  <c r="B198" i="12"/>
  <c r="Z197" i="12"/>
  <c r="X197" i="12"/>
  <c r="N197" i="12"/>
  <c r="L197" i="12"/>
  <c r="B197" i="12"/>
  <c r="T196" i="12"/>
  <c r="X196" i="12" s="1"/>
  <c r="P196" i="12"/>
  <c r="N196" i="12"/>
  <c r="H196" i="12"/>
  <c r="D196" i="12"/>
  <c r="L196" i="12" s="1"/>
  <c r="B196" i="12"/>
  <c r="Z195" i="12"/>
  <c r="X195" i="12"/>
  <c r="L195" i="12"/>
  <c r="N195" i="12" s="1"/>
  <c r="B195" i="12"/>
  <c r="X194" i="12"/>
  <c r="Z194" i="12" s="1"/>
  <c r="L194" i="12"/>
  <c r="N194" i="12" s="1"/>
  <c r="B194" i="12"/>
  <c r="T193" i="12"/>
  <c r="P193" i="12"/>
  <c r="X193" i="12" s="1"/>
  <c r="N193" i="12"/>
  <c r="H193" i="12"/>
  <c r="D193" i="12"/>
  <c r="L193" i="12" s="1"/>
  <c r="B193" i="12"/>
  <c r="X192" i="12"/>
  <c r="Z192" i="12" s="1"/>
  <c r="L192" i="12"/>
  <c r="N192" i="12" s="1"/>
  <c r="B192" i="12"/>
  <c r="X191" i="12"/>
  <c r="Z191" i="12" s="1"/>
  <c r="T191" i="12"/>
  <c r="P191" i="12"/>
  <c r="N191" i="12"/>
  <c r="H191" i="12"/>
  <c r="L191" i="12" s="1"/>
  <c r="D191" i="12"/>
  <c r="B191" i="12"/>
  <c r="Z190" i="12"/>
  <c r="X190" i="12"/>
  <c r="N190" i="12"/>
  <c r="L190" i="12"/>
  <c r="B190" i="12"/>
  <c r="Z189" i="12"/>
  <c r="X189" i="12"/>
  <c r="N189" i="12"/>
  <c r="L189" i="12"/>
  <c r="B189" i="12"/>
  <c r="X188" i="12"/>
  <c r="T188" i="12"/>
  <c r="P188" i="12"/>
  <c r="H188" i="12"/>
  <c r="D188" i="12"/>
  <c r="L188" i="12" s="1"/>
  <c r="N188" i="12" s="1"/>
  <c r="B188" i="12"/>
  <c r="Z187" i="12"/>
  <c r="X187" i="12"/>
  <c r="L187" i="12"/>
  <c r="N187" i="12" s="1"/>
  <c r="B187" i="12"/>
  <c r="X186" i="12"/>
  <c r="T186" i="12"/>
  <c r="P186" i="12"/>
  <c r="H186" i="12"/>
  <c r="D186" i="12"/>
  <c r="L186" i="12" s="1"/>
  <c r="B186" i="12"/>
  <c r="Z185" i="12"/>
  <c r="X185" i="12"/>
  <c r="N185" i="12"/>
  <c r="L185" i="12"/>
  <c r="B185" i="12"/>
  <c r="X184" i="12"/>
  <c r="Z184" i="12" s="1"/>
  <c r="L184" i="12"/>
  <c r="N184" i="12" s="1"/>
  <c r="B184" i="12"/>
  <c r="X183" i="12"/>
  <c r="Z183" i="12" s="1"/>
  <c r="N183" i="12"/>
  <c r="L183" i="12"/>
  <c r="B183" i="12"/>
  <c r="X182" i="12"/>
  <c r="Z182" i="12" s="1"/>
  <c r="N182" i="12"/>
  <c r="L182" i="12"/>
  <c r="B182" i="12"/>
  <c r="Z181" i="12"/>
  <c r="X181" i="12"/>
  <c r="N181" i="12"/>
  <c r="L181" i="12"/>
  <c r="B181" i="12"/>
  <c r="X180" i="12"/>
  <c r="Z180" i="12" s="1"/>
  <c r="L180" i="12"/>
  <c r="N180" i="12" s="1"/>
  <c r="B180" i="12"/>
  <c r="X179" i="12"/>
  <c r="Z179" i="12" s="1"/>
  <c r="N179" i="12"/>
  <c r="L179" i="12"/>
  <c r="B179" i="12"/>
  <c r="X178" i="12"/>
  <c r="Z178" i="12" s="1"/>
  <c r="T178" i="12"/>
  <c r="P178" i="12"/>
  <c r="H178" i="12"/>
  <c r="D178" i="12"/>
  <c r="B178" i="12"/>
  <c r="Z177" i="12"/>
  <c r="X177" i="12"/>
  <c r="N177" i="12"/>
  <c r="L177" i="12"/>
  <c r="B177" i="12"/>
  <c r="X176" i="12"/>
  <c r="Z176" i="12" s="1"/>
  <c r="N176" i="12"/>
  <c r="L176" i="12"/>
  <c r="B176" i="12"/>
  <c r="Z175" i="12"/>
  <c r="X175" i="12"/>
  <c r="N175" i="12"/>
  <c r="L175" i="12"/>
  <c r="B175" i="12"/>
  <c r="Z174" i="12"/>
  <c r="X174" i="12"/>
  <c r="L174" i="12"/>
  <c r="N174" i="12" s="1"/>
  <c r="B174" i="12"/>
  <c r="Z173" i="12"/>
  <c r="X173" i="12"/>
  <c r="N173" i="12"/>
  <c r="L173" i="12"/>
  <c r="B173" i="12"/>
  <c r="X172" i="12"/>
  <c r="Z172" i="12" s="1"/>
  <c r="L172" i="12"/>
  <c r="N172" i="12" s="1"/>
  <c r="B172" i="12"/>
  <c r="Z171" i="12"/>
  <c r="X171" i="12"/>
  <c r="N171" i="12"/>
  <c r="L171" i="12"/>
  <c r="B171" i="12"/>
  <c r="Z170" i="12"/>
  <c r="X170" i="12"/>
  <c r="L170" i="12"/>
  <c r="N170" i="12" s="1"/>
  <c r="B170" i="12"/>
  <c r="Z169" i="12"/>
  <c r="X169" i="12"/>
  <c r="N169" i="12"/>
  <c r="L169" i="12"/>
  <c r="B169" i="12"/>
  <c r="X168" i="12"/>
  <c r="Z168" i="12" s="1"/>
  <c r="L168" i="12"/>
  <c r="N168" i="12" s="1"/>
  <c r="B168" i="12"/>
  <c r="T167" i="12"/>
  <c r="P167" i="12"/>
  <c r="X167" i="12" s="1"/>
  <c r="Z167" i="12" s="1"/>
  <c r="H167" i="12"/>
  <c r="D167" i="12"/>
  <c r="B167" i="12"/>
  <c r="T166" i="12"/>
  <c r="P166" i="12"/>
  <c r="X166" i="12" s="1"/>
  <c r="H166" i="12"/>
  <c r="D166" i="12"/>
  <c r="L166" i="12" s="1"/>
  <c r="X162" i="12"/>
  <c r="Z162" i="12" s="1"/>
  <c r="N162" i="12"/>
  <c r="L162" i="12"/>
  <c r="B162" i="12"/>
  <c r="Z161" i="12"/>
  <c r="X161" i="12"/>
  <c r="N161" i="12"/>
  <c r="L161" i="12"/>
  <c r="B161" i="12"/>
  <c r="X160" i="12"/>
  <c r="Z160" i="12" s="1"/>
  <c r="N160" i="12"/>
  <c r="L160" i="12"/>
  <c r="B160" i="12"/>
  <c r="Z159" i="12"/>
  <c r="X159" i="12"/>
  <c r="N159" i="12"/>
  <c r="L159" i="12"/>
  <c r="B159" i="12"/>
  <c r="X158" i="12"/>
  <c r="Z158" i="12" s="1"/>
  <c r="N158" i="12"/>
  <c r="L158" i="12"/>
  <c r="B158" i="12"/>
  <c r="Z157" i="12"/>
  <c r="X157" i="12"/>
  <c r="N157" i="12"/>
  <c r="L157" i="12"/>
  <c r="B157" i="12"/>
  <c r="X156" i="12"/>
  <c r="Z156" i="12" s="1"/>
  <c r="L156" i="12"/>
  <c r="N156" i="12" s="1"/>
  <c r="B156" i="12"/>
  <c r="Z155" i="12"/>
  <c r="X155" i="12"/>
  <c r="L155" i="12"/>
  <c r="N155" i="12" s="1"/>
  <c r="B155" i="12"/>
  <c r="X154" i="12"/>
  <c r="Z154" i="12" s="1"/>
  <c r="L154" i="12"/>
  <c r="N154" i="12" s="1"/>
  <c r="B154" i="12"/>
  <c r="Z153" i="12"/>
  <c r="X153" i="12"/>
  <c r="N153" i="12"/>
  <c r="L153" i="12"/>
  <c r="B153" i="12"/>
  <c r="X152" i="12"/>
  <c r="Z152" i="12" s="1"/>
  <c r="N152" i="12"/>
  <c r="L152" i="12"/>
  <c r="B152" i="12"/>
  <c r="Z151" i="12"/>
  <c r="X151" i="12"/>
  <c r="N151" i="12"/>
  <c r="L151" i="12"/>
  <c r="B151" i="12"/>
  <c r="X150" i="12"/>
  <c r="Z150" i="12" s="1"/>
  <c r="N150" i="12"/>
  <c r="L150" i="12"/>
  <c r="B150" i="12"/>
  <c r="Z149" i="12"/>
  <c r="X149" i="12"/>
  <c r="N149" i="12"/>
  <c r="L149" i="12"/>
  <c r="B149" i="12"/>
  <c r="X148" i="12"/>
  <c r="Z148" i="12" s="1"/>
  <c r="L148" i="12"/>
  <c r="N148" i="12" s="1"/>
  <c r="B148" i="12"/>
  <c r="Z147" i="12"/>
  <c r="X147" i="12"/>
  <c r="L147" i="12"/>
  <c r="N147" i="12" s="1"/>
  <c r="B147" i="12"/>
  <c r="X146" i="12"/>
  <c r="Z146" i="12" s="1"/>
  <c r="L146" i="12"/>
  <c r="N146" i="12" s="1"/>
  <c r="B146" i="12"/>
  <c r="Z145" i="12"/>
  <c r="X145" i="12"/>
  <c r="N145" i="12"/>
  <c r="L145" i="12"/>
  <c r="B145" i="12"/>
  <c r="X144" i="12"/>
  <c r="Z144" i="12" s="1"/>
  <c r="L144" i="12"/>
  <c r="N144" i="12" s="1"/>
  <c r="B144" i="12"/>
  <c r="Z143" i="12"/>
  <c r="X143" i="12"/>
  <c r="N143" i="12"/>
  <c r="L143" i="12"/>
  <c r="B143" i="12"/>
  <c r="X142" i="12"/>
  <c r="Z142" i="12" s="1"/>
  <c r="L142" i="12"/>
  <c r="N142" i="12" s="1"/>
  <c r="B142" i="12"/>
  <c r="Z141" i="12"/>
  <c r="X141" i="12"/>
  <c r="N141" i="12"/>
  <c r="L141" i="12"/>
  <c r="B141" i="12"/>
  <c r="X140" i="12"/>
  <c r="Z140" i="12" s="1"/>
  <c r="L140" i="12"/>
  <c r="N140" i="12" s="1"/>
  <c r="B140" i="12"/>
  <c r="Z139" i="12"/>
  <c r="X139" i="12"/>
  <c r="N139" i="12"/>
  <c r="L139" i="12"/>
  <c r="B139" i="12"/>
  <c r="X138" i="12"/>
  <c r="Z138" i="12" s="1"/>
  <c r="L138" i="12"/>
  <c r="N138" i="12" s="1"/>
  <c r="B138" i="12"/>
  <c r="Z137" i="12"/>
  <c r="X137" i="12"/>
  <c r="L137" i="12"/>
  <c r="N137" i="12" s="1"/>
  <c r="B137" i="12"/>
  <c r="Z136" i="12"/>
  <c r="X136" i="12"/>
  <c r="L136" i="12"/>
  <c r="N136" i="12" s="1"/>
  <c r="B136" i="12"/>
  <c r="X135" i="12"/>
  <c r="Z135" i="12" s="1"/>
  <c r="L135" i="12"/>
  <c r="N135" i="12" s="1"/>
  <c r="B135" i="12"/>
  <c r="X134" i="12"/>
  <c r="Z134" i="12" s="1"/>
  <c r="N134" i="12"/>
  <c r="L134" i="12"/>
  <c r="B134" i="12"/>
  <c r="Z133" i="12"/>
  <c r="X133" i="12"/>
  <c r="N133" i="12"/>
  <c r="L133" i="12"/>
  <c r="B133" i="12"/>
  <c r="X132" i="12"/>
  <c r="Z132" i="12" s="1"/>
  <c r="L132" i="12"/>
  <c r="N132" i="12" s="1"/>
  <c r="B132" i="12"/>
  <c r="Z131" i="12"/>
  <c r="X131" i="12"/>
  <c r="L131" i="12"/>
  <c r="N131" i="12" s="1"/>
  <c r="B131" i="12"/>
  <c r="X130" i="12"/>
  <c r="Z130" i="12" s="1"/>
  <c r="N130" i="12"/>
  <c r="L130" i="12"/>
  <c r="B130" i="12"/>
  <c r="X129" i="12"/>
  <c r="Z129" i="12" s="1"/>
  <c r="N129" i="12"/>
  <c r="L129" i="12"/>
  <c r="B129" i="12"/>
  <c r="X128" i="12"/>
  <c r="Z128" i="12" s="1"/>
  <c r="N128" i="12"/>
  <c r="L128" i="12"/>
  <c r="B128" i="12"/>
  <c r="Z127" i="12"/>
  <c r="X127" i="12"/>
  <c r="N127" i="12"/>
  <c r="L127" i="12"/>
  <c r="B127" i="12"/>
  <c r="X126" i="12"/>
  <c r="Z126" i="12" s="1"/>
  <c r="L126" i="12"/>
  <c r="N126" i="12" s="1"/>
  <c r="B126" i="12"/>
  <c r="Z125" i="12"/>
  <c r="X125" i="12"/>
  <c r="N125" i="12"/>
  <c r="L125" i="12"/>
  <c r="B125" i="12"/>
  <c r="X124" i="12"/>
  <c r="Z124" i="12" s="1"/>
  <c r="N124" i="12"/>
  <c r="L124" i="12"/>
  <c r="B124" i="12"/>
  <c r="Z123" i="12"/>
  <c r="X123" i="12"/>
  <c r="N123" i="12"/>
  <c r="L123" i="12"/>
  <c r="B123" i="12"/>
  <c r="X122" i="12"/>
  <c r="Z122" i="12" s="1"/>
  <c r="L122" i="12"/>
  <c r="N122" i="12" s="1"/>
  <c r="B122" i="12"/>
  <c r="Z121" i="12"/>
  <c r="X121" i="12"/>
  <c r="N121" i="12"/>
  <c r="L121" i="12"/>
  <c r="B121" i="12"/>
  <c r="X120" i="12"/>
  <c r="Z120" i="12" s="1"/>
  <c r="N120" i="12"/>
  <c r="L120" i="12"/>
  <c r="B120" i="12"/>
  <c r="Z119" i="12"/>
  <c r="X119" i="12"/>
  <c r="N119" i="12"/>
  <c r="L119" i="12"/>
  <c r="B119" i="12"/>
  <c r="Z118" i="12"/>
  <c r="X118" i="12"/>
  <c r="N118" i="12"/>
  <c r="L118" i="12"/>
  <c r="B118" i="12"/>
  <c r="Z117" i="12"/>
  <c r="X117" i="12"/>
  <c r="N117" i="12"/>
  <c r="L117" i="12"/>
  <c r="B117" i="12"/>
  <c r="X116" i="12"/>
  <c r="Z116" i="12" s="1"/>
  <c r="N116" i="12"/>
  <c r="L116" i="12"/>
  <c r="B116" i="12"/>
  <c r="Z115" i="12"/>
  <c r="X115" i="12"/>
  <c r="N115" i="12"/>
  <c r="L115" i="12"/>
  <c r="B115" i="12"/>
  <c r="X114" i="12"/>
  <c r="Z114" i="12" s="1"/>
  <c r="L114" i="12"/>
  <c r="N114" i="12" s="1"/>
  <c r="B114" i="12"/>
  <c r="Z113" i="12"/>
  <c r="X113" i="12"/>
  <c r="N113" i="12"/>
  <c r="L113" i="12"/>
  <c r="B113" i="12"/>
  <c r="X112" i="12"/>
  <c r="Z112" i="12" s="1"/>
  <c r="N112" i="12"/>
  <c r="L112" i="12"/>
  <c r="B112" i="12"/>
  <c r="Z111" i="12"/>
  <c r="X111" i="12"/>
  <c r="N111" i="12"/>
  <c r="L111" i="12"/>
  <c r="B111" i="12"/>
  <c r="X110" i="12"/>
  <c r="T110" i="12"/>
  <c r="P110" i="12"/>
  <c r="L110" i="12"/>
  <c r="H110" i="12"/>
  <c r="N110" i="12" s="1"/>
  <c r="D110" i="12"/>
  <c r="X108" i="12"/>
  <c r="Z108" i="12" s="1"/>
  <c r="T108" i="12"/>
  <c r="P108" i="12"/>
  <c r="N108" i="12"/>
  <c r="L108" i="12"/>
  <c r="H108" i="12"/>
  <c r="D108" i="12"/>
  <c r="B108" i="12"/>
  <c r="T107" i="12"/>
  <c r="P107" i="12"/>
  <c r="X107" i="12" s="1"/>
  <c r="Z107" i="12" s="1"/>
  <c r="H107" i="12"/>
  <c r="L107" i="12" s="1"/>
  <c r="D107" i="12"/>
  <c r="B107" i="12"/>
  <c r="X106" i="12"/>
  <c r="T106" i="12"/>
  <c r="Z106" i="12" s="1"/>
  <c r="P106" i="12"/>
  <c r="H106" i="12"/>
  <c r="D106" i="12"/>
  <c r="L106" i="12" s="1"/>
  <c r="B106" i="12"/>
  <c r="Z105" i="12"/>
  <c r="T105" i="12"/>
  <c r="P105" i="12"/>
  <c r="X105" i="12" s="1"/>
  <c r="N105" i="12"/>
  <c r="L105" i="12"/>
  <c r="H105" i="12"/>
  <c r="D105" i="12"/>
  <c r="B105" i="12"/>
  <c r="T104" i="12"/>
  <c r="P104" i="12"/>
  <c r="X104" i="12" s="1"/>
  <c r="Z104" i="12" s="1"/>
  <c r="N104" i="12"/>
  <c r="L104" i="12"/>
  <c r="H104" i="12"/>
  <c r="D104" i="12"/>
  <c r="B104" i="12"/>
  <c r="T103" i="12"/>
  <c r="P103" i="12"/>
  <c r="X103" i="12" s="1"/>
  <c r="H103" i="12"/>
  <c r="L103" i="12" s="1"/>
  <c r="D103" i="12"/>
  <c r="B103" i="12"/>
  <c r="X102" i="12"/>
  <c r="T102" i="12"/>
  <c r="Z102" i="12" s="1"/>
  <c r="P102" i="12"/>
  <c r="H102" i="12"/>
  <c r="D102" i="12"/>
  <c r="L102" i="12" s="1"/>
  <c r="B102" i="12"/>
  <c r="T101" i="12"/>
  <c r="X101" i="12" s="1"/>
  <c r="P101" i="12"/>
  <c r="N101" i="12"/>
  <c r="L101" i="12"/>
  <c r="H101" i="12"/>
  <c r="D101" i="12"/>
  <c r="B101" i="12"/>
  <c r="X100" i="12"/>
  <c r="Z100" i="12" s="1"/>
  <c r="T100" i="12"/>
  <c r="P100" i="12"/>
  <c r="L100" i="12"/>
  <c r="N100" i="12" s="1"/>
  <c r="H100" i="12"/>
  <c r="D100" i="12"/>
  <c r="B100" i="12"/>
  <c r="T99" i="12"/>
  <c r="Z99" i="12" s="1"/>
  <c r="P99" i="12"/>
  <c r="X99" i="12" s="1"/>
  <c r="H99" i="12"/>
  <c r="L99" i="12" s="1"/>
  <c r="D99" i="12"/>
  <c r="B99" i="12"/>
  <c r="T98" i="12"/>
  <c r="X98" i="12" s="1"/>
  <c r="P98" i="12"/>
  <c r="H98" i="12"/>
  <c r="N98" i="12" s="1"/>
  <c r="D98" i="12"/>
  <c r="L98" i="12" s="1"/>
  <c r="B98" i="12"/>
  <c r="T97" i="12"/>
  <c r="X97" i="12" s="1"/>
  <c r="P97" i="12"/>
  <c r="N97" i="12"/>
  <c r="L97" i="12"/>
  <c r="H97" i="12"/>
  <c r="D97" i="12"/>
  <c r="B97" i="12"/>
  <c r="X96" i="12"/>
  <c r="Z96" i="12" s="1"/>
  <c r="T96" i="12"/>
  <c r="P96" i="12"/>
  <c r="N96" i="12"/>
  <c r="L96" i="12"/>
  <c r="H96" i="12"/>
  <c r="D96" i="12"/>
  <c r="B96" i="12"/>
  <c r="T95" i="12"/>
  <c r="Z95" i="12" s="1"/>
  <c r="P95" i="12"/>
  <c r="X95" i="12" s="1"/>
  <c r="N95" i="12"/>
  <c r="H95" i="12"/>
  <c r="L95" i="12" s="1"/>
  <c r="D95" i="12"/>
  <c r="B95" i="12"/>
  <c r="T94" i="12"/>
  <c r="X94" i="12" s="1"/>
  <c r="P94" i="12"/>
  <c r="H94" i="12"/>
  <c r="D94" i="12"/>
  <c r="L94" i="12" s="1"/>
  <c r="B94" i="12"/>
  <c r="T93" i="12"/>
  <c r="X93" i="12" s="1"/>
  <c r="P93" i="12"/>
  <c r="L93" i="12"/>
  <c r="N93" i="12" s="1"/>
  <c r="H93" i="12"/>
  <c r="D93" i="12"/>
  <c r="B93" i="12"/>
  <c r="X92" i="12"/>
  <c r="Z92" i="12" s="1"/>
  <c r="T92" i="12"/>
  <c r="P92" i="12"/>
  <c r="L92" i="12"/>
  <c r="N92" i="12" s="1"/>
  <c r="H92" i="12"/>
  <c r="D92" i="12"/>
  <c r="B92" i="12"/>
  <c r="T91" i="12"/>
  <c r="P91" i="12"/>
  <c r="X91" i="12" s="1"/>
  <c r="H91" i="12"/>
  <c r="L91" i="12" s="1"/>
  <c r="D91" i="12"/>
  <c r="B91" i="12"/>
  <c r="T90" i="12"/>
  <c r="X90" i="12" s="1"/>
  <c r="P90" i="12"/>
  <c r="H90" i="12"/>
  <c r="N90" i="12" s="1"/>
  <c r="D90" i="12"/>
  <c r="L90" i="12" s="1"/>
  <c r="B90" i="12"/>
  <c r="Z89" i="12"/>
  <c r="T89" i="12"/>
  <c r="X89" i="12" s="1"/>
  <c r="P89" i="12"/>
  <c r="N89" i="12"/>
  <c r="L89" i="12"/>
  <c r="H89" i="12"/>
  <c r="D89" i="12"/>
  <c r="B89" i="12"/>
  <c r="T88" i="12"/>
  <c r="P88" i="12"/>
  <c r="X88" i="12" s="1"/>
  <c r="Z88" i="12" s="1"/>
  <c r="L88" i="12"/>
  <c r="N88" i="12" s="1"/>
  <c r="H88" i="12"/>
  <c r="D88" i="12"/>
  <c r="B88" i="12"/>
  <c r="T87" i="12"/>
  <c r="P87" i="12"/>
  <c r="X87" i="12" s="1"/>
  <c r="N87" i="12"/>
  <c r="H87" i="12"/>
  <c r="L87" i="12" s="1"/>
  <c r="D87" i="12"/>
  <c r="B87" i="12"/>
  <c r="T86" i="12"/>
  <c r="X86" i="12" s="1"/>
  <c r="P86" i="12"/>
  <c r="H86" i="12"/>
  <c r="D86" i="12"/>
  <c r="L86" i="12" s="1"/>
  <c r="B86" i="12"/>
  <c r="Z85" i="12"/>
  <c r="T85" i="12"/>
  <c r="X85" i="12" s="1"/>
  <c r="P85" i="12"/>
  <c r="L85" i="12"/>
  <c r="N85" i="12" s="1"/>
  <c r="H85" i="12"/>
  <c r="D85" i="12"/>
  <c r="B85" i="12"/>
  <c r="T84" i="12"/>
  <c r="P84" i="12"/>
  <c r="X84" i="12" s="1"/>
  <c r="Z84" i="12" s="1"/>
  <c r="L84" i="12"/>
  <c r="N84" i="12" s="1"/>
  <c r="H84" i="12"/>
  <c r="D84" i="12"/>
  <c r="B84" i="12"/>
  <c r="T83" i="12"/>
  <c r="P83" i="12"/>
  <c r="X83" i="12" s="1"/>
  <c r="N83" i="12"/>
  <c r="H83" i="12"/>
  <c r="L83" i="12" s="1"/>
  <c r="D83" i="12"/>
  <c r="B83" i="12"/>
  <c r="T82" i="12"/>
  <c r="X82" i="12" s="1"/>
  <c r="P82" i="12"/>
  <c r="H82" i="12"/>
  <c r="N82" i="12" s="1"/>
  <c r="D82" i="12"/>
  <c r="L82" i="12" s="1"/>
  <c r="B82" i="12"/>
  <c r="T81" i="12"/>
  <c r="X81" i="12" s="1"/>
  <c r="P81" i="12"/>
  <c r="L81" i="12"/>
  <c r="N81" i="12" s="1"/>
  <c r="H81" i="12"/>
  <c r="D81" i="12"/>
  <c r="B81" i="12"/>
  <c r="T80" i="12"/>
  <c r="P80" i="12"/>
  <c r="X80" i="12" s="1"/>
  <c r="Z80" i="12" s="1"/>
  <c r="L80" i="12"/>
  <c r="N80" i="12" s="1"/>
  <c r="H80" i="12"/>
  <c r="D80" i="12"/>
  <c r="B80" i="12"/>
  <c r="T79" i="12"/>
  <c r="Z79" i="12" s="1"/>
  <c r="P79" i="12"/>
  <c r="X79" i="12" s="1"/>
  <c r="N79" i="12"/>
  <c r="H79" i="12"/>
  <c r="L79" i="12" s="1"/>
  <c r="D79" i="12"/>
  <c r="B79" i="12"/>
  <c r="T78" i="12"/>
  <c r="X78" i="12" s="1"/>
  <c r="P78" i="12"/>
  <c r="H78" i="12"/>
  <c r="D78" i="12"/>
  <c r="L78" i="12" s="1"/>
  <c r="B78" i="12"/>
  <c r="T77" i="12"/>
  <c r="X77" i="12" s="1"/>
  <c r="P77" i="12"/>
  <c r="L77" i="12"/>
  <c r="N77" i="12" s="1"/>
  <c r="H77" i="12"/>
  <c r="D77" i="12"/>
  <c r="B77" i="12"/>
  <c r="T76" i="12"/>
  <c r="P76" i="12"/>
  <c r="X76" i="12" s="1"/>
  <c r="Z76" i="12" s="1"/>
  <c r="N76" i="12"/>
  <c r="L76" i="12"/>
  <c r="H76" i="12"/>
  <c r="D76" i="12"/>
  <c r="B76" i="12"/>
  <c r="T75" i="12"/>
  <c r="Z75" i="12" s="1"/>
  <c r="P75" i="12"/>
  <c r="X75" i="12" s="1"/>
  <c r="N75" i="12"/>
  <c r="H75" i="12"/>
  <c r="L75" i="12" s="1"/>
  <c r="D75" i="12"/>
  <c r="B75" i="12"/>
  <c r="T74" i="12"/>
  <c r="X74" i="12" s="1"/>
  <c r="P74" i="12"/>
  <c r="H74" i="12"/>
  <c r="D74" i="12"/>
  <c r="L74" i="12" s="1"/>
  <c r="B74" i="12"/>
  <c r="T73" i="12"/>
  <c r="P73" i="12"/>
  <c r="L73" i="12"/>
  <c r="N73" i="12" s="1"/>
  <c r="H73" i="12"/>
  <c r="D73" i="12"/>
  <c r="B73" i="12"/>
  <c r="X72" i="12"/>
  <c r="Z72" i="12" s="1"/>
  <c r="T72" i="12"/>
  <c r="P72" i="12"/>
  <c r="L72" i="12"/>
  <c r="H72" i="12"/>
  <c r="N72" i="12" s="1"/>
  <c r="D72" i="12"/>
  <c r="B72" i="12"/>
  <c r="T71" i="12"/>
  <c r="P71" i="12"/>
  <c r="X71" i="12" s="1"/>
  <c r="H71" i="12"/>
  <c r="L71" i="12" s="1"/>
  <c r="D71" i="12"/>
  <c r="B71" i="12"/>
  <c r="T70" i="12"/>
  <c r="X70" i="12" s="1"/>
  <c r="P70" i="12"/>
  <c r="H70" i="12"/>
  <c r="D70" i="12"/>
  <c r="L70" i="12" s="1"/>
  <c r="B70" i="12"/>
  <c r="Z69" i="12"/>
  <c r="T69" i="12"/>
  <c r="P69" i="12"/>
  <c r="X69" i="12" s="1"/>
  <c r="N69" i="12"/>
  <c r="L69" i="12"/>
  <c r="H69" i="12"/>
  <c r="D69" i="12"/>
  <c r="B69" i="12"/>
  <c r="T68" i="12"/>
  <c r="P68" i="12"/>
  <c r="X68" i="12" s="1"/>
  <c r="Z68" i="12" s="1"/>
  <c r="L68" i="12"/>
  <c r="N68" i="12" s="1"/>
  <c r="H68" i="12"/>
  <c r="D68" i="12"/>
  <c r="B68" i="12"/>
  <c r="T67" i="12"/>
  <c r="P67" i="12"/>
  <c r="X67" i="12" s="1"/>
  <c r="N67" i="12"/>
  <c r="H67" i="12"/>
  <c r="L67" i="12" s="1"/>
  <c r="D67" i="12"/>
  <c r="B67" i="12"/>
  <c r="T66" i="12"/>
  <c r="X66" i="12" s="1"/>
  <c r="P66" i="12"/>
  <c r="H66" i="12"/>
  <c r="N66" i="12" s="1"/>
  <c r="D66" i="12"/>
  <c r="L66" i="12" s="1"/>
  <c r="B66" i="12"/>
  <c r="Z65" i="12"/>
  <c r="T65" i="12"/>
  <c r="X65" i="12" s="1"/>
  <c r="P65" i="12"/>
  <c r="L65" i="12"/>
  <c r="N65" i="12" s="1"/>
  <c r="H65" i="12"/>
  <c r="D65" i="12"/>
  <c r="B65" i="12"/>
  <c r="X64" i="12"/>
  <c r="Z64" i="12" s="1"/>
  <c r="T64" i="12"/>
  <c r="P64" i="12"/>
  <c r="L64" i="12"/>
  <c r="N64" i="12" s="1"/>
  <c r="H64" i="12"/>
  <c r="D64" i="12"/>
  <c r="B64" i="12"/>
  <c r="T63" i="12"/>
  <c r="P63" i="12"/>
  <c r="X63" i="12" s="1"/>
  <c r="H63" i="12"/>
  <c r="L63" i="12" s="1"/>
  <c r="D63" i="12"/>
  <c r="B63" i="12"/>
  <c r="T62" i="12"/>
  <c r="X62" i="12" s="1"/>
  <c r="P62" i="12"/>
  <c r="H62" i="12"/>
  <c r="N62" i="12" s="1"/>
  <c r="D62" i="12"/>
  <c r="L62" i="12" s="1"/>
  <c r="B62" i="12"/>
  <c r="T61" i="12"/>
  <c r="X61" i="12" s="1"/>
  <c r="P61" i="12"/>
  <c r="L61" i="12"/>
  <c r="N61" i="12" s="1"/>
  <c r="H61" i="12"/>
  <c r="D61" i="12"/>
  <c r="B61" i="12"/>
  <c r="X60" i="12"/>
  <c r="Z60" i="12" s="1"/>
  <c r="T60" i="12"/>
  <c r="P60" i="12"/>
  <c r="L60" i="12"/>
  <c r="N60" i="12" s="1"/>
  <c r="H60" i="12"/>
  <c r="D60" i="12"/>
  <c r="B60" i="12"/>
  <c r="T59" i="12"/>
  <c r="Z59" i="12" s="1"/>
  <c r="P59" i="12"/>
  <c r="X59" i="12" s="1"/>
  <c r="N59" i="12"/>
  <c r="H59" i="12"/>
  <c r="L59" i="12" s="1"/>
  <c r="D59" i="12"/>
  <c r="B59" i="12"/>
  <c r="T58" i="12"/>
  <c r="X58" i="12" s="1"/>
  <c r="P58" i="12"/>
  <c r="H58" i="12"/>
  <c r="D58" i="12"/>
  <c r="L58" i="12" s="1"/>
  <c r="B58" i="12"/>
  <c r="T57" i="12"/>
  <c r="X57" i="12" s="1"/>
  <c r="P57" i="12"/>
  <c r="L57" i="12"/>
  <c r="N57" i="12" s="1"/>
  <c r="H57" i="12"/>
  <c r="D57" i="12"/>
  <c r="B57" i="12"/>
  <c r="X56" i="12"/>
  <c r="Z56" i="12" s="1"/>
  <c r="T56" i="12"/>
  <c r="P56" i="12"/>
  <c r="L56" i="12"/>
  <c r="N56" i="12" s="1"/>
  <c r="H56" i="12"/>
  <c r="D56" i="12"/>
  <c r="B56" i="12"/>
  <c r="T55" i="12"/>
  <c r="P55" i="12"/>
  <c r="X55" i="12" s="1"/>
  <c r="H55" i="12"/>
  <c r="L55" i="12" s="1"/>
  <c r="D55" i="12"/>
  <c r="B55" i="12"/>
  <c r="T54" i="12"/>
  <c r="X54" i="12" s="1"/>
  <c r="P54" i="12"/>
  <c r="H54" i="12"/>
  <c r="N54" i="12" s="1"/>
  <c r="D54" i="12"/>
  <c r="L54" i="12" s="1"/>
  <c r="B54" i="12"/>
  <c r="Z53" i="12"/>
  <c r="T53" i="12"/>
  <c r="X53" i="12" s="1"/>
  <c r="P53" i="12"/>
  <c r="L53" i="12"/>
  <c r="N53" i="12" s="1"/>
  <c r="H53" i="12"/>
  <c r="D53" i="12"/>
  <c r="B53" i="12"/>
  <c r="X52" i="12"/>
  <c r="Z52" i="12" s="1"/>
  <c r="T52" i="12"/>
  <c r="P52" i="12"/>
  <c r="L52" i="12"/>
  <c r="N52" i="12" s="1"/>
  <c r="H52" i="12"/>
  <c r="D52" i="12"/>
  <c r="B52" i="12"/>
  <c r="T51" i="12"/>
  <c r="Z51" i="12" s="1"/>
  <c r="P51" i="12"/>
  <c r="X51" i="12" s="1"/>
  <c r="H51" i="12"/>
  <c r="L51" i="12" s="1"/>
  <c r="D51" i="12"/>
  <c r="B51" i="12"/>
  <c r="T50" i="12"/>
  <c r="X50" i="12" s="1"/>
  <c r="P50" i="12"/>
  <c r="H50" i="12"/>
  <c r="D50" i="12"/>
  <c r="L50" i="12" s="1"/>
  <c r="B50" i="12"/>
  <c r="T49" i="12"/>
  <c r="X49" i="12" s="1"/>
  <c r="P49" i="12"/>
  <c r="L49" i="12"/>
  <c r="N49" i="12" s="1"/>
  <c r="H49" i="12"/>
  <c r="D49" i="12"/>
  <c r="B49" i="12"/>
  <c r="T48" i="12"/>
  <c r="P48" i="12"/>
  <c r="X48" i="12" s="1"/>
  <c r="Z48" i="12" s="1"/>
  <c r="L48" i="12"/>
  <c r="N48" i="12" s="1"/>
  <c r="H48" i="12"/>
  <c r="D48" i="12"/>
  <c r="B48" i="12"/>
  <c r="T47" i="12"/>
  <c r="P47" i="12"/>
  <c r="X47" i="12" s="1"/>
  <c r="N47" i="12"/>
  <c r="H47" i="12"/>
  <c r="L47" i="12" s="1"/>
  <c r="D47" i="12"/>
  <c r="B47" i="12"/>
  <c r="T46" i="12"/>
  <c r="X46" i="12" s="1"/>
  <c r="P46" i="12"/>
  <c r="H46" i="12"/>
  <c r="N46" i="12" s="1"/>
  <c r="D46" i="12"/>
  <c r="L46" i="12" s="1"/>
  <c r="B46" i="12"/>
  <c r="Z45" i="12"/>
  <c r="T45" i="12"/>
  <c r="X45" i="12" s="1"/>
  <c r="P45" i="12"/>
  <c r="L45" i="12"/>
  <c r="N45" i="12" s="1"/>
  <c r="H45" i="12"/>
  <c r="D45" i="12"/>
  <c r="B45" i="12"/>
  <c r="T44" i="12"/>
  <c r="P44" i="12"/>
  <c r="X44" i="12" s="1"/>
  <c r="Z44" i="12" s="1"/>
  <c r="L44" i="12"/>
  <c r="N44" i="12" s="1"/>
  <c r="H44" i="12"/>
  <c r="D44" i="12"/>
  <c r="B44" i="12"/>
  <c r="T43" i="12"/>
  <c r="P43" i="12"/>
  <c r="X43" i="12" s="1"/>
  <c r="H43" i="12"/>
  <c r="L43" i="12" s="1"/>
  <c r="N43" i="12" s="1"/>
  <c r="D43" i="12"/>
  <c r="B43" i="12"/>
  <c r="T42" i="12"/>
  <c r="X42" i="12" s="1"/>
  <c r="P42" i="12"/>
  <c r="H42" i="12"/>
  <c r="N42" i="12" s="1"/>
  <c r="D42" i="12"/>
  <c r="L42" i="12" s="1"/>
  <c r="B42" i="12"/>
  <c r="T41" i="12"/>
  <c r="X41" i="12" s="1"/>
  <c r="P41" i="12"/>
  <c r="L41" i="12"/>
  <c r="N41" i="12" s="1"/>
  <c r="H41" i="12"/>
  <c r="D41" i="12"/>
  <c r="B41" i="12"/>
  <c r="T40" i="12"/>
  <c r="P40" i="12"/>
  <c r="X40" i="12" s="1"/>
  <c r="Z40" i="12" s="1"/>
  <c r="L40" i="12"/>
  <c r="N40" i="12" s="1"/>
  <c r="H40" i="12"/>
  <c r="D40" i="12"/>
  <c r="B40" i="12"/>
  <c r="T39" i="12"/>
  <c r="Z39" i="12" s="1"/>
  <c r="P39" i="12"/>
  <c r="X39" i="12" s="1"/>
  <c r="N39" i="12"/>
  <c r="H39" i="12"/>
  <c r="L39" i="12" s="1"/>
  <c r="D39" i="12"/>
  <c r="B39" i="12"/>
  <c r="T38" i="12"/>
  <c r="X38" i="12" s="1"/>
  <c r="P38" i="12"/>
  <c r="H38" i="12"/>
  <c r="D38" i="12"/>
  <c r="L38" i="12" s="1"/>
  <c r="B38" i="12"/>
  <c r="T37" i="12"/>
  <c r="X37" i="12" s="1"/>
  <c r="P37" i="12"/>
  <c r="L37" i="12"/>
  <c r="N37" i="12" s="1"/>
  <c r="H37" i="12"/>
  <c r="D37" i="12"/>
  <c r="B37" i="12"/>
  <c r="T36" i="12"/>
  <c r="P36" i="12"/>
  <c r="X36" i="12" s="1"/>
  <c r="Z36" i="12" s="1"/>
  <c r="L36" i="12"/>
  <c r="N36" i="12" s="1"/>
  <c r="H36" i="12"/>
  <c r="D36" i="12"/>
  <c r="B36" i="12"/>
  <c r="T35" i="12"/>
  <c r="Z35" i="12" s="1"/>
  <c r="P35" i="12"/>
  <c r="X35" i="12" s="1"/>
  <c r="H35" i="12"/>
  <c r="L35" i="12" s="1"/>
  <c r="D35" i="12"/>
  <c r="B35" i="12"/>
  <c r="T34" i="12"/>
  <c r="X34" i="12" s="1"/>
  <c r="P34" i="12"/>
  <c r="H34" i="12"/>
  <c r="N34" i="12" s="1"/>
  <c r="D34" i="12"/>
  <c r="L34" i="12" s="1"/>
  <c r="B34" i="12"/>
  <c r="Z33" i="12"/>
  <c r="T33" i="12"/>
  <c r="X33" i="12" s="1"/>
  <c r="P33" i="12"/>
  <c r="L33" i="12"/>
  <c r="N33" i="12" s="1"/>
  <c r="H33" i="12"/>
  <c r="D33" i="12"/>
  <c r="B33" i="12"/>
  <c r="X32" i="12"/>
  <c r="Z32" i="12" s="1"/>
  <c r="T32" i="12"/>
  <c r="P32" i="12"/>
  <c r="L32" i="12"/>
  <c r="N32" i="12" s="1"/>
  <c r="H32" i="12"/>
  <c r="D32" i="12"/>
  <c r="B32" i="12"/>
  <c r="T31" i="12"/>
  <c r="Z31" i="12" s="1"/>
  <c r="P31" i="12"/>
  <c r="X31" i="12" s="1"/>
  <c r="N31" i="12"/>
  <c r="H31" i="12"/>
  <c r="L31" i="12" s="1"/>
  <c r="D31" i="12"/>
  <c r="B31" i="12"/>
  <c r="T30" i="12"/>
  <c r="X30" i="12" s="1"/>
  <c r="P30" i="12"/>
  <c r="H30" i="12"/>
  <c r="D30" i="12"/>
  <c r="L30" i="12" s="1"/>
  <c r="B30" i="12"/>
  <c r="Z29" i="12"/>
  <c r="T29" i="12"/>
  <c r="X29" i="12" s="1"/>
  <c r="P29" i="12"/>
  <c r="L29" i="12"/>
  <c r="N29" i="12" s="1"/>
  <c r="H29" i="12"/>
  <c r="D29" i="12"/>
  <c r="B29" i="12"/>
  <c r="X28" i="12"/>
  <c r="Z28" i="12" s="1"/>
  <c r="T28" i="12"/>
  <c r="P28" i="12"/>
  <c r="L28" i="12"/>
  <c r="N28" i="12" s="1"/>
  <c r="H28" i="12"/>
  <c r="D28" i="12"/>
  <c r="B28" i="12"/>
  <c r="T27" i="12"/>
  <c r="P27" i="12"/>
  <c r="X27" i="12" s="1"/>
  <c r="H27" i="12"/>
  <c r="L27" i="12" s="1"/>
  <c r="D27" i="12"/>
  <c r="B27" i="12"/>
  <c r="T26" i="12"/>
  <c r="X26" i="12" s="1"/>
  <c r="P26" i="12"/>
  <c r="H26" i="12"/>
  <c r="D26" i="12"/>
  <c r="L26" i="12" s="1"/>
  <c r="B26" i="12"/>
  <c r="Z25" i="12"/>
  <c r="T25" i="12"/>
  <c r="X25" i="12" s="1"/>
  <c r="P25" i="12"/>
  <c r="L25" i="12"/>
  <c r="N25" i="12" s="1"/>
  <c r="H25" i="12"/>
  <c r="D25" i="12"/>
  <c r="B25" i="12"/>
  <c r="X24" i="12"/>
  <c r="Z24" i="12" s="1"/>
  <c r="T24" i="12"/>
  <c r="P24" i="12"/>
  <c r="L24" i="12"/>
  <c r="N24" i="12" s="1"/>
  <c r="H24" i="12"/>
  <c r="D24" i="12"/>
  <c r="B24" i="12"/>
  <c r="T23" i="12"/>
  <c r="Z23" i="12" s="1"/>
  <c r="P23" i="12"/>
  <c r="X23" i="12" s="1"/>
  <c r="H23" i="12"/>
  <c r="L23" i="12" s="1"/>
  <c r="D23" i="12"/>
  <c r="B23" i="12"/>
  <c r="T22" i="12"/>
  <c r="X22" i="12" s="1"/>
  <c r="P22" i="12"/>
  <c r="H22" i="12"/>
  <c r="N22" i="12" s="1"/>
  <c r="D22" i="12"/>
  <c r="L22" i="12" s="1"/>
  <c r="B22" i="12"/>
  <c r="T21" i="12"/>
  <c r="X21" i="12" s="1"/>
  <c r="P21" i="12"/>
  <c r="L21" i="12"/>
  <c r="N21" i="12" s="1"/>
  <c r="H21" i="12"/>
  <c r="D21" i="12"/>
  <c r="B21" i="12"/>
  <c r="T20" i="12"/>
  <c r="P20" i="12"/>
  <c r="X20" i="12" s="1"/>
  <c r="Z20" i="12" s="1"/>
  <c r="L20" i="12"/>
  <c r="N20" i="12" s="1"/>
  <c r="H20" i="12"/>
  <c r="D20" i="12"/>
  <c r="B20" i="12"/>
  <c r="T19" i="12"/>
  <c r="P19" i="12"/>
  <c r="X19" i="12" s="1"/>
  <c r="N19" i="12"/>
  <c r="H19" i="12"/>
  <c r="L19" i="12" s="1"/>
  <c r="D19" i="12"/>
  <c r="B19" i="12"/>
  <c r="T18" i="12"/>
  <c r="X18" i="12" s="1"/>
  <c r="P18" i="12"/>
  <c r="H18" i="12"/>
  <c r="N18" i="12" s="1"/>
  <c r="D18" i="12"/>
  <c r="L18" i="12" s="1"/>
  <c r="B18" i="12"/>
  <c r="Z17" i="12"/>
  <c r="T17" i="12"/>
  <c r="X17" i="12" s="1"/>
  <c r="P17" i="12"/>
  <c r="L17" i="12"/>
  <c r="N17" i="12" s="1"/>
  <c r="H17" i="12"/>
  <c r="D17" i="12"/>
  <c r="B17" i="12"/>
  <c r="T16" i="12"/>
  <c r="P16" i="12"/>
  <c r="X16" i="12" s="1"/>
  <c r="Z16" i="12" s="1"/>
  <c r="L16" i="12"/>
  <c r="N16" i="12" s="1"/>
  <c r="H16" i="12"/>
  <c r="D16" i="12"/>
  <c r="B16" i="12"/>
  <c r="T15" i="12"/>
  <c r="P15" i="12"/>
  <c r="X15" i="12" s="1"/>
  <c r="H15" i="12"/>
  <c r="L15" i="12" s="1"/>
  <c r="D15" i="12"/>
  <c r="B15" i="12"/>
  <c r="T14" i="12"/>
  <c r="X14" i="12" s="1"/>
  <c r="P14" i="12"/>
  <c r="H14" i="12"/>
  <c r="D14" i="12"/>
  <c r="B14" i="12"/>
  <c r="T13" i="12"/>
  <c r="P13" i="12"/>
  <c r="N13" i="12"/>
  <c r="L13" i="12"/>
  <c r="H13" i="12"/>
  <c r="D13" i="12"/>
  <c r="B13" i="12"/>
  <c r="D4" i="12"/>
  <c r="V98" i="9"/>
  <c r="V95" i="9"/>
  <c r="R95" i="9"/>
  <c r="Z93" i="9"/>
  <c r="X93" i="9"/>
  <c r="V93" i="9"/>
  <c r="N93" i="9"/>
  <c r="L93" i="9"/>
  <c r="J93" i="9"/>
  <c r="J91" i="9"/>
  <c r="F91" i="9"/>
  <c r="Z89" i="9"/>
  <c r="X89" i="9"/>
  <c r="T89" i="9"/>
  <c r="P89" i="9"/>
  <c r="N89" i="9"/>
  <c r="L89" i="9"/>
  <c r="J89" i="9"/>
  <c r="H89" i="9"/>
  <c r="F89" i="9"/>
  <c r="D89" i="9"/>
  <c r="X87" i="9"/>
  <c r="Z87" i="9" s="1"/>
  <c r="N87" i="9"/>
  <c r="L87" i="9"/>
  <c r="J87" i="9"/>
  <c r="B87" i="9"/>
  <c r="X86" i="9"/>
  <c r="Z86" i="9" s="1"/>
  <c r="N86" i="9"/>
  <c r="L86" i="9"/>
  <c r="B86" i="9"/>
  <c r="Z85" i="9"/>
  <c r="X85" i="9"/>
  <c r="V85" i="9"/>
  <c r="T85" i="9"/>
  <c r="R85" i="9"/>
  <c r="P85" i="9"/>
  <c r="L85" i="9"/>
  <c r="N85" i="9" s="1"/>
  <c r="H85" i="9"/>
  <c r="D85" i="9"/>
  <c r="B85" i="9"/>
  <c r="X84" i="9"/>
  <c r="Z84" i="9" s="1"/>
  <c r="L84" i="9"/>
  <c r="N84" i="9" s="1"/>
  <c r="B84" i="9"/>
  <c r="X83" i="9"/>
  <c r="Z83" i="9" s="1"/>
  <c r="V83" i="9"/>
  <c r="T83" i="9"/>
  <c r="P83" i="9"/>
  <c r="H83" i="9"/>
  <c r="D83" i="9"/>
  <c r="L83" i="9" s="1"/>
  <c r="N83" i="9" s="1"/>
  <c r="B83" i="9"/>
  <c r="X82" i="9"/>
  <c r="Z82" i="9" s="1"/>
  <c r="L82" i="9"/>
  <c r="N82" i="9" s="1"/>
  <c r="B82" i="9"/>
  <c r="X81" i="9"/>
  <c r="Z81" i="9" s="1"/>
  <c r="N81" i="9"/>
  <c r="L81" i="9"/>
  <c r="J81" i="9"/>
  <c r="B81" i="9"/>
  <c r="T80" i="9"/>
  <c r="P80" i="9"/>
  <c r="X80" i="9" s="1"/>
  <c r="Z80" i="9" s="1"/>
  <c r="L80" i="9"/>
  <c r="H80" i="9"/>
  <c r="D80" i="9"/>
  <c r="B80" i="9"/>
  <c r="X79" i="9"/>
  <c r="Z79" i="9" s="1"/>
  <c r="L79" i="9"/>
  <c r="N79" i="9" s="1"/>
  <c r="J79" i="9"/>
  <c r="B79" i="9"/>
  <c r="X78" i="9"/>
  <c r="Z78" i="9" s="1"/>
  <c r="N78" i="9"/>
  <c r="L78" i="9"/>
  <c r="B78" i="9"/>
  <c r="Z77" i="9"/>
  <c r="X77" i="9"/>
  <c r="V77" i="9"/>
  <c r="N77" i="9"/>
  <c r="L77" i="9"/>
  <c r="F77" i="9"/>
  <c r="B77" i="9"/>
  <c r="Z76" i="9"/>
  <c r="X76" i="9"/>
  <c r="N76" i="9"/>
  <c r="L76" i="9"/>
  <c r="F76" i="9"/>
  <c r="B76" i="9"/>
  <c r="X75" i="9"/>
  <c r="Z75" i="9" s="1"/>
  <c r="N75" i="9"/>
  <c r="L75" i="9"/>
  <c r="J75" i="9"/>
  <c r="B75" i="9"/>
  <c r="X74" i="9"/>
  <c r="T74" i="9"/>
  <c r="Z74" i="9" s="1"/>
  <c r="P74" i="9"/>
  <c r="H74" i="9"/>
  <c r="D74" i="9"/>
  <c r="L74" i="9" s="1"/>
  <c r="B74" i="9"/>
  <c r="Z73" i="9"/>
  <c r="X73" i="9"/>
  <c r="N73" i="9"/>
  <c r="L73" i="9"/>
  <c r="B73" i="9"/>
  <c r="X72" i="9"/>
  <c r="T72" i="9"/>
  <c r="P72" i="9"/>
  <c r="N72" i="9"/>
  <c r="H72" i="9"/>
  <c r="D72" i="9"/>
  <c r="L72" i="9" s="1"/>
  <c r="B72" i="9"/>
  <c r="Z71" i="9"/>
  <c r="X71" i="9"/>
  <c r="V71" i="9"/>
  <c r="L71" i="9"/>
  <c r="N71" i="9" s="1"/>
  <c r="B71" i="9"/>
  <c r="X70" i="9"/>
  <c r="Z70" i="9" s="1"/>
  <c r="L70" i="9"/>
  <c r="N70" i="9" s="1"/>
  <c r="B70" i="9"/>
  <c r="T69" i="9"/>
  <c r="R69" i="9"/>
  <c r="P69" i="9"/>
  <c r="X69" i="9" s="1"/>
  <c r="N69" i="9"/>
  <c r="J69" i="9"/>
  <c r="H69" i="9"/>
  <c r="D69" i="9"/>
  <c r="L69" i="9" s="1"/>
  <c r="B69" i="9"/>
  <c r="X68" i="9"/>
  <c r="Z68" i="9" s="1"/>
  <c r="L68" i="9"/>
  <c r="N68" i="9" s="1"/>
  <c r="F68" i="9"/>
  <c r="B68" i="9"/>
  <c r="X67" i="9"/>
  <c r="Z67" i="9" s="1"/>
  <c r="L67" i="9"/>
  <c r="N67" i="9" s="1"/>
  <c r="J67" i="9"/>
  <c r="B67" i="9"/>
  <c r="X66" i="9"/>
  <c r="Z66" i="9" s="1"/>
  <c r="N66" i="9"/>
  <c r="L66" i="9"/>
  <c r="B66" i="9"/>
  <c r="Z65" i="9"/>
  <c r="X65" i="9"/>
  <c r="V65" i="9"/>
  <c r="T65" i="9"/>
  <c r="R65" i="9"/>
  <c r="P65" i="9"/>
  <c r="L65" i="9"/>
  <c r="N65" i="9" s="1"/>
  <c r="H65" i="9"/>
  <c r="D65" i="9"/>
  <c r="B65" i="9"/>
  <c r="X64" i="9"/>
  <c r="Z64" i="9" s="1"/>
  <c r="R64" i="9"/>
  <c r="N64" i="9"/>
  <c r="L64" i="9"/>
  <c r="J64" i="9"/>
  <c r="B64" i="9"/>
  <c r="X63" i="9"/>
  <c r="Z63" i="9" s="1"/>
  <c r="V63" i="9"/>
  <c r="N63" i="9"/>
  <c r="L63" i="9"/>
  <c r="J63" i="9"/>
  <c r="B63" i="9"/>
  <c r="Z62" i="9"/>
  <c r="X62" i="9"/>
  <c r="N62" i="9"/>
  <c r="L62" i="9"/>
  <c r="F62" i="9"/>
  <c r="B62" i="9"/>
  <c r="Z61" i="9"/>
  <c r="X61" i="9"/>
  <c r="L61" i="9"/>
  <c r="N61" i="9" s="1"/>
  <c r="B61" i="9"/>
  <c r="X60" i="9"/>
  <c r="T60" i="9"/>
  <c r="P60" i="9"/>
  <c r="H60" i="9"/>
  <c r="D60" i="9"/>
  <c r="L60" i="9" s="1"/>
  <c r="N60" i="9" s="1"/>
  <c r="B60" i="9"/>
  <c r="Z59" i="9"/>
  <c r="X59" i="9"/>
  <c r="V59" i="9"/>
  <c r="L59" i="9"/>
  <c r="N59" i="9" s="1"/>
  <c r="B59" i="9"/>
  <c r="T58" i="9"/>
  <c r="P58" i="9"/>
  <c r="J58" i="9"/>
  <c r="H58" i="9"/>
  <c r="D58" i="9"/>
  <c r="L58" i="9" s="1"/>
  <c r="N58" i="9" s="1"/>
  <c r="B58" i="9"/>
  <c r="Z57" i="9"/>
  <c r="X57" i="9"/>
  <c r="V57" i="9"/>
  <c r="N57" i="9"/>
  <c r="L57" i="9"/>
  <c r="F57" i="9"/>
  <c r="B57" i="9"/>
  <c r="T56" i="9"/>
  <c r="P56" i="9"/>
  <c r="X56" i="9" s="1"/>
  <c r="L56" i="9"/>
  <c r="H56" i="9"/>
  <c r="F56" i="9"/>
  <c r="D56" i="9"/>
  <c r="B56" i="9"/>
  <c r="X55" i="9"/>
  <c r="Z55" i="9" s="1"/>
  <c r="V55" i="9"/>
  <c r="N55" i="9"/>
  <c r="L55" i="9"/>
  <c r="J55" i="9"/>
  <c r="B55" i="9"/>
  <c r="Z54" i="9"/>
  <c r="X54" i="9"/>
  <c r="N54" i="9"/>
  <c r="L54" i="9"/>
  <c r="F54" i="9"/>
  <c r="B54" i="9"/>
  <c r="Z53" i="9"/>
  <c r="T53" i="9"/>
  <c r="P53" i="9"/>
  <c r="X53" i="9" s="1"/>
  <c r="L53" i="9"/>
  <c r="N53" i="9" s="1"/>
  <c r="J53" i="9"/>
  <c r="H53" i="9"/>
  <c r="F53" i="9"/>
  <c r="D53" i="9"/>
  <c r="B53" i="9"/>
  <c r="X52" i="9"/>
  <c r="Z52" i="9" s="1"/>
  <c r="V52" i="9"/>
  <c r="L52" i="9"/>
  <c r="N52" i="9" s="1"/>
  <c r="F52" i="9"/>
  <c r="B52" i="9"/>
  <c r="Z51" i="9"/>
  <c r="V51" i="9"/>
  <c r="T51" i="9"/>
  <c r="P51" i="9"/>
  <c r="X51" i="9" s="1"/>
  <c r="H51" i="9"/>
  <c r="F51" i="9"/>
  <c r="D51" i="9"/>
  <c r="L51" i="9" s="1"/>
  <c r="B51" i="9"/>
  <c r="X50" i="9"/>
  <c r="Z50" i="9" s="1"/>
  <c r="N50" i="9"/>
  <c r="L50" i="9"/>
  <c r="B50" i="9"/>
  <c r="Z49" i="9"/>
  <c r="X49" i="9"/>
  <c r="V49" i="9"/>
  <c r="T49" i="9"/>
  <c r="P49" i="9"/>
  <c r="L49" i="9"/>
  <c r="H49" i="9"/>
  <c r="N49" i="9" s="1"/>
  <c r="D49" i="9"/>
  <c r="B49" i="9"/>
  <c r="X48" i="9"/>
  <c r="Z48" i="9" s="1"/>
  <c r="N48" i="9"/>
  <c r="L48" i="9"/>
  <c r="J48" i="9"/>
  <c r="B48" i="9"/>
  <c r="X47" i="9"/>
  <c r="V47" i="9"/>
  <c r="T47" i="9"/>
  <c r="Z47" i="9" s="1"/>
  <c r="R47" i="9"/>
  <c r="P47" i="9"/>
  <c r="N47" i="9"/>
  <c r="H47" i="9"/>
  <c r="D47" i="9"/>
  <c r="L47" i="9" s="1"/>
  <c r="B47" i="9"/>
  <c r="X46" i="9"/>
  <c r="Z46" i="9" s="1"/>
  <c r="L46" i="9"/>
  <c r="N46" i="9" s="1"/>
  <c r="B46" i="9"/>
  <c r="T45" i="9"/>
  <c r="Z45" i="9" s="1"/>
  <c r="R45" i="9"/>
  <c r="P45" i="9"/>
  <c r="X45" i="9" s="1"/>
  <c r="J45" i="9"/>
  <c r="H45" i="9"/>
  <c r="D45" i="9"/>
  <c r="L45" i="9" s="1"/>
  <c r="N45" i="9" s="1"/>
  <c r="B45" i="9"/>
  <c r="X44" i="9"/>
  <c r="Z44" i="9" s="1"/>
  <c r="V44" i="9"/>
  <c r="L44" i="9"/>
  <c r="N44" i="9" s="1"/>
  <c r="F44" i="9"/>
  <c r="B44" i="9"/>
  <c r="X43" i="9"/>
  <c r="T43" i="9"/>
  <c r="Z43" i="9" s="1"/>
  <c r="P43" i="9"/>
  <c r="N43" i="9"/>
  <c r="L43" i="9"/>
  <c r="J43" i="9"/>
  <c r="H43" i="9"/>
  <c r="F43" i="9"/>
  <c r="D43" i="9"/>
  <c r="B43" i="9"/>
  <c r="Z42" i="9"/>
  <c r="X42" i="9"/>
  <c r="L42" i="9"/>
  <c r="N42" i="9" s="1"/>
  <c r="F42" i="9"/>
  <c r="B42" i="9"/>
  <c r="Z41" i="9"/>
  <c r="T41" i="9"/>
  <c r="X41" i="9" s="1"/>
  <c r="P41" i="9"/>
  <c r="L41" i="9"/>
  <c r="J41" i="9"/>
  <c r="H41" i="9"/>
  <c r="N41" i="9" s="1"/>
  <c r="F41" i="9"/>
  <c r="D41" i="9"/>
  <c r="B41" i="9"/>
  <c r="Z40" i="9"/>
  <c r="X40" i="9"/>
  <c r="V40" i="9"/>
  <c r="L40" i="9"/>
  <c r="N40" i="9" s="1"/>
  <c r="J40" i="9"/>
  <c r="F40" i="9"/>
  <c r="B40" i="9"/>
  <c r="V39" i="9"/>
  <c r="T39" i="9"/>
  <c r="P39" i="9"/>
  <c r="X39" i="9" s="1"/>
  <c r="Z39" i="9" s="1"/>
  <c r="H39" i="9"/>
  <c r="N39" i="9" s="1"/>
  <c r="F39" i="9"/>
  <c r="D39" i="9"/>
  <c r="L39" i="9" s="1"/>
  <c r="B39" i="9"/>
  <c r="X38" i="9"/>
  <c r="Z38" i="9" s="1"/>
  <c r="N38" i="9"/>
  <c r="L38" i="9"/>
  <c r="B38" i="9"/>
  <c r="Z37" i="9"/>
  <c r="X37" i="9"/>
  <c r="V37" i="9"/>
  <c r="N37" i="9"/>
  <c r="L37" i="9"/>
  <c r="F37" i="9"/>
  <c r="B37" i="9"/>
  <c r="X36" i="9"/>
  <c r="Z36" i="9" s="1"/>
  <c r="V36" i="9"/>
  <c r="N36" i="9"/>
  <c r="L36" i="9"/>
  <c r="F36" i="9"/>
  <c r="B36" i="9"/>
  <c r="X35" i="9"/>
  <c r="Z35" i="9" s="1"/>
  <c r="L35" i="9"/>
  <c r="N35" i="9" s="1"/>
  <c r="J35" i="9"/>
  <c r="B35" i="9"/>
  <c r="X34" i="9"/>
  <c r="Z34" i="9" s="1"/>
  <c r="N34" i="9"/>
  <c r="L34" i="9"/>
  <c r="B34" i="9"/>
  <c r="Z33" i="9"/>
  <c r="X33" i="9"/>
  <c r="V33" i="9"/>
  <c r="N33" i="9"/>
  <c r="L33" i="9"/>
  <c r="F33" i="9"/>
  <c r="B33" i="9"/>
  <c r="X32" i="9"/>
  <c r="Z32" i="9" s="1"/>
  <c r="V32" i="9"/>
  <c r="R32" i="9"/>
  <c r="L32" i="9"/>
  <c r="N32" i="9" s="1"/>
  <c r="F32" i="9"/>
  <c r="B32" i="9"/>
  <c r="X31" i="9"/>
  <c r="T31" i="9"/>
  <c r="Z31" i="9" s="1"/>
  <c r="P31" i="9"/>
  <c r="N31" i="9"/>
  <c r="L31" i="9"/>
  <c r="J31" i="9"/>
  <c r="H31" i="9"/>
  <c r="F31" i="9"/>
  <c r="D31" i="9"/>
  <c r="B31" i="9"/>
  <c r="Z30" i="9"/>
  <c r="X30" i="9"/>
  <c r="L30" i="9"/>
  <c r="N30" i="9" s="1"/>
  <c r="F30" i="9"/>
  <c r="B30" i="9"/>
  <c r="Z29" i="9"/>
  <c r="X29" i="9"/>
  <c r="N29" i="9"/>
  <c r="L29" i="9"/>
  <c r="F29" i="9"/>
  <c r="B29" i="9"/>
  <c r="X28" i="9"/>
  <c r="Z28" i="9" s="1"/>
  <c r="N28" i="9"/>
  <c r="L28" i="9"/>
  <c r="J28" i="9"/>
  <c r="B28" i="9"/>
  <c r="X27" i="9"/>
  <c r="Z27" i="9" s="1"/>
  <c r="V27" i="9"/>
  <c r="N27" i="9"/>
  <c r="L27" i="9"/>
  <c r="J27" i="9"/>
  <c r="B27" i="9"/>
  <c r="Z26" i="9"/>
  <c r="X26" i="9"/>
  <c r="L26" i="9"/>
  <c r="N26" i="9" s="1"/>
  <c r="F26" i="9"/>
  <c r="B26" i="9"/>
  <c r="Z25" i="9"/>
  <c r="X25" i="9"/>
  <c r="N25" i="9"/>
  <c r="L25" i="9"/>
  <c r="F25" i="9"/>
  <c r="B25" i="9"/>
  <c r="X24" i="9"/>
  <c r="Z24" i="9" s="1"/>
  <c r="V24" i="9"/>
  <c r="N24" i="9"/>
  <c r="L24" i="9"/>
  <c r="J24" i="9"/>
  <c r="B24" i="9"/>
  <c r="X23" i="9"/>
  <c r="Z23" i="9" s="1"/>
  <c r="V23" i="9"/>
  <c r="N23" i="9"/>
  <c r="L23" i="9"/>
  <c r="J23" i="9"/>
  <c r="B23" i="9"/>
  <c r="Z22" i="9"/>
  <c r="X22" i="9"/>
  <c r="L22" i="9"/>
  <c r="N22" i="9" s="1"/>
  <c r="F22" i="9"/>
  <c r="B22" i="9"/>
  <c r="Z21" i="9"/>
  <c r="X21" i="9"/>
  <c r="N21" i="9"/>
  <c r="L21" i="9"/>
  <c r="F21" i="9"/>
  <c r="B21" i="9"/>
  <c r="X20" i="9"/>
  <c r="Z20" i="9" s="1"/>
  <c r="V20" i="9"/>
  <c r="N20" i="9"/>
  <c r="L20" i="9"/>
  <c r="J20" i="9"/>
  <c r="B20" i="9"/>
  <c r="X19" i="9"/>
  <c r="V19" i="9"/>
  <c r="T19" i="9"/>
  <c r="Z19" i="9" s="1"/>
  <c r="R19" i="9"/>
  <c r="P19" i="9"/>
  <c r="H19" i="9"/>
  <c r="L19" i="9" s="1"/>
  <c r="N19" i="9" s="1"/>
  <c r="D19" i="9"/>
  <c r="B19" i="9"/>
  <c r="T18" i="9"/>
  <c r="P18" i="9"/>
  <c r="X18" i="9" s="1"/>
  <c r="J18" i="9"/>
  <c r="H18" i="9"/>
  <c r="F18" i="9"/>
  <c r="D18" i="9"/>
  <c r="L18" i="9" s="1"/>
  <c r="P16" i="9"/>
  <c r="J16" i="9"/>
  <c r="F16" i="9"/>
  <c r="T14" i="9"/>
  <c r="Z14" i="9" s="1"/>
  <c r="P14" i="9"/>
  <c r="X14" i="9" s="1"/>
  <c r="J14" i="9"/>
  <c r="H14" i="9"/>
  <c r="H16" i="9" s="1"/>
  <c r="F14" i="9"/>
  <c r="D14" i="9"/>
  <c r="L14" i="9" s="1"/>
  <c r="Z12" i="9"/>
  <c r="X12" i="9"/>
  <c r="T12" i="9"/>
  <c r="V73" i="9" s="1"/>
  <c r="P12" i="9"/>
  <c r="R84" i="9" s="1"/>
  <c r="N12" i="9"/>
  <c r="L12" i="9"/>
  <c r="H12" i="9"/>
  <c r="J98" i="9" s="1"/>
  <c r="D12" i="9"/>
  <c r="F82" i="9" s="1"/>
  <c r="D4" i="9"/>
  <c r="V31" i="6"/>
  <c r="R31" i="6"/>
  <c r="X29" i="6"/>
  <c r="V29" i="6"/>
  <c r="T29" i="6"/>
  <c r="Z29" i="6" s="1"/>
  <c r="R29" i="6"/>
  <c r="P29" i="6"/>
  <c r="H29" i="6"/>
  <c r="D29" i="6"/>
  <c r="L29" i="6" s="1"/>
  <c r="N29" i="6" s="1"/>
  <c r="X28" i="6"/>
  <c r="V28" i="6"/>
  <c r="T28" i="6"/>
  <c r="Z28" i="6" s="1"/>
  <c r="R28" i="6"/>
  <c r="P28" i="6"/>
  <c r="N28" i="6"/>
  <c r="H28" i="6"/>
  <c r="D28" i="6"/>
  <c r="L28" i="6" s="1"/>
  <c r="V26" i="6"/>
  <c r="R26" i="6"/>
  <c r="Z24" i="6"/>
  <c r="X24" i="6"/>
  <c r="V24" i="6"/>
  <c r="N24" i="6"/>
  <c r="L24" i="6"/>
  <c r="F22" i="6"/>
  <c r="X20" i="6"/>
  <c r="T20" i="6"/>
  <c r="Z20" i="6" s="1"/>
  <c r="P20" i="6"/>
  <c r="N20" i="6"/>
  <c r="H20" i="6"/>
  <c r="F20" i="6"/>
  <c r="D20" i="6"/>
  <c r="L20" i="6" s="1"/>
  <c r="X18" i="6"/>
  <c r="T18" i="6"/>
  <c r="Z18" i="6" s="1"/>
  <c r="P18" i="6"/>
  <c r="N18" i="6"/>
  <c r="H18" i="6"/>
  <c r="F18" i="6"/>
  <c r="D18" i="6"/>
  <c r="L18" i="6" s="1"/>
  <c r="J16" i="6"/>
  <c r="F16" i="6"/>
  <c r="X14" i="6"/>
  <c r="T14" i="6"/>
  <c r="Z14" i="6" s="1"/>
  <c r="P14" i="6"/>
  <c r="P16" i="6" s="1"/>
  <c r="N14" i="6"/>
  <c r="H14" i="6"/>
  <c r="L14" i="6" s="1"/>
  <c r="F14" i="6"/>
  <c r="D14" i="6"/>
  <c r="Z12" i="6"/>
  <c r="X12" i="6"/>
  <c r="T12" i="6"/>
  <c r="V22" i="6" s="1"/>
  <c r="P12" i="6"/>
  <c r="R22" i="6" s="1"/>
  <c r="H12" i="6"/>
  <c r="J24" i="6" s="1"/>
  <c r="D12" i="6"/>
  <c r="F31" i="6" s="1"/>
  <c r="D4" i="6"/>
  <c r="X318" i="3"/>
  <c r="Z318" i="3" s="1"/>
  <c r="T318" i="3"/>
  <c r="P318" i="3"/>
  <c r="L318" i="3"/>
  <c r="H318" i="3"/>
  <c r="D318" i="3"/>
  <c r="X317" i="3"/>
  <c r="Z317" i="3" s="1"/>
  <c r="T317" i="3"/>
  <c r="P317" i="3"/>
  <c r="H317" i="3"/>
  <c r="D317" i="3"/>
  <c r="X313" i="3"/>
  <c r="Z313" i="3" s="1"/>
  <c r="L313" i="3"/>
  <c r="N313" i="3" s="1"/>
  <c r="T309" i="3"/>
  <c r="P309" i="3"/>
  <c r="H309" i="3"/>
  <c r="N309" i="3" s="1"/>
  <c r="D309" i="3"/>
  <c r="L309" i="3" s="1"/>
  <c r="B309" i="3"/>
  <c r="Z308" i="3"/>
  <c r="T308" i="3"/>
  <c r="P308" i="3"/>
  <c r="X308" i="3" s="1"/>
  <c r="H308" i="3"/>
  <c r="N308" i="3" s="1"/>
  <c r="D308" i="3"/>
  <c r="L308" i="3" s="1"/>
  <c r="B308" i="3"/>
  <c r="X307" i="3"/>
  <c r="T307" i="3"/>
  <c r="Z307" i="3" s="1"/>
  <c r="P307" i="3"/>
  <c r="H307" i="3"/>
  <c r="D307" i="3"/>
  <c r="L307" i="3" s="1"/>
  <c r="B307" i="3"/>
  <c r="Z306" i="3"/>
  <c r="T306" i="3"/>
  <c r="P306" i="3"/>
  <c r="X306" i="3" s="1"/>
  <c r="L306" i="3"/>
  <c r="H306" i="3"/>
  <c r="N306" i="3" s="1"/>
  <c r="D306" i="3"/>
  <c r="B306" i="3"/>
  <c r="T305" i="3"/>
  <c r="P305" i="3"/>
  <c r="X305" i="3" s="1"/>
  <c r="Z305" i="3" s="1"/>
  <c r="H305" i="3"/>
  <c r="D305" i="3"/>
  <c r="B305" i="3"/>
  <c r="T304" i="3"/>
  <c r="P304" i="3"/>
  <c r="X304" i="3" s="1"/>
  <c r="Z304" i="3" s="1"/>
  <c r="N304" i="3"/>
  <c r="H304" i="3"/>
  <c r="D304" i="3"/>
  <c r="L304" i="3" s="1"/>
  <c r="B304" i="3"/>
  <c r="T303" i="3"/>
  <c r="P303" i="3"/>
  <c r="X303" i="3" s="1"/>
  <c r="Z303" i="3" s="1"/>
  <c r="H303" i="3"/>
  <c r="L303" i="3" s="1"/>
  <c r="D303" i="3"/>
  <c r="B303" i="3"/>
  <c r="T302" i="3"/>
  <c r="P302" i="3"/>
  <c r="X302" i="3" s="1"/>
  <c r="N302" i="3"/>
  <c r="H302" i="3"/>
  <c r="D302" i="3"/>
  <c r="L302" i="3" s="1"/>
  <c r="B302" i="3"/>
  <c r="T301" i="3"/>
  <c r="P301" i="3"/>
  <c r="X301" i="3" s="1"/>
  <c r="L301" i="3"/>
  <c r="H301" i="3"/>
  <c r="N301" i="3" s="1"/>
  <c r="D301" i="3"/>
  <c r="B301" i="3"/>
  <c r="X300" i="3"/>
  <c r="T300" i="3"/>
  <c r="Z300" i="3" s="1"/>
  <c r="P300" i="3"/>
  <c r="N300" i="3"/>
  <c r="H300" i="3"/>
  <c r="D300" i="3"/>
  <c r="L300" i="3" s="1"/>
  <c r="B300" i="3"/>
  <c r="T299" i="3"/>
  <c r="P299" i="3"/>
  <c r="H299" i="3"/>
  <c r="L299" i="3" s="1"/>
  <c r="D299" i="3"/>
  <c r="B299" i="3"/>
  <c r="Z298" i="3"/>
  <c r="T298" i="3"/>
  <c r="P298" i="3"/>
  <c r="X298" i="3" s="1"/>
  <c r="H298" i="3"/>
  <c r="D298" i="3"/>
  <c r="L298" i="3" s="1"/>
  <c r="N298" i="3" s="1"/>
  <c r="B298" i="3"/>
  <c r="T297" i="3"/>
  <c r="P297" i="3"/>
  <c r="H297" i="3"/>
  <c r="D297" i="3"/>
  <c r="B297" i="3"/>
  <c r="Z294" i="3"/>
  <c r="X294" i="3"/>
  <c r="L294" i="3"/>
  <c r="N294" i="3" s="1"/>
  <c r="B294" i="3"/>
  <c r="T293" i="3"/>
  <c r="P293" i="3"/>
  <c r="X293" i="3" s="1"/>
  <c r="H293" i="3"/>
  <c r="D293" i="3"/>
  <c r="L293" i="3" s="1"/>
  <c r="B293" i="3"/>
  <c r="Z292" i="3"/>
  <c r="X292" i="3"/>
  <c r="N292" i="3"/>
  <c r="L292" i="3"/>
  <c r="B292" i="3"/>
  <c r="X291" i="3"/>
  <c r="Z291" i="3" s="1"/>
  <c r="L291" i="3"/>
  <c r="N291" i="3" s="1"/>
  <c r="B291" i="3"/>
  <c r="X290" i="3"/>
  <c r="Z290" i="3" s="1"/>
  <c r="L290" i="3"/>
  <c r="N290" i="3" s="1"/>
  <c r="B290" i="3"/>
  <c r="X289" i="3"/>
  <c r="T289" i="3"/>
  <c r="P289" i="3"/>
  <c r="H289" i="3"/>
  <c r="D289" i="3"/>
  <c r="L289" i="3" s="1"/>
  <c r="B289" i="3"/>
  <c r="Z288" i="3"/>
  <c r="X288" i="3"/>
  <c r="N288" i="3"/>
  <c r="L288" i="3"/>
  <c r="B288" i="3"/>
  <c r="T287" i="3"/>
  <c r="P287" i="3"/>
  <c r="H287" i="3"/>
  <c r="N287" i="3" s="1"/>
  <c r="D287" i="3"/>
  <c r="L287" i="3" s="1"/>
  <c r="B287" i="3"/>
  <c r="Z286" i="3"/>
  <c r="X286" i="3"/>
  <c r="N286" i="3"/>
  <c r="L286" i="3"/>
  <c r="B286" i="3"/>
  <c r="X285" i="3"/>
  <c r="Z285" i="3" s="1"/>
  <c r="L285" i="3"/>
  <c r="N285" i="3" s="1"/>
  <c r="B285" i="3"/>
  <c r="T284" i="3"/>
  <c r="P284" i="3"/>
  <c r="X284" i="3" s="1"/>
  <c r="Z284" i="3" s="1"/>
  <c r="H284" i="3"/>
  <c r="D284" i="3"/>
  <c r="L284" i="3" s="1"/>
  <c r="N284" i="3" s="1"/>
  <c r="B284" i="3"/>
  <c r="X283" i="3"/>
  <c r="Z283" i="3" s="1"/>
  <c r="L283" i="3"/>
  <c r="N283" i="3" s="1"/>
  <c r="B283" i="3"/>
  <c r="X282" i="3"/>
  <c r="Z282" i="3" s="1"/>
  <c r="L282" i="3"/>
  <c r="N282" i="3" s="1"/>
  <c r="B282" i="3"/>
  <c r="X281" i="3"/>
  <c r="Z281" i="3" s="1"/>
  <c r="L281" i="3"/>
  <c r="N281" i="3" s="1"/>
  <c r="B281" i="3"/>
  <c r="Z280" i="3"/>
  <c r="X280" i="3"/>
  <c r="N280" i="3"/>
  <c r="L280" i="3"/>
  <c r="B280" i="3"/>
  <c r="X279" i="3"/>
  <c r="Z279" i="3" s="1"/>
  <c r="L279" i="3"/>
  <c r="N279" i="3" s="1"/>
  <c r="B279" i="3"/>
  <c r="X278" i="3"/>
  <c r="Z278" i="3" s="1"/>
  <c r="L278" i="3"/>
  <c r="N278" i="3" s="1"/>
  <c r="B278" i="3"/>
  <c r="X277" i="3"/>
  <c r="Z277" i="3" s="1"/>
  <c r="L277" i="3"/>
  <c r="N277" i="3" s="1"/>
  <c r="B277" i="3"/>
  <c r="Z276" i="3"/>
  <c r="X276" i="3"/>
  <c r="N276" i="3"/>
  <c r="L276" i="3"/>
  <c r="B276" i="3"/>
  <c r="X275" i="3"/>
  <c r="Z275" i="3" s="1"/>
  <c r="L275" i="3"/>
  <c r="N275" i="3" s="1"/>
  <c r="B275" i="3"/>
  <c r="T274" i="3"/>
  <c r="P274" i="3"/>
  <c r="X274" i="3" s="1"/>
  <c r="H274" i="3"/>
  <c r="D274" i="3"/>
  <c r="L274" i="3" s="1"/>
  <c r="N274" i="3" s="1"/>
  <c r="B274" i="3"/>
  <c r="X273" i="3"/>
  <c r="Z273" i="3" s="1"/>
  <c r="L273" i="3"/>
  <c r="N273" i="3" s="1"/>
  <c r="B273" i="3"/>
  <c r="Z272" i="3"/>
  <c r="X272" i="3"/>
  <c r="N272" i="3"/>
  <c r="L272" i="3"/>
  <c r="B272" i="3"/>
  <c r="T271" i="3"/>
  <c r="P271" i="3"/>
  <c r="H271" i="3"/>
  <c r="D271" i="3"/>
  <c r="L271" i="3" s="1"/>
  <c r="N271" i="3" s="1"/>
  <c r="B271" i="3"/>
  <c r="Z270" i="3"/>
  <c r="X270" i="3"/>
  <c r="L270" i="3"/>
  <c r="N270" i="3" s="1"/>
  <c r="B270" i="3"/>
  <c r="X269" i="3"/>
  <c r="Z269" i="3" s="1"/>
  <c r="L269" i="3"/>
  <c r="N269" i="3" s="1"/>
  <c r="B269" i="3"/>
  <c r="Z268" i="3"/>
  <c r="X268" i="3"/>
  <c r="N268" i="3"/>
  <c r="L268" i="3"/>
  <c r="B268" i="3"/>
  <c r="Z267" i="3"/>
  <c r="X267" i="3"/>
  <c r="N267" i="3"/>
  <c r="L267" i="3"/>
  <c r="B267" i="3"/>
  <c r="Z266" i="3"/>
  <c r="X266" i="3"/>
  <c r="L266" i="3"/>
  <c r="N266" i="3" s="1"/>
  <c r="B266" i="3"/>
  <c r="X265" i="3"/>
  <c r="T265" i="3"/>
  <c r="P265" i="3"/>
  <c r="H265" i="3"/>
  <c r="D265" i="3"/>
  <c r="L265" i="3" s="1"/>
  <c r="B265" i="3"/>
  <c r="Z264" i="3"/>
  <c r="X264" i="3"/>
  <c r="N264" i="3"/>
  <c r="L264" i="3"/>
  <c r="B264" i="3"/>
  <c r="X263" i="3"/>
  <c r="Z263" i="3" s="1"/>
  <c r="L263" i="3"/>
  <c r="N263" i="3" s="1"/>
  <c r="B263" i="3"/>
  <c r="X262" i="3"/>
  <c r="Z262" i="3" s="1"/>
  <c r="N262" i="3"/>
  <c r="L262" i="3"/>
  <c r="B262" i="3"/>
  <c r="X261" i="3"/>
  <c r="Z261" i="3" s="1"/>
  <c r="T261" i="3"/>
  <c r="P261" i="3"/>
  <c r="H261" i="3"/>
  <c r="D261" i="3"/>
  <c r="L261" i="3" s="1"/>
  <c r="B261" i="3"/>
  <c r="Z260" i="3"/>
  <c r="X260" i="3"/>
  <c r="N260" i="3"/>
  <c r="L260" i="3"/>
  <c r="B260" i="3"/>
  <c r="X259" i="3"/>
  <c r="Z259" i="3" s="1"/>
  <c r="N259" i="3"/>
  <c r="L259" i="3"/>
  <c r="B259" i="3"/>
  <c r="X258" i="3"/>
  <c r="Z258" i="3" s="1"/>
  <c r="N258" i="3"/>
  <c r="L258" i="3"/>
  <c r="B258" i="3"/>
  <c r="X257" i="3"/>
  <c r="Z257" i="3" s="1"/>
  <c r="L257" i="3"/>
  <c r="N257" i="3" s="1"/>
  <c r="B257" i="3"/>
  <c r="Z256" i="3"/>
  <c r="X256" i="3"/>
  <c r="T256" i="3"/>
  <c r="P256" i="3"/>
  <c r="H256" i="3"/>
  <c r="D256" i="3"/>
  <c r="L256" i="3" s="1"/>
  <c r="N256" i="3" s="1"/>
  <c r="B256" i="3"/>
  <c r="Z255" i="3"/>
  <c r="X255" i="3"/>
  <c r="L255" i="3"/>
  <c r="N255" i="3" s="1"/>
  <c r="B255" i="3"/>
  <c r="Z254" i="3"/>
  <c r="X254" i="3"/>
  <c r="T254" i="3"/>
  <c r="P254" i="3"/>
  <c r="H254" i="3"/>
  <c r="D254" i="3"/>
  <c r="L254" i="3" s="1"/>
  <c r="N254" i="3" s="1"/>
  <c r="B254" i="3"/>
  <c r="X253" i="3"/>
  <c r="Z253" i="3" s="1"/>
  <c r="L253" i="3"/>
  <c r="N253" i="3" s="1"/>
  <c r="B253" i="3"/>
  <c r="Z252" i="3"/>
  <c r="T252" i="3"/>
  <c r="X252" i="3" s="1"/>
  <c r="P252" i="3"/>
  <c r="H252" i="3"/>
  <c r="N252" i="3" s="1"/>
  <c r="D252" i="3"/>
  <c r="L252" i="3" s="1"/>
  <c r="B252" i="3"/>
  <c r="X251" i="3"/>
  <c r="Z251" i="3" s="1"/>
  <c r="N251" i="3"/>
  <c r="L251" i="3"/>
  <c r="B251" i="3"/>
  <c r="T250" i="3"/>
  <c r="Z250" i="3" s="1"/>
  <c r="P250" i="3"/>
  <c r="X250" i="3" s="1"/>
  <c r="N250" i="3"/>
  <c r="H250" i="3"/>
  <c r="D250" i="3"/>
  <c r="L250" i="3" s="1"/>
  <c r="B250" i="3"/>
  <c r="X249" i="3"/>
  <c r="Z249" i="3" s="1"/>
  <c r="L249" i="3"/>
  <c r="N249" i="3" s="1"/>
  <c r="B249" i="3"/>
  <c r="T248" i="3"/>
  <c r="P248" i="3"/>
  <c r="X248" i="3" s="1"/>
  <c r="Z248" i="3" s="1"/>
  <c r="N248" i="3"/>
  <c r="L248" i="3"/>
  <c r="H248" i="3"/>
  <c r="D248" i="3"/>
  <c r="B248" i="3"/>
  <c r="Z247" i="3"/>
  <c r="X247" i="3"/>
  <c r="L247" i="3"/>
  <c r="N247" i="3" s="1"/>
  <c r="B247" i="3"/>
  <c r="T246" i="3"/>
  <c r="P246" i="3"/>
  <c r="X246" i="3" s="1"/>
  <c r="H246" i="3"/>
  <c r="D246" i="3"/>
  <c r="L246" i="3" s="1"/>
  <c r="N246" i="3" s="1"/>
  <c r="B246" i="3"/>
  <c r="X245" i="3"/>
  <c r="Z245" i="3" s="1"/>
  <c r="L245" i="3"/>
  <c r="N245" i="3" s="1"/>
  <c r="B245" i="3"/>
  <c r="Z244" i="3"/>
  <c r="X244" i="3"/>
  <c r="T244" i="3"/>
  <c r="P244" i="3"/>
  <c r="H244" i="3"/>
  <c r="D244" i="3"/>
  <c r="L244" i="3" s="1"/>
  <c r="B244" i="3"/>
  <c r="Z243" i="3"/>
  <c r="X243" i="3"/>
  <c r="N243" i="3"/>
  <c r="L243" i="3"/>
  <c r="B243" i="3"/>
  <c r="Z242" i="3"/>
  <c r="X242" i="3"/>
  <c r="N242" i="3"/>
  <c r="L242" i="3"/>
  <c r="B242" i="3"/>
  <c r="T241" i="3"/>
  <c r="P241" i="3"/>
  <c r="H241" i="3"/>
  <c r="D241" i="3"/>
  <c r="B241" i="3"/>
  <c r="Z240" i="3"/>
  <c r="X240" i="3"/>
  <c r="N240" i="3"/>
  <c r="L240" i="3"/>
  <c r="B240" i="3"/>
  <c r="X239" i="3"/>
  <c r="Z239" i="3" s="1"/>
  <c r="L239" i="3"/>
  <c r="N239" i="3" s="1"/>
  <c r="B239" i="3"/>
  <c r="T238" i="3"/>
  <c r="P238" i="3"/>
  <c r="X238" i="3" s="1"/>
  <c r="N238" i="3"/>
  <c r="H238" i="3"/>
  <c r="D238" i="3"/>
  <c r="L238" i="3" s="1"/>
  <c r="B238" i="3"/>
  <c r="X237" i="3"/>
  <c r="Z237" i="3" s="1"/>
  <c r="L237" i="3"/>
  <c r="N237" i="3" s="1"/>
  <c r="B237" i="3"/>
  <c r="Z236" i="3"/>
  <c r="X236" i="3"/>
  <c r="T236" i="3"/>
  <c r="P236" i="3"/>
  <c r="H236" i="3"/>
  <c r="N236" i="3" s="1"/>
  <c r="D236" i="3"/>
  <c r="L236" i="3" s="1"/>
  <c r="B236" i="3"/>
  <c r="Z235" i="3"/>
  <c r="X235" i="3"/>
  <c r="N235" i="3"/>
  <c r="L235" i="3"/>
  <c r="B235" i="3"/>
  <c r="Z234" i="3"/>
  <c r="X234" i="3"/>
  <c r="T234" i="3"/>
  <c r="P234" i="3"/>
  <c r="H234" i="3"/>
  <c r="D234" i="3"/>
  <c r="L234" i="3" s="1"/>
  <c r="N234" i="3" s="1"/>
  <c r="B234" i="3"/>
  <c r="X233" i="3"/>
  <c r="Z233" i="3" s="1"/>
  <c r="L233" i="3"/>
  <c r="N233" i="3" s="1"/>
  <c r="B233" i="3"/>
  <c r="Z232" i="3"/>
  <c r="T232" i="3"/>
  <c r="X232" i="3" s="1"/>
  <c r="P232" i="3"/>
  <c r="H232" i="3"/>
  <c r="D232" i="3"/>
  <c r="L232" i="3" s="1"/>
  <c r="B232" i="3"/>
  <c r="X231" i="3"/>
  <c r="Z231" i="3" s="1"/>
  <c r="N231" i="3"/>
  <c r="L231" i="3"/>
  <c r="B231" i="3"/>
  <c r="X230" i="3"/>
  <c r="Z230" i="3" s="1"/>
  <c r="N230" i="3"/>
  <c r="L230" i="3"/>
  <c r="B230" i="3"/>
  <c r="X229" i="3"/>
  <c r="T229" i="3"/>
  <c r="Z229" i="3" s="1"/>
  <c r="P229" i="3"/>
  <c r="H229" i="3"/>
  <c r="D229" i="3"/>
  <c r="B229" i="3"/>
  <c r="Z228" i="3"/>
  <c r="X228" i="3"/>
  <c r="N228" i="3"/>
  <c r="L228" i="3"/>
  <c r="B228" i="3"/>
  <c r="X227" i="3"/>
  <c r="Z227" i="3" s="1"/>
  <c r="L227" i="3"/>
  <c r="N227" i="3" s="1"/>
  <c r="B227" i="3"/>
  <c r="Z226" i="3"/>
  <c r="X226" i="3"/>
  <c r="N226" i="3"/>
  <c r="L226" i="3"/>
  <c r="B226" i="3"/>
  <c r="X225" i="3"/>
  <c r="T225" i="3"/>
  <c r="P225" i="3"/>
  <c r="H225" i="3"/>
  <c r="D225" i="3"/>
  <c r="B225" i="3"/>
  <c r="Z224" i="3"/>
  <c r="X224" i="3"/>
  <c r="N224" i="3"/>
  <c r="L224" i="3"/>
  <c r="B224" i="3"/>
  <c r="T223" i="3"/>
  <c r="P223" i="3"/>
  <c r="L223" i="3"/>
  <c r="N223" i="3" s="1"/>
  <c r="H223" i="3"/>
  <c r="D223" i="3"/>
  <c r="B223" i="3"/>
  <c r="X222" i="3"/>
  <c r="Z222" i="3" s="1"/>
  <c r="N222" i="3"/>
  <c r="L222" i="3"/>
  <c r="B222" i="3"/>
  <c r="X221" i="3"/>
  <c r="Z221" i="3" s="1"/>
  <c r="L221" i="3"/>
  <c r="N221" i="3" s="1"/>
  <c r="B221" i="3"/>
  <c r="T220" i="3"/>
  <c r="P220" i="3"/>
  <c r="X220" i="3" s="1"/>
  <c r="Z220" i="3" s="1"/>
  <c r="H220" i="3"/>
  <c r="D220" i="3"/>
  <c r="L220" i="3" s="1"/>
  <c r="B220" i="3"/>
  <c r="X219" i="3"/>
  <c r="Z219" i="3" s="1"/>
  <c r="L219" i="3"/>
  <c r="N219" i="3" s="1"/>
  <c r="B219" i="3"/>
  <c r="Z218" i="3"/>
  <c r="X218" i="3"/>
  <c r="T218" i="3"/>
  <c r="P218" i="3"/>
  <c r="H218" i="3"/>
  <c r="D218" i="3"/>
  <c r="L218" i="3" s="1"/>
  <c r="N218" i="3" s="1"/>
  <c r="B218" i="3"/>
  <c r="X217" i="3"/>
  <c r="Z217" i="3" s="1"/>
  <c r="L217" i="3"/>
  <c r="N217" i="3" s="1"/>
  <c r="B217" i="3"/>
  <c r="Z216" i="3"/>
  <c r="X216" i="3"/>
  <c r="N216" i="3"/>
  <c r="L216" i="3"/>
  <c r="B216" i="3"/>
  <c r="X215" i="3"/>
  <c r="Z215" i="3" s="1"/>
  <c r="L215" i="3"/>
  <c r="N215" i="3" s="1"/>
  <c r="B215" i="3"/>
  <c r="X214" i="3"/>
  <c r="Z214" i="3" s="1"/>
  <c r="L214" i="3"/>
  <c r="N214" i="3" s="1"/>
  <c r="B214" i="3"/>
  <c r="X213" i="3"/>
  <c r="Z213" i="3" s="1"/>
  <c r="L213" i="3"/>
  <c r="N213" i="3" s="1"/>
  <c r="B213" i="3"/>
  <c r="Z212" i="3"/>
  <c r="X212" i="3"/>
  <c r="N212" i="3"/>
  <c r="L212" i="3"/>
  <c r="B212" i="3"/>
  <c r="X211" i="3"/>
  <c r="Z211" i="3" s="1"/>
  <c r="L211" i="3"/>
  <c r="N211" i="3" s="1"/>
  <c r="B211" i="3"/>
  <c r="T210" i="3"/>
  <c r="P210" i="3"/>
  <c r="X210" i="3" s="1"/>
  <c r="N210" i="3"/>
  <c r="H210" i="3"/>
  <c r="D210" i="3"/>
  <c r="L210" i="3" s="1"/>
  <c r="B210" i="3"/>
  <c r="X209" i="3"/>
  <c r="Z209" i="3" s="1"/>
  <c r="L209" i="3"/>
  <c r="N209" i="3" s="1"/>
  <c r="B209" i="3"/>
  <c r="Z208" i="3"/>
  <c r="X208" i="3"/>
  <c r="N208" i="3"/>
  <c r="L208" i="3"/>
  <c r="B208" i="3"/>
  <c r="X207" i="3"/>
  <c r="Z207" i="3" s="1"/>
  <c r="N207" i="3"/>
  <c r="L207" i="3"/>
  <c r="B207" i="3"/>
  <c r="X206" i="3"/>
  <c r="Z206" i="3" s="1"/>
  <c r="N206" i="3"/>
  <c r="L206" i="3"/>
  <c r="B206" i="3"/>
  <c r="Z205" i="3"/>
  <c r="X205" i="3"/>
  <c r="N205" i="3"/>
  <c r="L205" i="3"/>
  <c r="B205" i="3"/>
  <c r="Z204" i="3"/>
  <c r="X204" i="3"/>
  <c r="N204" i="3"/>
  <c r="L204" i="3"/>
  <c r="B204" i="3"/>
  <c r="X203" i="3"/>
  <c r="Z203" i="3" s="1"/>
  <c r="N203" i="3"/>
  <c r="L203" i="3"/>
  <c r="B203" i="3"/>
  <c r="X202" i="3"/>
  <c r="Z202" i="3" s="1"/>
  <c r="N202" i="3"/>
  <c r="L202" i="3"/>
  <c r="B202" i="3"/>
  <c r="X201" i="3"/>
  <c r="Z201" i="3" s="1"/>
  <c r="L201" i="3"/>
  <c r="N201" i="3" s="1"/>
  <c r="B201" i="3"/>
  <c r="Z200" i="3"/>
  <c r="X200" i="3"/>
  <c r="N200" i="3"/>
  <c r="L200" i="3"/>
  <c r="B200" i="3"/>
  <c r="X199" i="3"/>
  <c r="T199" i="3"/>
  <c r="P199" i="3"/>
  <c r="L199" i="3"/>
  <c r="H199" i="3"/>
  <c r="N199" i="3" s="1"/>
  <c r="D199" i="3"/>
  <c r="B199" i="3"/>
  <c r="X198" i="3"/>
  <c r="Z198" i="3" s="1"/>
  <c r="T198" i="3"/>
  <c r="P198" i="3"/>
  <c r="H198" i="3"/>
  <c r="N198" i="3" s="1"/>
  <c r="D198" i="3"/>
  <c r="L198" i="3" s="1"/>
  <c r="Z194" i="3"/>
  <c r="X194" i="3"/>
  <c r="N194" i="3"/>
  <c r="L194" i="3"/>
  <c r="B194" i="3"/>
  <c r="X193" i="3"/>
  <c r="Z193" i="3" s="1"/>
  <c r="L193" i="3"/>
  <c r="N193" i="3" s="1"/>
  <c r="B193" i="3"/>
  <c r="Z192" i="3"/>
  <c r="X192" i="3"/>
  <c r="N192" i="3"/>
  <c r="L192" i="3"/>
  <c r="B192" i="3"/>
  <c r="Z191" i="3"/>
  <c r="X191" i="3"/>
  <c r="N191" i="3"/>
  <c r="L191" i="3"/>
  <c r="B191" i="3"/>
  <c r="Z190" i="3"/>
  <c r="X190" i="3"/>
  <c r="N190" i="3"/>
  <c r="L190" i="3"/>
  <c r="B190" i="3"/>
  <c r="X189" i="3"/>
  <c r="Z189" i="3" s="1"/>
  <c r="L189" i="3"/>
  <c r="N189" i="3" s="1"/>
  <c r="B189" i="3"/>
  <c r="Z188" i="3"/>
  <c r="X188" i="3"/>
  <c r="N188" i="3"/>
  <c r="L188" i="3"/>
  <c r="B188" i="3"/>
  <c r="Z187" i="3"/>
  <c r="X187" i="3"/>
  <c r="N187" i="3"/>
  <c r="L187" i="3"/>
  <c r="B187" i="3"/>
  <c r="Z186" i="3"/>
  <c r="X186" i="3"/>
  <c r="N186" i="3"/>
  <c r="L186" i="3"/>
  <c r="B186" i="3"/>
  <c r="X185" i="3"/>
  <c r="Z185" i="3" s="1"/>
  <c r="L185" i="3"/>
  <c r="N185" i="3" s="1"/>
  <c r="B185" i="3"/>
  <c r="Z184" i="3"/>
  <c r="X184" i="3"/>
  <c r="N184" i="3"/>
  <c r="L184" i="3"/>
  <c r="B184" i="3"/>
  <c r="Z183" i="3"/>
  <c r="X183" i="3"/>
  <c r="L183" i="3"/>
  <c r="N183" i="3" s="1"/>
  <c r="B183" i="3"/>
  <c r="Z182" i="3"/>
  <c r="X182" i="3"/>
  <c r="L182" i="3"/>
  <c r="N182" i="3" s="1"/>
  <c r="B182" i="3"/>
  <c r="X181" i="3"/>
  <c r="Z181" i="3" s="1"/>
  <c r="N181" i="3"/>
  <c r="L181" i="3"/>
  <c r="B181" i="3"/>
  <c r="Z180" i="3"/>
  <c r="X180" i="3"/>
  <c r="N180" i="3"/>
  <c r="L180" i="3"/>
  <c r="B180" i="3"/>
  <c r="Z179" i="3"/>
  <c r="X179" i="3"/>
  <c r="N179" i="3"/>
  <c r="L179" i="3"/>
  <c r="B179" i="3"/>
  <c r="Z178" i="3"/>
  <c r="X178" i="3"/>
  <c r="N178" i="3"/>
  <c r="L178" i="3"/>
  <c r="B178" i="3"/>
  <c r="X177" i="3"/>
  <c r="Z177" i="3" s="1"/>
  <c r="N177" i="3"/>
  <c r="L177" i="3"/>
  <c r="B177" i="3"/>
  <c r="Z176" i="3"/>
  <c r="X176" i="3"/>
  <c r="N176" i="3"/>
  <c r="L176" i="3"/>
  <c r="B176" i="3"/>
  <c r="Z175" i="3"/>
  <c r="X175" i="3"/>
  <c r="L175" i="3"/>
  <c r="N175" i="3" s="1"/>
  <c r="B175" i="3"/>
  <c r="X174" i="3"/>
  <c r="Z174" i="3" s="1"/>
  <c r="L174" i="3"/>
  <c r="N174" i="3" s="1"/>
  <c r="B174" i="3"/>
  <c r="X173" i="3"/>
  <c r="Z173" i="3" s="1"/>
  <c r="N173" i="3"/>
  <c r="L173" i="3"/>
  <c r="B173" i="3"/>
  <c r="Z172" i="3"/>
  <c r="X172" i="3"/>
  <c r="N172" i="3"/>
  <c r="L172" i="3"/>
  <c r="B172" i="3"/>
  <c r="Z171" i="3"/>
  <c r="X171" i="3"/>
  <c r="N171" i="3"/>
  <c r="L171" i="3"/>
  <c r="B171" i="3"/>
  <c r="Z170" i="3"/>
  <c r="X170" i="3"/>
  <c r="L170" i="3"/>
  <c r="N170" i="3" s="1"/>
  <c r="B170" i="3"/>
  <c r="X169" i="3"/>
  <c r="Z169" i="3" s="1"/>
  <c r="N169" i="3"/>
  <c r="L169" i="3"/>
  <c r="B169" i="3"/>
  <c r="Z168" i="3"/>
  <c r="X168" i="3"/>
  <c r="N168" i="3"/>
  <c r="L168" i="3"/>
  <c r="B168" i="3"/>
  <c r="Z167" i="3"/>
  <c r="X167" i="3"/>
  <c r="N167" i="3"/>
  <c r="L167" i="3"/>
  <c r="B167" i="3"/>
  <c r="Z166" i="3"/>
  <c r="X166" i="3"/>
  <c r="N166" i="3"/>
  <c r="L166" i="3"/>
  <c r="B166" i="3"/>
  <c r="X165" i="3"/>
  <c r="Z165" i="3" s="1"/>
  <c r="L165" i="3"/>
  <c r="N165" i="3" s="1"/>
  <c r="B165" i="3"/>
  <c r="Z164" i="3"/>
  <c r="X164" i="3"/>
  <c r="L164" i="3"/>
  <c r="N164" i="3" s="1"/>
  <c r="B164" i="3"/>
  <c r="Z163" i="3"/>
  <c r="X163" i="3"/>
  <c r="L163" i="3"/>
  <c r="N163" i="3" s="1"/>
  <c r="B163" i="3"/>
  <c r="X162" i="3"/>
  <c r="Z162" i="3" s="1"/>
  <c r="L162" i="3"/>
  <c r="N162" i="3" s="1"/>
  <c r="B162" i="3"/>
  <c r="Z161" i="3"/>
  <c r="X161" i="3"/>
  <c r="N161" i="3"/>
  <c r="L161" i="3"/>
  <c r="B161" i="3"/>
  <c r="Z160" i="3"/>
  <c r="X160" i="3"/>
  <c r="L160" i="3"/>
  <c r="N160" i="3" s="1"/>
  <c r="B160" i="3"/>
  <c r="Z159" i="3"/>
  <c r="X159" i="3"/>
  <c r="L159" i="3"/>
  <c r="N159" i="3" s="1"/>
  <c r="B159" i="3"/>
  <c r="X158" i="3"/>
  <c r="Z158" i="3" s="1"/>
  <c r="L158" i="3"/>
  <c r="N158" i="3" s="1"/>
  <c r="B158" i="3"/>
  <c r="X157" i="3"/>
  <c r="Z157" i="3" s="1"/>
  <c r="N157" i="3"/>
  <c r="L157" i="3"/>
  <c r="B157" i="3"/>
  <c r="Z156" i="3"/>
  <c r="X156" i="3"/>
  <c r="L156" i="3"/>
  <c r="N156" i="3" s="1"/>
  <c r="B156" i="3"/>
  <c r="Z155" i="3"/>
  <c r="X155" i="3"/>
  <c r="L155" i="3"/>
  <c r="N155" i="3" s="1"/>
  <c r="B155" i="3"/>
  <c r="Z154" i="3"/>
  <c r="X154" i="3"/>
  <c r="N154" i="3"/>
  <c r="L154" i="3"/>
  <c r="B154" i="3"/>
  <c r="X153" i="3"/>
  <c r="Z153" i="3" s="1"/>
  <c r="L153" i="3"/>
  <c r="N153" i="3" s="1"/>
  <c r="B153" i="3"/>
  <c r="Z152" i="3"/>
  <c r="X152" i="3"/>
  <c r="N152" i="3"/>
  <c r="L152" i="3"/>
  <c r="B152" i="3"/>
  <c r="Z151" i="3"/>
  <c r="X151" i="3"/>
  <c r="L151" i="3"/>
  <c r="N151" i="3" s="1"/>
  <c r="B151" i="3"/>
  <c r="X150" i="3"/>
  <c r="Z150" i="3" s="1"/>
  <c r="L150" i="3"/>
  <c r="N150" i="3" s="1"/>
  <c r="B150" i="3"/>
  <c r="Z149" i="3"/>
  <c r="X149" i="3"/>
  <c r="L149" i="3"/>
  <c r="N149" i="3" s="1"/>
  <c r="B149" i="3"/>
  <c r="Z148" i="3"/>
  <c r="X148" i="3"/>
  <c r="N148" i="3"/>
  <c r="L148" i="3"/>
  <c r="B148" i="3"/>
  <c r="Z147" i="3"/>
  <c r="X147" i="3"/>
  <c r="L147" i="3"/>
  <c r="N147" i="3" s="1"/>
  <c r="B147" i="3"/>
  <c r="X146" i="3"/>
  <c r="Z146" i="3" s="1"/>
  <c r="L146" i="3"/>
  <c r="N146" i="3" s="1"/>
  <c r="B146" i="3"/>
  <c r="Z145" i="3"/>
  <c r="X145" i="3"/>
  <c r="L145" i="3"/>
  <c r="N145" i="3" s="1"/>
  <c r="B145" i="3"/>
  <c r="Z144" i="3"/>
  <c r="X144" i="3"/>
  <c r="L144" i="3"/>
  <c r="N144" i="3" s="1"/>
  <c r="B144" i="3"/>
  <c r="Z143" i="3"/>
  <c r="X143" i="3"/>
  <c r="N143" i="3"/>
  <c r="L143" i="3"/>
  <c r="B143" i="3"/>
  <c r="X142" i="3"/>
  <c r="Z142" i="3" s="1"/>
  <c r="L142" i="3"/>
  <c r="N142" i="3" s="1"/>
  <c r="B142" i="3"/>
  <c r="X141" i="3"/>
  <c r="Z141" i="3" s="1"/>
  <c r="N141" i="3"/>
  <c r="L141" i="3"/>
  <c r="B141" i="3"/>
  <c r="Z140" i="3"/>
  <c r="X140" i="3"/>
  <c r="L140" i="3"/>
  <c r="N140" i="3" s="1"/>
  <c r="B140" i="3"/>
  <c r="Z139" i="3"/>
  <c r="X139" i="3"/>
  <c r="L139" i="3"/>
  <c r="N139" i="3" s="1"/>
  <c r="B139" i="3"/>
  <c r="X138" i="3"/>
  <c r="Z138" i="3" s="1"/>
  <c r="N138" i="3"/>
  <c r="L138" i="3"/>
  <c r="B138" i="3"/>
  <c r="Z137" i="3"/>
  <c r="X137" i="3"/>
  <c r="L137" i="3"/>
  <c r="N137" i="3" s="1"/>
  <c r="B137" i="3"/>
  <c r="Z136" i="3"/>
  <c r="X136" i="3"/>
  <c r="N136" i="3"/>
  <c r="L136" i="3"/>
  <c r="B136" i="3"/>
  <c r="T135" i="3"/>
  <c r="P135" i="3"/>
  <c r="L135" i="3"/>
  <c r="N135" i="3" s="1"/>
  <c r="H135" i="3"/>
  <c r="D135" i="3"/>
  <c r="T133" i="3"/>
  <c r="Z133" i="3" s="1"/>
  <c r="P133" i="3"/>
  <c r="X133" i="3" s="1"/>
  <c r="H133" i="3"/>
  <c r="D133" i="3"/>
  <c r="L133" i="3" s="1"/>
  <c r="B133" i="3"/>
  <c r="T132" i="3"/>
  <c r="X132" i="3" s="1"/>
  <c r="Z132" i="3" s="1"/>
  <c r="P132" i="3"/>
  <c r="N132" i="3"/>
  <c r="H132" i="3"/>
  <c r="L132" i="3" s="1"/>
  <c r="D132" i="3"/>
  <c r="B132" i="3"/>
  <c r="T131" i="3"/>
  <c r="P131" i="3"/>
  <c r="X131" i="3" s="1"/>
  <c r="Z131" i="3" s="1"/>
  <c r="N131" i="3"/>
  <c r="H131" i="3"/>
  <c r="D131" i="3"/>
  <c r="L131" i="3" s="1"/>
  <c r="B131" i="3"/>
  <c r="X130" i="3"/>
  <c r="T130" i="3"/>
  <c r="Z130" i="3" s="1"/>
  <c r="P130" i="3"/>
  <c r="H130" i="3"/>
  <c r="L130" i="3" s="1"/>
  <c r="D130" i="3"/>
  <c r="B130" i="3"/>
  <c r="X129" i="3"/>
  <c r="T129" i="3"/>
  <c r="Z129" i="3" s="1"/>
  <c r="P129" i="3"/>
  <c r="H129" i="3"/>
  <c r="D129" i="3"/>
  <c r="L129" i="3" s="1"/>
  <c r="N129" i="3" s="1"/>
  <c r="B129" i="3"/>
  <c r="T128" i="3"/>
  <c r="X128" i="3" s="1"/>
  <c r="Z128" i="3" s="1"/>
  <c r="P128" i="3"/>
  <c r="H128" i="3"/>
  <c r="D128" i="3"/>
  <c r="L128" i="3" s="1"/>
  <c r="N128" i="3" s="1"/>
  <c r="B128" i="3"/>
  <c r="T127" i="3"/>
  <c r="P127" i="3"/>
  <c r="X127" i="3" s="1"/>
  <c r="Z127" i="3" s="1"/>
  <c r="H127" i="3"/>
  <c r="D127" i="3"/>
  <c r="L127" i="3" s="1"/>
  <c r="N127" i="3" s="1"/>
  <c r="B127" i="3"/>
  <c r="X126" i="3"/>
  <c r="T126" i="3"/>
  <c r="Z126" i="3" s="1"/>
  <c r="P126" i="3"/>
  <c r="H126" i="3"/>
  <c r="L126" i="3" s="1"/>
  <c r="D126" i="3"/>
  <c r="B126" i="3"/>
  <c r="T125" i="3"/>
  <c r="P125" i="3"/>
  <c r="H125" i="3"/>
  <c r="D125" i="3"/>
  <c r="L125" i="3" s="1"/>
  <c r="N125" i="3" s="1"/>
  <c r="B125" i="3"/>
  <c r="T124" i="3"/>
  <c r="X124" i="3" s="1"/>
  <c r="Z124" i="3" s="1"/>
  <c r="P124" i="3"/>
  <c r="H124" i="3"/>
  <c r="D124" i="3"/>
  <c r="L124" i="3" s="1"/>
  <c r="N124" i="3" s="1"/>
  <c r="B124" i="3"/>
  <c r="T123" i="3"/>
  <c r="P123" i="3"/>
  <c r="X123" i="3" s="1"/>
  <c r="Z123" i="3" s="1"/>
  <c r="N123" i="3"/>
  <c r="H123" i="3"/>
  <c r="D123" i="3"/>
  <c r="L123" i="3" s="1"/>
  <c r="B123" i="3"/>
  <c r="X122" i="3"/>
  <c r="T122" i="3"/>
  <c r="Z122" i="3" s="1"/>
  <c r="P122" i="3"/>
  <c r="H122" i="3"/>
  <c r="L122" i="3" s="1"/>
  <c r="D122" i="3"/>
  <c r="B122" i="3"/>
  <c r="T121" i="3"/>
  <c r="P121" i="3"/>
  <c r="H121" i="3"/>
  <c r="D121" i="3"/>
  <c r="L121" i="3" s="1"/>
  <c r="N121" i="3" s="1"/>
  <c r="B121" i="3"/>
  <c r="T120" i="3"/>
  <c r="X120" i="3" s="1"/>
  <c r="Z120" i="3" s="1"/>
  <c r="P120" i="3"/>
  <c r="N120" i="3"/>
  <c r="H120" i="3"/>
  <c r="D120" i="3"/>
  <c r="L120" i="3" s="1"/>
  <c r="B120" i="3"/>
  <c r="T119" i="3"/>
  <c r="P119" i="3"/>
  <c r="X119" i="3" s="1"/>
  <c r="Z119" i="3" s="1"/>
  <c r="N119" i="3"/>
  <c r="H119" i="3"/>
  <c r="D119" i="3"/>
  <c r="L119" i="3" s="1"/>
  <c r="B119" i="3"/>
  <c r="X118" i="3"/>
  <c r="T118" i="3"/>
  <c r="Z118" i="3" s="1"/>
  <c r="P118" i="3"/>
  <c r="H118" i="3"/>
  <c r="L118" i="3" s="1"/>
  <c r="D118" i="3"/>
  <c r="B118" i="3"/>
  <c r="T117" i="3"/>
  <c r="P117" i="3"/>
  <c r="H117" i="3"/>
  <c r="L117" i="3" s="1"/>
  <c r="N117" i="3" s="1"/>
  <c r="D117" i="3"/>
  <c r="B117" i="3"/>
  <c r="T116" i="3"/>
  <c r="X116" i="3" s="1"/>
  <c r="Z116" i="3" s="1"/>
  <c r="P116" i="3"/>
  <c r="N116" i="3"/>
  <c r="H116" i="3"/>
  <c r="D116" i="3"/>
  <c r="L116" i="3" s="1"/>
  <c r="B116" i="3"/>
  <c r="T115" i="3"/>
  <c r="P115" i="3"/>
  <c r="X115" i="3" s="1"/>
  <c r="Z115" i="3" s="1"/>
  <c r="N115" i="3"/>
  <c r="L115" i="3"/>
  <c r="H115" i="3"/>
  <c r="D115" i="3"/>
  <c r="B115" i="3"/>
  <c r="X114" i="3"/>
  <c r="T114" i="3"/>
  <c r="Z114" i="3" s="1"/>
  <c r="P114" i="3"/>
  <c r="H114" i="3"/>
  <c r="L114" i="3" s="1"/>
  <c r="D114" i="3"/>
  <c r="B114" i="3"/>
  <c r="T113" i="3"/>
  <c r="P113" i="3"/>
  <c r="H113" i="3"/>
  <c r="L113" i="3" s="1"/>
  <c r="N113" i="3" s="1"/>
  <c r="D113" i="3"/>
  <c r="B113" i="3"/>
  <c r="T112" i="3"/>
  <c r="X112" i="3" s="1"/>
  <c r="Z112" i="3" s="1"/>
  <c r="P112" i="3"/>
  <c r="H112" i="3"/>
  <c r="D112" i="3"/>
  <c r="L112" i="3" s="1"/>
  <c r="N112" i="3" s="1"/>
  <c r="B112" i="3"/>
  <c r="T111" i="3"/>
  <c r="P111" i="3"/>
  <c r="X111" i="3" s="1"/>
  <c r="Z111" i="3" s="1"/>
  <c r="L111" i="3"/>
  <c r="N111" i="3" s="1"/>
  <c r="H111" i="3"/>
  <c r="D111" i="3"/>
  <c r="B111" i="3"/>
  <c r="X110" i="3"/>
  <c r="T110" i="3"/>
  <c r="Z110" i="3" s="1"/>
  <c r="P110" i="3"/>
  <c r="H110" i="3"/>
  <c r="L110" i="3" s="1"/>
  <c r="D110" i="3"/>
  <c r="B110" i="3"/>
  <c r="T109" i="3"/>
  <c r="P109" i="3"/>
  <c r="H109" i="3"/>
  <c r="L109" i="3" s="1"/>
  <c r="N109" i="3" s="1"/>
  <c r="D109" i="3"/>
  <c r="B109" i="3"/>
  <c r="T108" i="3"/>
  <c r="X108" i="3" s="1"/>
  <c r="Z108" i="3" s="1"/>
  <c r="P108" i="3"/>
  <c r="H108" i="3"/>
  <c r="D108" i="3"/>
  <c r="L108" i="3" s="1"/>
  <c r="N108" i="3" s="1"/>
  <c r="B108" i="3"/>
  <c r="T107" i="3"/>
  <c r="P107" i="3"/>
  <c r="X107" i="3" s="1"/>
  <c r="Z107" i="3" s="1"/>
  <c r="L107" i="3"/>
  <c r="N107" i="3" s="1"/>
  <c r="H107" i="3"/>
  <c r="D107" i="3"/>
  <c r="B107" i="3"/>
  <c r="X106" i="3"/>
  <c r="T106" i="3"/>
  <c r="Z106" i="3" s="1"/>
  <c r="P106" i="3"/>
  <c r="H106" i="3"/>
  <c r="L106" i="3" s="1"/>
  <c r="D106" i="3"/>
  <c r="B106" i="3"/>
  <c r="T105" i="3"/>
  <c r="P105" i="3"/>
  <c r="N105" i="3"/>
  <c r="H105" i="3"/>
  <c r="L105" i="3" s="1"/>
  <c r="D105" i="3"/>
  <c r="B105" i="3"/>
  <c r="T104" i="3"/>
  <c r="X104" i="3" s="1"/>
  <c r="Z104" i="3" s="1"/>
  <c r="P104" i="3"/>
  <c r="H104" i="3"/>
  <c r="D104" i="3"/>
  <c r="L104" i="3" s="1"/>
  <c r="N104" i="3" s="1"/>
  <c r="B104" i="3"/>
  <c r="T103" i="3"/>
  <c r="P103" i="3"/>
  <c r="X103" i="3" s="1"/>
  <c r="Z103" i="3" s="1"/>
  <c r="L103" i="3"/>
  <c r="N103" i="3" s="1"/>
  <c r="H103" i="3"/>
  <c r="D103" i="3"/>
  <c r="B103" i="3"/>
  <c r="X102" i="3"/>
  <c r="T102" i="3"/>
  <c r="Z102" i="3" s="1"/>
  <c r="P102" i="3"/>
  <c r="H102" i="3"/>
  <c r="L102" i="3" s="1"/>
  <c r="D102" i="3"/>
  <c r="B102" i="3"/>
  <c r="T101" i="3"/>
  <c r="P101" i="3"/>
  <c r="H101" i="3"/>
  <c r="L101" i="3" s="1"/>
  <c r="N101" i="3" s="1"/>
  <c r="D101" i="3"/>
  <c r="B101" i="3"/>
  <c r="T100" i="3"/>
  <c r="X100" i="3" s="1"/>
  <c r="Z100" i="3" s="1"/>
  <c r="P100" i="3"/>
  <c r="H100" i="3"/>
  <c r="D100" i="3"/>
  <c r="L100" i="3" s="1"/>
  <c r="N100" i="3" s="1"/>
  <c r="B100" i="3"/>
  <c r="T99" i="3"/>
  <c r="P99" i="3"/>
  <c r="X99" i="3" s="1"/>
  <c r="Z99" i="3" s="1"/>
  <c r="N99" i="3"/>
  <c r="L99" i="3"/>
  <c r="H99" i="3"/>
  <c r="D99" i="3"/>
  <c r="B99" i="3"/>
  <c r="X98" i="3"/>
  <c r="T98" i="3"/>
  <c r="Z98" i="3" s="1"/>
  <c r="P98" i="3"/>
  <c r="H98" i="3"/>
  <c r="L98" i="3" s="1"/>
  <c r="D98" i="3"/>
  <c r="B98" i="3"/>
  <c r="T97" i="3"/>
  <c r="P97" i="3"/>
  <c r="H97" i="3"/>
  <c r="L97" i="3" s="1"/>
  <c r="N97" i="3" s="1"/>
  <c r="D97" i="3"/>
  <c r="B97" i="3"/>
  <c r="T96" i="3"/>
  <c r="X96" i="3" s="1"/>
  <c r="Z96" i="3" s="1"/>
  <c r="P96" i="3"/>
  <c r="H96" i="3"/>
  <c r="D96" i="3"/>
  <c r="L96" i="3" s="1"/>
  <c r="N96" i="3" s="1"/>
  <c r="B96" i="3"/>
  <c r="T95" i="3"/>
  <c r="P95" i="3"/>
  <c r="X95" i="3" s="1"/>
  <c r="Z95" i="3" s="1"/>
  <c r="N95" i="3"/>
  <c r="L95" i="3"/>
  <c r="H95" i="3"/>
  <c r="D95" i="3"/>
  <c r="B95" i="3"/>
  <c r="X94" i="3"/>
  <c r="T94" i="3"/>
  <c r="Z94" i="3" s="1"/>
  <c r="P94" i="3"/>
  <c r="H94" i="3"/>
  <c r="L94" i="3" s="1"/>
  <c r="D94" i="3"/>
  <c r="B94" i="3"/>
  <c r="T93" i="3"/>
  <c r="P93" i="3"/>
  <c r="H93" i="3"/>
  <c r="L93" i="3" s="1"/>
  <c r="N93" i="3" s="1"/>
  <c r="D93" i="3"/>
  <c r="B93" i="3"/>
  <c r="T92" i="3"/>
  <c r="X92" i="3" s="1"/>
  <c r="Z92" i="3" s="1"/>
  <c r="P92" i="3"/>
  <c r="N92" i="3"/>
  <c r="H92" i="3"/>
  <c r="D92" i="3"/>
  <c r="L92" i="3" s="1"/>
  <c r="B92" i="3"/>
  <c r="T91" i="3"/>
  <c r="P91" i="3"/>
  <c r="X91" i="3" s="1"/>
  <c r="Z91" i="3" s="1"/>
  <c r="L91" i="3"/>
  <c r="N91" i="3" s="1"/>
  <c r="H91" i="3"/>
  <c r="D91" i="3"/>
  <c r="B91" i="3"/>
  <c r="X90" i="3"/>
  <c r="T90" i="3"/>
  <c r="Z90" i="3" s="1"/>
  <c r="P90" i="3"/>
  <c r="H90" i="3"/>
  <c r="L90" i="3" s="1"/>
  <c r="D90" i="3"/>
  <c r="B90" i="3"/>
  <c r="T89" i="3"/>
  <c r="P89" i="3"/>
  <c r="N89" i="3"/>
  <c r="H89" i="3"/>
  <c r="L89" i="3" s="1"/>
  <c r="D89" i="3"/>
  <c r="B89" i="3"/>
  <c r="T88" i="3"/>
  <c r="X88" i="3" s="1"/>
  <c r="Z88" i="3" s="1"/>
  <c r="P88" i="3"/>
  <c r="H88" i="3"/>
  <c r="D88" i="3"/>
  <c r="L88" i="3" s="1"/>
  <c r="N88" i="3" s="1"/>
  <c r="B88" i="3"/>
  <c r="T87" i="3"/>
  <c r="P87" i="3"/>
  <c r="X87" i="3" s="1"/>
  <c r="Z87" i="3" s="1"/>
  <c r="L87" i="3"/>
  <c r="N87" i="3" s="1"/>
  <c r="H87" i="3"/>
  <c r="D87" i="3"/>
  <c r="B87" i="3"/>
  <c r="X86" i="3"/>
  <c r="T86" i="3"/>
  <c r="Z86" i="3" s="1"/>
  <c r="P86" i="3"/>
  <c r="H86" i="3"/>
  <c r="L86" i="3" s="1"/>
  <c r="D86" i="3"/>
  <c r="B86" i="3"/>
  <c r="T85" i="3"/>
  <c r="P85" i="3"/>
  <c r="H85" i="3"/>
  <c r="L85" i="3" s="1"/>
  <c r="N85" i="3" s="1"/>
  <c r="D85" i="3"/>
  <c r="B85" i="3"/>
  <c r="T84" i="3"/>
  <c r="X84" i="3" s="1"/>
  <c r="Z84" i="3" s="1"/>
  <c r="P84" i="3"/>
  <c r="H84" i="3"/>
  <c r="D84" i="3"/>
  <c r="L84" i="3" s="1"/>
  <c r="N84" i="3" s="1"/>
  <c r="B84" i="3"/>
  <c r="T83" i="3"/>
  <c r="P83" i="3"/>
  <c r="X83" i="3" s="1"/>
  <c r="Z83" i="3" s="1"/>
  <c r="L83" i="3"/>
  <c r="N83" i="3" s="1"/>
  <c r="H83" i="3"/>
  <c r="D83" i="3"/>
  <c r="B83" i="3"/>
  <c r="X82" i="3"/>
  <c r="T82" i="3"/>
  <c r="Z82" i="3" s="1"/>
  <c r="P82" i="3"/>
  <c r="H82" i="3"/>
  <c r="L82" i="3" s="1"/>
  <c r="D82" i="3"/>
  <c r="B82" i="3"/>
  <c r="T81" i="3"/>
  <c r="P81" i="3"/>
  <c r="H81" i="3"/>
  <c r="L81" i="3" s="1"/>
  <c r="N81" i="3" s="1"/>
  <c r="D81" i="3"/>
  <c r="B81" i="3"/>
  <c r="T80" i="3"/>
  <c r="X80" i="3" s="1"/>
  <c r="Z80" i="3" s="1"/>
  <c r="P80" i="3"/>
  <c r="H80" i="3"/>
  <c r="D80" i="3"/>
  <c r="L80" i="3" s="1"/>
  <c r="N80" i="3" s="1"/>
  <c r="B80" i="3"/>
  <c r="T79" i="3"/>
  <c r="P79" i="3"/>
  <c r="X79" i="3" s="1"/>
  <c r="Z79" i="3" s="1"/>
  <c r="L79" i="3"/>
  <c r="N79" i="3" s="1"/>
  <c r="H79" i="3"/>
  <c r="D79" i="3"/>
  <c r="B79" i="3"/>
  <c r="X78" i="3"/>
  <c r="T78" i="3"/>
  <c r="Z78" i="3" s="1"/>
  <c r="P78" i="3"/>
  <c r="H78" i="3"/>
  <c r="L78" i="3" s="1"/>
  <c r="D78" i="3"/>
  <c r="B78" i="3"/>
  <c r="T77" i="3"/>
  <c r="P77" i="3"/>
  <c r="H77" i="3"/>
  <c r="L77" i="3" s="1"/>
  <c r="N77" i="3" s="1"/>
  <c r="D77" i="3"/>
  <c r="B77" i="3"/>
  <c r="Z76" i="3"/>
  <c r="T76" i="3"/>
  <c r="X76" i="3" s="1"/>
  <c r="P76" i="3"/>
  <c r="N76" i="3"/>
  <c r="H76" i="3"/>
  <c r="D76" i="3"/>
  <c r="L76" i="3" s="1"/>
  <c r="B76" i="3"/>
  <c r="T75" i="3"/>
  <c r="P75" i="3"/>
  <c r="X75" i="3" s="1"/>
  <c r="Z75" i="3" s="1"/>
  <c r="L75" i="3"/>
  <c r="N75" i="3" s="1"/>
  <c r="H75" i="3"/>
  <c r="D75" i="3"/>
  <c r="B75" i="3"/>
  <c r="X74" i="3"/>
  <c r="T74" i="3"/>
  <c r="Z74" i="3" s="1"/>
  <c r="P74" i="3"/>
  <c r="H74" i="3"/>
  <c r="L74" i="3" s="1"/>
  <c r="D74" i="3"/>
  <c r="B74" i="3"/>
  <c r="T73" i="3"/>
  <c r="P73" i="3"/>
  <c r="H73" i="3"/>
  <c r="L73" i="3" s="1"/>
  <c r="N73" i="3" s="1"/>
  <c r="D73" i="3"/>
  <c r="B73" i="3"/>
  <c r="T72" i="3"/>
  <c r="X72" i="3" s="1"/>
  <c r="Z72" i="3" s="1"/>
  <c r="P72" i="3"/>
  <c r="H72" i="3"/>
  <c r="D72" i="3"/>
  <c r="L72" i="3" s="1"/>
  <c r="N72" i="3" s="1"/>
  <c r="B72" i="3"/>
  <c r="T71" i="3"/>
  <c r="P71" i="3"/>
  <c r="X71" i="3" s="1"/>
  <c r="Z71" i="3" s="1"/>
  <c r="L71" i="3"/>
  <c r="N71" i="3" s="1"/>
  <c r="H71" i="3"/>
  <c r="D71" i="3"/>
  <c r="B71" i="3"/>
  <c r="X70" i="3"/>
  <c r="T70" i="3"/>
  <c r="Z70" i="3" s="1"/>
  <c r="P70" i="3"/>
  <c r="H70" i="3"/>
  <c r="L70" i="3" s="1"/>
  <c r="D70" i="3"/>
  <c r="B70" i="3"/>
  <c r="T69" i="3"/>
  <c r="P69" i="3"/>
  <c r="H69" i="3"/>
  <c r="L69" i="3" s="1"/>
  <c r="N69" i="3" s="1"/>
  <c r="D69" i="3"/>
  <c r="B69" i="3"/>
  <c r="T68" i="3"/>
  <c r="X68" i="3" s="1"/>
  <c r="Z68" i="3" s="1"/>
  <c r="P68" i="3"/>
  <c r="H68" i="3"/>
  <c r="D68" i="3"/>
  <c r="L68" i="3" s="1"/>
  <c r="N68" i="3" s="1"/>
  <c r="B68" i="3"/>
  <c r="T67" i="3"/>
  <c r="P67" i="3"/>
  <c r="X67" i="3" s="1"/>
  <c r="Z67" i="3" s="1"/>
  <c r="L67" i="3"/>
  <c r="N67" i="3" s="1"/>
  <c r="H67" i="3"/>
  <c r="D67" i="3"/>
  <c r="B67" i="3"/>
  <c r="X66" i="3"/>
  <c r="T66" i="3"/>
  <c r="Z66" i="3" s="1"/>
  <c r="P66" i="3"/>
  <c r="H66" i="3"/>
  <c r="D66" i="3"/>
  <c r="B66" i="3"/>
  <c r="T65" i="3"/>
  <c r="P65" i="3"/>
  <c r="H65" i="3"/>
  <c r="L65" i="3" s="1"/>
  <c r="N65" i="3" s="1"/>
  <c r="D65" i="3"/>
  <c r="B65" i="3"/>
  <c r="T64" i="3"/>
  <c r="X64" i="3" s="1"/>
  <c r="Z64" i="3" s="1"/>
  <c r="P64" i="3"/>
  <c r="H64" i="3"/>
  <c r="D64" i="3"/>
  <c r="L64" i="3" s="1"/>
  <c r="N64" i="3" s="1"/>
  <c r="B64" i="3"/>
  <c r="T63" i="3"/>
  <c r="P63" i="3"/>
  <c r="X63" i="3" s="1"/>
  <c r="Z63" i="3" s="1"/>
  <c r="L63" i="3"/>
  <c r="N63" i="3" s="1"/>
  <c r="H63" i="3"/>
  <c r="D63" i="3"/>
  <c r="B63" i="3"/>
  <c r="X62" i="3"/>
  <c r="T62" i="3"/>
  <c r="Z62" i="3" s="1"/>
  <c r="P62" i="3"/>
  <c r="H62" i="3"/>
  <c r="N62" i="3" s="1"/>
  <c r="D62" i="3"/>
  <c r="B62" i="3"/>
  <c r="T61" i="3"/>
  <c r="P61" i="3"/>
  <c r="N61" i="3"/>
  <c r="H61" i="3"/>
  <c r="L61" i="3" s="1"/>
  <c r="D61" i="3"/>
  <c r="B61" i="3"/>
  <c r="T60" i="3"/>
  <c r="X60" i="3" s="1"/>
  <c r="Z60" i="3" s="1"/>
  <c r="P60" i="3"/>
  <c r="H60" i="3"/>
  <c r="D60" i="3"/>
  <c r="L60" i="3" s="1"/>
  <c r="N60" i="3" s="1"/>
  <c r="B60" i="3"/>
  <c r="T59" i="3"/>
  <c r="P59" i="3"/>
  <c r="X59" i="3" s="1"/>
  <c r="Z59" i="3" s="1"/>
  <c r="L59" i="3"/>
  <c r="N59" i="3" s="1"/>
  <c r="H59" i="3"/>
  <c r="D59" i="3"/>
  <c r="B59" i="3"/>
  <c r="X58" i="3"/>
  <c r="T58" i="3"/>
  <c r="Z58" i="3" s="1"/>
  <c r="P58" i="3"/>
  <c r="H58" i="3"/>
  <c r="L58" i="3" s="1"/>
  <c r="D58" i="3"/>
  <c r="B58" i="3"/>
  <c r="T57" i="3"/>
  <c r="P57" i="3"/>
  <c r="H57" i="3"/>
  <c r="L57" i="3" s="1"/>
  <c r="N57" i="3" s="1"/>
  <c r="D57" i="3"/>
  <c r="B57" i="3"/>
  <c r="T56" i="3"/>
  <c r="X56" i="3" s="1"/>
  <c r="Z56" i="3" s="1"/>
  <c r="P56" i="3"/>
  <c r="H56" i="3"/>
  <c r="D56" i="3"/>
  <c r="L56" i="3" s="1"/>
  <c r="N56" i="3" s="1"/>
  <c r="B56" i="3"/>
  <c r="T55" i="3"/>
  <c r="P55" i="3"/>
  <c r="X55" i="3" s="1"/>
  <c r="Z55" i="3" s="1"/>
  <c r="L55" i="3"/>
  <c r="N55" i="3" s="1"/>
  <c r="H55" i="3"/>
  <c r="D55" i="3"/>
  <c r="B55" i="3"/>
  <c r="X54" i="3"/>
  <c r="T54" i="3"/>
  <c r="Z54" i="3" s="1"/>
  <c r="P54" i="3"/>
  <c r="H54" i="3"/>
  <c r="D54" i="3"/>
  <c r="B54" i="3"/>
  <c r="T53" i="3"/>
  <c r="P53" i="3"/>
  <c r="N53" i="3"/>
  <c r="H53" i="3"/>
  <c r="L53" i="3" s="1"/>
  <c r="D53" i="3"/>
  <c r="B53" i="3"/>
  <c r="T52" i="3"/>
  <c r="X52" i="3" s="1"/>
  <c r="Z52" i="3" s="1"/>
  <c r="P52" i="3"/>
  <c r="H52" i="3"/>
  <c r="D52" i="3"/>
  <c r="L52" i="3" s="1"/>
  <c r="N52" i="3" s="1"/>
  <c r="B52" i="3"/>
  <c r="T51" i="3"/>
  <c r="P51" i="3"/>
  <c r="X51" i="3" s="1"/>
  <c r="Z51" i="3" s="1"/>
  <c r="L51" i="3"/>
  <c r="N51" i="3" s="1"/>
  <c r="H51" i="3"/>
  <c r="D51" i="3"/>
  <c r="B51" i="3"/>
  <c r="X50" i="3"/>
  <c r="T50" i="3"/>
  <c r="Z50" i="3" s="1"/>
  <c r="P50" i="3"/>
  <c r="H50" i="3"/>
  <c r="L50" i="3" s="1"/>
  <c r="D50" i="3"/>
  <c r="B50" i="3"/>
  <c r="T49" i="3"/>
  <c r="P49" i="3"/>
  <c r="N49" i="3"/>
  <c r="H49" i="3"/>
  <c r="L49" i="3" s="1"/>
  <c r="D49" i="3"/>
  <c r="B49" i="3"/>
  <c r="T48" i="3"/>
  <c r="X48" i="3" s="1"/>
  <c r="Z48" i="3" s="1"/>
  <c r="P48" i="3"/>
  <c r="H48" i="3"/>
  <c r="D48" i="3"/>
  <c r="L48" i="3" s="1"/>
  <c r="N48" i="3" s="1"/>
  <c r="B48" i="3"/>
  <c r="T47" i="3"/>
  <c r="P47" i="3"/>
  <c r="X47" i="3" s="1"/>
  <c r="Z47" i="3" s="1"/>
  <c r="L47" i="3"/>
  <c r="N47" i="3" s="1"/>
  <c r="H47" i="3"/>
  <c r="D47" i="3"/>
  <c r="B47" i="3"/>
  <c r="X46" i="3"/>
  <c r="T46" i="3"/>
  <c r="Z46" i="3" s="1"/>
  <c r="P46" i="3"/>
  <c r="H46" i="3"/>
  <c r="D46" i="3"/>
  <c r="B46" i="3"/>
  <c r="T45" i="3"/>
  <c r="P45" i="3"/>
  <c r="H45" i="3"/>
  <c r="L45" i="3" s="1"/>
  <c r="N45" i="3" s="1"/>
  <c r="D45" i="3"/>
  <c r="B45" i="3"/>
  <c r="T44" i="3"/>
  <c r="X44" i="3" s="1"/>
  <c r="Z44" i="3" s="1"/>
  <c r="P44" i="3"/>
  <c r="H44" i="3"/>
  <c r="D44" i="3"/>
  <c r="L44" i="3" s="1"/>
  <c r="N44" i="3" s="1"/>
  <c r="B44" i="3"/>
  <c r="T43" i="3"/>
  <c r="P43" i="3"/>
  <c r="X43" i="3" s="1"/>
  <c r="Z43" i="3" s="1"/>
  <c r="L43" i="3"/>
  <c r="N43" i="3" s="1"/>
  <c r="H43" i="3"/>
  <c r="D43" i="3"/>
  <c r="B43" i="3"/>
  <c r="X42" i="3"/>
  <c r="T42" i="3"/>
  <c r="Z42" i="3" s="1"/>
  <c r="P42" i="3"/>
  <c r="H42" i="3"/>
  <c r="D42" i="3"/>
  <c r="B42" i="3"/>
  <c r="T41" i="3"/>
  <c r="P41" i="3"/>
  <c r="H41" i="3"/>
  <c r="L41" i="3" s="1"/>
  <c r="N41" i="3" s="1"/>
  <c r="D41" i="3"/>
  <c r="B41" i="3"/>
  <c r="T40" i="3"/>
  <c r="X40" i="3" s="1"/>
  <c r="Z40" i="3" s="1"/>
  <c r="P40" i="3"/>
  <c r="H40" i="3"/>
  <c r="D40" i="3"/>
  <c r="L40" i="3" s="1"/>
  <c r="N40" i="3" s="1"/>
  <c r="B40" i="3"/>
  <c r="T39" i="3"/>
  <c r="P39" i="3"/>
  <c r="X39" i="3" s="1"/>
  <c r="Z39" i="3" s="1"/>
  <c r="L39" i="3"/>
  <c r="N39" i="3" s="1"/>
  <c r="H39" i="3"/>
  <c r="D39" i="3"/>
  <c r="B39" i="3"/>
  <c r="X38" i="3"/>
  <c r="T38" i="3"/>
  <c r="Z38" i="3" s="1"/>
  <c r="P38" i="3"/>
  <c r="H38" i="3"/>
  <c r="D38" i="3"/>
  <c r="B38" i="3"/>
  <c r="T37" i="3"/>
  <c r="P37" i="3"/>
  <c r="H37" i="3"/>
  <c r="L37" i="3" s="1"/>
  <c r="N37" i="3" s="1"/>
  <c r="D37" i="3"/>
  <c r="B37" i="3"/>
  <c r="T36" i="3"/>
  <c r="X36" i="3" s="1"/>
  <c r="Z36" i="3" s="1"/>
  <c r="P36" i="3"/>
  <c r="H36" i="3"/>
  <c r="D36" i="3"/>
  <c r="L36" i="3" s="1"/>
  <c r="N36" i="3" s="1"/>
  <c r="B36" i="3"/>
  <c r="T35" i="3"/>
  <c r="P35" i="3"/>
  <c r="X35" i="3" s="1"/>
  <c r="Z35" i="3" s="1"/>
  <c r="L35" i="3"/>
  <c r="N35" i="3" s="1"/>
  <c r="H35" i="3"/>
  <c r="D35" i="3"/>
  <c r="B35" i="3"/>
  <c r="X34" i="3"/>
  <c r="T34" i="3"/>
  <c r="Z34" i="3" s="1"/>
  <c r="P34" i="3"/>
  <c r="H34" i="3"/>
  <c r="D34" i="3"/>
  <c r="B34" i="3"/>
  <c r="T33" i="3"/>
  <c r="P33" i="3"/>
  <c r="H33" i="3"/>
  <c r="L33" i="3" s="1"/>
  <c r="N33" i="3" s="1"/>
  <c r="D33" i="3"/>
  <c r="B33" i="3"/>
  <c r="T32" i="3"/>
  <c r="X32" i="3" s="1"/>
  <c r="Z32" i="3" s="1"/>
  <c r="P32" i="3"/>
  <c r="H32" i="3"/>
  <c r="D32" i="3"/>
  <c r="L32" i="3" s="1"/>
  <c r="N32" i="3" s="1"/>
  <c r="B32" i="3"/>
  <c r="T31" i="3"/>
  <c r="P31" i="3"/>
  <c r="X31" i="3" s="1"/>
  <c r="Z31" i="3" s="1"/>
  <c r="L31" i="3"/>
  <c r="N31" i="3" s="1"/>
  <c r="H31" i="3"/>
  <c r="D31" i="3"/>
  <c r="B31" i="3"/>
  <c r="X30" i="3"/>
  <c r="T30" i="3"/>
  <c r="Z30" i="3" s="1"/>
  <c r="P30" i="3"/>
  <c r="H30" i="3"/>
  <c r="D30" i="3"/>
  <c r="B30" i="3"/>
  <c r="T29" i="3"/>
  <c r="P29" i="3"/>
  <c r="H29" i="3"/>
  <c r="L29" i="3" s="1"/>
  <c r="N29" i="3" s="1"/>
  <c r="D29" i="3"/>
  <c r="B29" i="3"/>
  <c r="T28" i="3"/>
  <c r="X28" i="3" s="1"/>
  <c r="Z28" i="3" s="1"/>
  <c r="P28" i="3"/>
  <c r="H28" i="3"/>
  <c r="D28" i="3"/>
  <c r="L28" i="3" s="1"/>
  <c r="N28" i="3" s="1"/>
  <c r="B28" i="3"/>
  <c r="T27" i="3"/>
  <c r="P27" i="3"/>
  <c r="X27" i="3" s="1"/>
  <c r="Z27" i="3" s="1"/>
  <c r="L27" i="3"/>
  <c r="N27" i="3" s="1"/>
  <c r="H27" i="3"/>
  <c r="D27" i="3"/>
  <c r="B27" i="3"/>
  <c r="X26" i="3"/>
  <c r="T26" i="3"/>
  <c r="Z26" i="3" s="1"/>
  <c r="P26" i="3"/>
  <c r="H26" i="3"/>
  <c r="D26" i="3"/>
  <c r="B26" i="3"/>
  <c r="T25" i="3"/>
  <c r="P25" i="3"/>
  <c r="H25" i="3"/>
  <c r="L25" i="3" s="1"/>
  <c r="N25" i="3" s="1"/>
  <c r="D25" i="3"/>
  <c r="B25" i="3"/>
  <c r="T24" i="3"/>
  <c r="X24" i="3" s="1"/>
  <c r="Z24" i="3" s="1"/>
  <c r="P24" i="3"/>
  <c r="H24" i="3"/>
  <c r="D24" i="3"/>
  <c r="L24" i="3" s="1"/>
  <c r="N24" i="3" s="1"/>
  <c r="B24" i="3"/>
  <c r="T23" i="3"/>
  <c r="P23" i="3"/>
  <c r="X23" i="3" s="1"/>
  <c r="Z23" i="3" s="1"/>
  <c r="N23" i="3"/>
  <c r="L23" i="3"/>
  <c r="H23" i="3"/>
  <c r="D23" i="3"/>
  <c r="B23" i="3"/>
  <c r="X22" i="3"/>
  <c r="T22" i="3"/>
  <c r="Z22" i="3" s="1"/>
  <c r="P22" i="3"/>
  <c r="H22" i="3"/>
  <c r="D22" i="3"/>
  <c r="B22" i="3"/>
  <c r="T21" i="3"/>
  <c r="P21" i="3"/>
  <c r="H21" i="3"/>
  <c r="L21" i="3" s="1"/>
  <c r="N21" i="3" s="1"/>
  <c r="D21" i="3"/>
  <c r="B21" i="3"/>
  <c r="T20" i="3"/>
  <c r="X20" i="3" s="1"/>
  <c r="Z20" i="3" s="1"/>
  <c r="P20" i="3"/>
  <c r="H20" i="3"/>
  <c r="D20" i="3"/>
  <c r="L20" i="3" s="1"/>
  <c r="N20" i="3" s="1"/>
  <c r="B20" i="3"/>
  <c r="T19" i="3"/>
  <c r="P19" i="3"/>
  <c r="X19" i="3" s="1"/>
  <c r="Z19" i="3" s="1"/>
  <c r="L19" i="3"/>
  <c r="N19" i="3" s="1"/>
  <c r="H19" i="3"/>
  <c r="D19" i="3"/>
  <c r="B19" i="3"/>
  <c r="X18" i="3"/>
  <c r="T18" i="3"/>
  <c r="Z18" i="3" s="1"/>
  <c r="P18" i="3"/>
  <c r="H18" i="3"/>
  <c r="N18" i="3" s="1"/>
  <c r="D18" i="3"/>
  <c r="B18" i="3"/>
  <c r="T17" i="3"/>
  <c r="P17" i="3"/>
  <c r="H17" i="3"/>
  <c r="L17" i="3" s="1"/>
  <c r="N17" i="3" s="1"/>
  <c r="D17" i="3"/>
  <c r="B17" i="3"/>
  <c r="T16" i="3"/>
  <c r="X16" i="3" s="1"/>
  <c r="Z16" i="3" s="1"/>
  <c r="P16" i="3"/>
  <c r="H16" i="3"/>
  <c r="D16" i="3"/>
  <c r="L16" i="3" s="1"/>
  <c r="N16" i="3" s="1"/>
  <c r="B16" i="3"/>
  <c r="T15" i="3"/>
  <c r="P15" i="3"/>
  <c r="X15" i="3" s="1"/>
  <c r="Z15" i="3" s="1"/>
  <c r="L15" i="3"/>
  <c r="N15" i="3" s="1"/>
  <c r="H15" i="3"/>
  <c r="D15" i="3"/>
  <c r="B15" i="3"/>
  <c r="X14" i="3"/>
  <c r="T14" i="3"/>
  <c r="Z14" i="3" s="1"/>
  <c r="P14" i="3"/>
  <c r="H14" i="3"/>
  <c r="L14" i="3" s="1"/>
  <c r="D14" i="3"/>
  <c r="B14" i="3"/>
  <c r="T13" i="3"/>
  <c r="T12" i="3" s="1"/>
  <c r="P13" i="3"/>
  <c r="P12" i="3" s="1"/>
  <c r="N13" i="3"/>
  <c r="H13" i="3"/>
  <c r="H12" i="3" s="1"/>
  <c r="D13" i="3"/>
  <c r="B13" i="3"/>
  <c r="D12" i="3"/>
  <c r="F291" i="3" s="1"/>
  <c r="D4" i="3"/>
  <c r="D12" i="111"/>
  <c r="D13" i="112"/>
  <c r="B25" i="112"/>
  <c r="P16" i="110"/>
  <c r="P12" i="110"/>
  <c r="P33" i="110"/>
  <c r="D6" i="110"/>
  <c r="D16" i="111"/>
  <c r="T33" i="112"/>
  <c r="T22" i="111"/>
  <c r="T25" i="112"/>
  <c r="B16" i="112"/>
  <c r="B21" i="110"/>
  <c r="T29" i="110"/>
  <c r="T15" i="53"/>
  <c r="T15" i="52"/>
  <c r="P16" i="52"/>
  <c r="H34" i="52"/>
  <c r="D13" i="53"/>
  <c r="T20" i="49"/>
  <c r="D29" i="52"/>
  <c r="B13" i="52"/>
  <c r="T34" i="53"/>
  <c r="P12" i="53"/>
  <c r="T21" i="53"/>
  <c r="P25" i="52"/>
  <c r="B21" i="49"/>
  <c r="B39" i="44"/>
  <c r="P20" i="50"/>
  <c r="H29" i="46"/>
  <c r="H24" i="43"/>
  <c r="D33" i="47"/>
  <c r="T13" i="50"/>
  <c r="B38" i="46"/>
  <c r="D22" i="43"/>
  <c r="B22" i="47"/>
  <c r="B22" i="43"/>
  <c r="D20" i="47"/>
  <c r="B21" i="43"/>
  <c r="B16" i="47"/>
  <c r="T25" i="43"/>
  <c r="H16" i="49"/>
  <c r="P34" i="44"/>
  <c r="P34" i="47"/>
  <c r="T13" i="44"/>
  <c r="H20" i="49"/>
  <c r="P25" i="46"/>
  <c r="D22" i="50"/>
  <c r="T15" i="46"/>
  <c r="D21" i="41"/>
  <c r="P20" i="43"/>
  <c r="T24" i="41"/>
  <c r="T15" i="47"/>
  <c r="P13" i="47"/>
  <c r="P25" i="40"/>
  <c r="T13" i="40"/>
  <c r="H34" i="41"/>
  <c r="H16" i="44"/>
  <c r="H25" i="40"/>
  <c r="B38" i="40"/>
  <c r="H25" i="38"/>
  <c r="T12" i="35"/>
  <c r="H22" i="38"/>
  <c r="T34" i="34"/>
  <c r="H21" i="38"/>
  <c r="H16" i="38"/>
  <c r="T16" i="35"/>
  <c r="H21" i="32"/>
  <c r="P21" i="35"/>
  <c r="D20" i="38"/>
  <c r="B22" i="32"/>
  <c r="B16" i="38"/>
  <c r="P20" i="34"/>
  <c r="T34" i="38"/>
  <c r="H24" i="35"/>
  <c r="B16" i="41"/>
  <c r="D25" i="35"/>
  <c r="P22" i="38"/>
  <c r="H20" i="35"/>
  <c r="P29" i="32"/>
  <c r="B21" i="35"/>
  <c r="T20" i="31"/>
  <c r="P24" i="28"/>
  <c r="H25" i="31"/>
  <c r="D4" i="26"/>
  <c r="D5" i="29"/>
  <c r="H22" i="29"/>
  <c r="H34" i="32"/>
  <c r="H21" i="29"/>
  <c r="P22" i="32"/>
  <c r="H20" i="29"/>
  <c r="P12" i="34"/>
  <c r="D24" i="28"/>
  <c r="P34" i="31"/>
  <c r="B25" i="32"/>
  <c r="T12" i="29"/>
  <c r="B13" i="31"/>
  <c r="P16" i="26"/>
  <c r="D29" i="25"/>
  <c r="H25" i="22"/>
  <c r="D22" i="25"/>
  <c r="H24" i="22"/>
  <c r="D21" i="25"/>
  <c r="D25" i="22"/>
  <c r="T22" i="28"/>
  <c r="T22" i="25"/>
  <c r="P13" i="38"/>
  <c r="T21" i="25"/>
  <c r="D24" i="26"/>
  <c r="P24" i="110"/>
  <c r="D4" i="112"/>
  <c r="D24" i="112"/>
  <c r="D12" i="110"/>
  <c r="H34" i="112"/>
  <c r="P29" i="110"/>
  <c r="P22" i="112"/>
  <c r="B13" i="111"/>
  <c r="T24" i="112"/>
  <c r="B21" i="111"/>
  <c r="D16" i="112"/>
  <c r="B22" i="111"/>
  <c r="T12" i="110"/>
  <c r="H13" i="110"/>
  <c r="P13" i="53"/>
  <c r="P13" i="52"/>
  <c r="D12" i="52"/>
  <c r="H33" i="52"/>
  <c r="B39" i="52"/>
  <c r="T16" i="49"/>
  <c r="D25" i="52"/>
  <c r="H34" i="50"/>
  <c r="T33" i="53"/>
  <c r="T34" i="52"/>
  <c r="T24" i="52"/>
  <c r="T21" i="52"/>
  <c r="P13" i="49"/>
  <c r="H24" i="44"/>
  <c r="D16" i="50"/>
  <c r="H25" i="46"/>
  <c r="H22" i="43"/>
  <c r="D29" i="47"/>
  <c r="D12" i="50"/>
  <c r="D34" i="46"/>
  <c r="H20" i="43"/>
  <c r="D21" i="47"/>
  <c r="D21" i="43"/>
  <c r="D16" i="47"/>
  <c r="D20" i="43"/>
  <c r="D15" i="47"/>
  <c r="B16" i="43"/>
  <c r="H15" i="49"/>
  <c r="P33" i="44"/>
  <c r="P33" i="47"/>
  <c r="P34" i="43"/>
  <c r="D16" i="49"/>
  <c r="T21" i="46"/>
  <c r="H16" i="50"/>
  <c r="P13" i="46"/>
  <c r="H15" i="41"/>
  <c r="B21" i="41"/>
  <c r="T22" i="41"/>
  <c r="P20" i="44"/>
  <c r="T20" i="46"/>
  <c r="T21" i="40"/>
  <c r="T16" i="46"/>
  <c r="H33" i="41"/>
  <c r="D33" i="43"/>
  <c r="P15" i="40"/>
  <c r="D34" i="40"/>
  <c r="P15" i="38"/>
  <c r="B21" i="34"/>
  <c r="H13" i="38"/>
  <c r="T33" i="34"/>
  <c r="D13" i="38"/>
  <c r="B13" i="38"/>
  <c r="T13" i="35"/>
  <c r="H24" i="49"/>
  <c r="T15" i="35"/>
  <c r="D16" i="38"/>
  <c r="D21" i="32"/>
  <c r="D15" i="38"/>
  <c r="P16" i="34"/>
  <c r="T24" i="38"/>
  <c r="H22" i="35"/>
  <c r="P33" i="38"/>
  <c r="H21" i="35"/>
  <c r="T20" i="38"/>
  <c r="H16" i="35"/>
  <c r="P25" i="32"/>
  <c r="D20" i="35"/>
  <c r="T16" i="31"/>
  <c r="P22" i="28"/>
  <c r="P20" i="29"/>
  <c r="B21" i="40"/>
  <c r="P20" i="28"/>
  <c r="H13" i="29"/>
  <c r="T29" i="32"/>
  <c r="D13" i="29"/>
  <c r="T20" i="32"/>
  <c r="H16" i="29"/>
  <c r="T33" i="32"/>
  <c r="D22" i="28"/>
  <c r="D33" i="31"/>
  <c r="D22" i="32"/>
  <c r="B21" i="28"/>
  <c r="P24" i="29"/>
  <c r="B22" i="35"/>
  <c r="D25" i="25"/>
  <c r="P15" i="22"/>
  <c r="H20" i="25"/>
  <c r="H22" i="22"/>
  <c r="H15" i="25"/>
  <c r="H21" i="22"/>
  <c r="B16" i="32"/>
  <c r="P12" i="25"/>
  <c r="H20" i="34"/>
  <c r="T24" i="23"/>
  <c r="T13" i="26"/>
  <c r="P22" i="110"/>
  <c r="H34" i="111"/>
  <c r="D22" i="112"/>
  <c r="P20" i="112"/>
  <c r="H33" i="112"/>
  <c r="P25" i="110"/>
  <c r="T15" i="112"/>
  <c r="D22" i="110"/>
  <c r="D15" i="112"/>
  <c r="T12" i="111"/>
  <c r="P13" i="112"/>
  <c r="B39" i="110"/>
  <c r="B38" i="110"/>
  <c r="P25" i="112"/>
  <c r="H12" i="53"/>
  <c r="H12" i="52"/>
  <c r="P34" i="50"/>
  <c r="H29" i="52"/>
  <c r="H24" i="52"/>
  <c r="T13" i="49"/>
  <c r="H21" i="52"/>
  <c r="H33" i="50"/>
  <c r="T29" i="53"/>
  <c r="T33" i="52"/>
  <c r="T22" i="52"/>
  <c r="T29" i="50"/>
  <c r="D12" i="49"/>
  <c r="H22" i="44"/>
  <c r="B25" i="49"/>
  <c r="P15" i="46"/>
  <c r="H13" i="43"/>
  <c r="D25" i="47"/>
  <c r="H34" i="49"/>
  <c r="D33" i="46"/>
  <c r="H16" i="43"/>
  <c r="H15" i="47"/>
  <c r="H15" i="43"/>
  <c r="B22" i="46"/>
  <c r="D16" i="43"/>
  <c r="T12" i="47"/>
  <c r="D15" i="43"/>
  <c r="T24" i="47"/>
  <c r="P29" i="44"/>
  <c r="P29" i="47"/>
  <c r="P33" i="43"/>
  <c r="D15" i="49"/>
  <c r="P21" i="44"/>
  <c r="T12" i="50"/>
  <c r="H12" i="46"/>
  <c r="B25" i="40"/>
  <c r="D20" i="41"/>
  <c r="P12" i="41"/>
  <c r="P13" i="43"/>
  <c r="H20" i="44"/>
  <c r="H12" i="47"/>
  <c r="D34" i="43"/>
  <c r="H29" i="41"/>
  <c r="P16" i="43"/>
  <c r="D5" i="40"/>
  <c r="D33" i="40"/>
  <c r="D5" i="38"/>
  <c r="D20" i="34"/>
  <c r="D4" i="38"/>
  <c r="T29" i="34"/>
  <c r="B39" i="37"/>
  <c r="B38" i="37"/>
  <c r="P34" i="34"/>
  <c r="D16" i="40"/>
  <c r="P13" i="35"/>
  <c r="B22" i="37"/>
  <c r="H15" i="32"/>
  <c r="T12" i="38"/>
  <c r="D12" i="34"/>
  <c r="T22" i="38"/>
  <c r="H13" i="35"/>
  <c r="P29" i="38"/>
  <c r="D13" i="35"/>
  <c r="T16" i="38"/>
  <c r="B13" i="35"/>
  <c r="T21" i="32"/>
  <c r="D16" i="35"/>
  <c r="D15" i="41"/>
  <c r="T20" i="28"/>
  <c r="P16" i="29"/>
  <c r="T24" i="34"/>
  <c r="P16" i="28"/>
  <c r="D4" i="29"/>
  <c r="T22" i="32"/>
  <c r="B39" i="28"/>
  <c r="T16" i="32"/>
  <c r="B13" i="29"/>
  <c r="H25" i="32"/>
  <c r="H20" i="28"/>
  <c r="P29" i="31"/>
  <c r="H20" i="32"/>
  <c r="D20" i="28"/>
  <c r="P22" i="29"/>
  <c r="T24" i="32"/>
  <c r="H21" i="25"/>
  <c r="D5" i="22"/>
  <c r="H16" i="25"/>
  <c r="H13" i="22"/>
  <c r="B25" i="23"/>
  <c r="D13" i="22"/>
  <c r="T25" i="31"/>
  <c r="T34" i="23"/>
  <c r="D13" i="31"/>
  <c r="T22" i="23"/>
  <c r="D12" i="26"/>
  <c r="T20" i="110"/>
  <c r="H33" i="111"/>
  <c r="H20" i="112"/>
  <c r="P16" i="112"/>
  <c r="H29" i="112"/>
  <c r="T21" i="110"/>
  <c r="D33" i="111"/>
  <c r="H15" i="110"/>
  <c r="B38" i="111"/>
  <c r="H33" i="110"/>
  <c r="D22" i="111"/>
  <c r="T34" i="110"/>
  <c r="D21" i="110"/>
  <c r="H20" i="111"/>
  <c r="P24" i="52"/>
  <c r="T24" i="50"/>
  <c r="P33" i="50"/>
  <c r="H25" i="52"/>
  <c r="H22" i="52"/>
  <c r="B25" i="53"/>
  <c r="D13" i="52"/>
  <c r="H29" i="50"/>
  <c r="T25" i="53"/>
  <c r="T29" i="52"/>
  <c r="P12" i="52"/>
  <c r="B22" i="50"/>
  <c r="H34" i="47"/>
  <c r="H13" i="44"/>
  <c r="T15" i="49"/>
  <c r="D5" i="46"/>
  <c r="D4" i="43"/>
  <c r="H21" i="47"/>
  <c r="P16" i="49"/>
  <c r="D29" i="46"/>
  <c r="B13" i="43"/>
  <c r="B25" i="46"/>
  <c r="B38" i="50"/>
  <c r="D21" i="46"/>
  <c r="D25" i="50"/>
  <c r="B21" i="46"/>
  <c r="T12" i="43"/>
  <c r="T22" i="47"/>
  <c r="P25" i="44"/>
  <c r="P25" i="47"/>
  <c r="P29" i="43"/>
  <c r="P12" i="49"/>
  <c r="T15" i="44"/>
  <c r="P33" i="49"/>
  <c r="H34" i="44"/>
  <c r="D24" i="40"/>
  <c r="D16" i="41"/>
  <c r="T34" i="40"/>
  <c r="P34" i="41"/>
  <c r="D25" i="43"/>
  <c r="D13" i="43"/>
  <c r="P20" i="41"/>
  <c r="H25" i="41"/>
  <c r="D12" i="43"/>
  <c r="B38" i="38"/>
  <c r="D29" i="40"/>
  <c r="P20" i="37"/>
  <c r="D16" i="34"/>
  <c r="H34" i="37"/>
  <c r="T25" i="34"/>
  <c r="H24" i="37"/>
  <c r="D34" i="37"/>
  <c r="P33" i="34"/>
  <c r="B22" i="38"/>
  <c r="H12" i="35"/>
  <c r="D21" i="37"/>
  <c r="B25" i="31"/>
  <c r="B21" i="37"/>
  <c r="B21" i="32"/>
  <c r="P12" i="38"/>
  <c r="D4" i="35"/>
  <c r="P25" i="38"/>
  <c r="B39" i="34"/>
  <c r="T13" i="38"/>
  <c r="B38" i="34"/>
  <c r="D33" i="41"/>
  <c r="B22" i="34"/>
  <c r="P29" i="35"/>
  <c r="T16" i="28"/>
  <c r="D12" i="29"/>
  <c r="D24" i="32"/>
  <c r="D12" i="28"/>
  <c r="H34" i="28"/>
  <c r="D15" i="32"/>
  <c r="H24" i="28"/>
  <c r="D4" i="32"/>
  <c r="B38" i="28"/>
  <c r="B39" i="31"/>
  <c r="H16" i="28"/>
  <c r="D12" i="31"/>
  <c r="H16" i="32"/>
  <c r="D16" i="28"/>
  <c r="T20" i="29"/>
  <c r="P29" i="29"/>
  <c r="D13" i="25"/>
  <c r="T21" i="35"/>
  <c r="B13" i="25"/>
  <c r="D4" i="22"/>
  <c r="D24" i="23"/>
  <c r="H29" i="31"/>
  <c r="H13" i="31"/>
  <c r="T33" i="23"/>
  <c r="P34" i="29"/>
  <c r="P12" i="23"/>
  <c r="P20" i="25"/>
  <c r="T16" i="110"/>
  <c r="H29" i="111"/>
  <c r="H16" i="112"/>
  <c r="D12" i="112"/>
  <c r="H25" i="112"/>
  <c r="P12" i="112"/>
  <c r="D24" i="111"/>
  <c r="D4" i="110"/>
  <c r="P25" i="111"/>
  <c r="H24" i="110"/>
  <c r="H15" i="111"/>
  <c r="D29" i="110"/>
  <c r="P33" i="112"/>
  <c r="P24" i="112"/>
  <c r="P22" i="52"/>
  <c r="T22" i="50"/>
  <c r="P29" i="50"/>
  <c r="P15" i="52"/>
  <c r="H13" i="52"/>
  <c r="D24" i="53"/>
  <c r="B22" i="53"/>
  <c r="H25" i="50"/>
  <c r="B16" i="53"/>
  <c r="T25" i="52"/>
  <c r="P24" i="53"/>
  <c r="T20" i="50"/>
  <c r="H33" i="47"/>
  <c r="D4" i="44"/>
  <c r="D5" i="49"/>
  <c r="B38" i="44"/>
  <c r="D33" i="50"/>
  <c r="D13" i="47"/>
  <c r="P15" i="49"/>
  <c r="D25" i="46"/>
  <c r="B39" i="50"/>
  <c r="D24" i="46"/>
  <c r="D4" i="50"/>
  <c r="H15" i="46"/>
  <c r="H21" i="50"/>
  <c r="D20" i="46"/>
  <c r="D34" i="50"/>
  <c r="P12" i="47"/>
  <c r="T21" i="44"/>
  <c r="T21" i="47"/>
  <c r="P25" i="43"/>
  <c r="P24" i="47"/>
  <c r="P13" i="44"/>
  <c r="D22" i="49"/>
  <c r="H33" i="44"/>
  <c r="D22" i="40"/>
  <c r="B22" i="40"/>
  <c r="T33" i="40"/>
  <c r="P33" i="41"/>
  <c r="P24" i="41"/>
  <c r="P21" i="41"/>
  <c r="P16" i="41"/>
  <c r="P15" i="41"/>
  <c r="B39" i="41"/>
  <c r="D24" i="44"/>
  <c r="D25" i="40"/>
  <c r="P16" i="37"/>
  <c r="P20" i="32"/>
  <c r="H33" i="37"/>
  <c r="B16" i="34"/>
  <c r="H22" i="37"/>
  <c r="D33" i="37"/>
  <c r="P29" i="34"/>
  <c r="D21" i="38"/>
  <c r="P24" i="34"/>
  <c r="H15" i="37"/>
  <c r="D24" i="31"/>
  <c r="D20" i="37"/>
  <c r="D20" i="32"/>
  <c r="T34" i="37"/>
  <c r="H34" i="34"/>
  <c r="T21" i="38"/>
  <c r="H24" i="34"/>
  <c r="P34" i="37"/>
  <c r="D34" i="34"/>
  <c r="D13" i="41"/>
  <c r="D21" i="34"/>
  <c r="P15" i="32"/>
  <c r="T13" i="28"/>
  <c r="P21" i="28"/>
  <c r="T22" i="31"/>
  <c r="D24" i="34"/>
  <c r="H33" i="28"/>
  <c r="D5" i="32"/>
  <c r="H22" i="28"/>
  <c r="T34" i="31"/>
  <c r="D34" i="28"/>
  <c r="T24" i="31"/>
  <c r="B13" i="28"/>
  <c r="B21" i="29"/>
  <c r="P20" i="31"/>
  <c r="T16" i="37"/>
  <c r="T16" i="29"/>
  <c r="B25" i="26"/>
  <c r="B39" i="23"/>
  <c r="T34" i="28"/>
  <c r="B38" i="23"/>
  <c r="T24" i="28"/>
  <c r="D22" i="23"/>
  <c r="P15" i="31"/>
  <c r="T24" i="29"/>
  <c r="T29" i="23"/>
  <c r="P12" i="28"/>
  <c r="T34" i="22"/>
  <c r="B39" i="112"/>
  <c r="T13" i="110"/>
  <c r="H25" i="111"/>
  <c r="B13" i="112"/>
  <c r="P24" i="111"/>
  <c r="P15" i="112"/>
  <c r="P33" i="111"/>
  <c r="T21" i="111"/>
  <c r="B22" i="112"/>
  <c r="D21" i="111"/>
  <c r="T21" i="112"/>
  <c r="D4" i="111"/>
  <c r="H25" i="110"/>
  <c r="B25" i="111"/>
  <c r="D34" i="111"/>
  <c r="T20" i="52"/>
  <c r="H34" i="53"/>
  <c r="P25" i="50"/>
  <c r="D5" i="52"/>
  <c r="D4" i="52"/>
  <c r="D22" i="53"/>
  <c r="D21" i="53"/>
  <c r="P15" i="50"/>
  <c r="D15" i="53"/>
  <c r="B16" i="52"/>
  <c r="P22" i="53"/>
  <c r="D15" i="50"/>
  <c r="H29" i="47"/>
  <c r="H34" i="43"/>
  <c r="B39" i="47"/>
  <c r="D34" i="44"/>
  <c r="T25" i="50"/>
  <c r="B39" i="46"/>
  <c r="H13" i="49"/>
  <c r="H21" i="46"/>
  <c r="D29" i="50"/>
  <c r="D22" i="46"/>
  <c r="D34" i="49"/>
  <c r="T34" i="44"/>
  <c r="D20" i="50"/>
  <c r="D16" i="46"/>
  <c r="B25" i="50"/>
  <c r="T34" i="46"/>
  <c r="T24" i="43"/>
  <c r="T24" i="46"/>
  <c r="T21" i="43"/>
  <c r="P22" i="47"/>
  <c r="H12" i="44"/>
  <c r="D21" i="49"/>
  <c r="H29" i="44"/>
  <c r="H20" i="40"/>
  <c r="D21" i="40"/>
  <c r="T29" i="40"/>
  <c r="P29" i="41"/>
  <c r="P22" i="41"/>
  <c r="T15" i="41"/>
  <c r="D12" i="41"/>
  <c r="D5" i="41"/>
  <c r="H24" i="41"/>
  <c r="H21" i="43"/>
  <c r="H21" i="40"/>
  <c r="D12" i="37"/>
  <c r="P16" i="32"/>
  <c r="H29" i="37"/>
  <c r="D15" i="34"/>
  <c r="H13" i="37"/>
  <c r="D29" i="37"/>
  <c r="P25" i="34"/>
  <c r="H15" i="38"/>
  <c r="P22" i="34"/>
  <c r="P20" i="35"/>
  <c r="D22" i="31"/>
  <c r="D16" i="37"/>
  <c r="D16" i="32"/>
  <c r="T33" i="37"/>
  <c r="H33" i="34"/>
  <c r="T24" i="37"/>
  <c r="H22" i="34"/>
  <c r="P33" i="37"/>
  <c r="D33" i="34"/>
  <c r="P20" i="38"/>
  <c r="H15" i="34"/>
  <c r="T12" i="32"/>
  <c r="T13" i="37"/>
  <c r="T15" i="28"/>
  <c r="D15" i="31"/>
  <c r="T25" i="32"/>
  <c r="H29" i="28"/>
  <c r="B21" i="31"/>
  <c r="H13" i="28"/>
  <c r="H33" i="31"/>
  <c r="D33" i="28"/>
  <c r="H22" i="31"/>
  <c r="P22" i="37"/>
  <c r="D20" i="29"/>
  <c r="D5" i="31"/>
  <c r="D21" i="35"/>
  <c r="T13" i="29"/>
  <c r="T22" i="26"/>
  <c r="H24" i="23"/>
  <c r="B16" i="28"/>
  <c r="D34" i="23"/>
  <c r="D34" i="26"/>
  <c r="H20" i="23"/>
  <c r="T33" i="28"/>
  <c r="T12" i="28"/>
  <c r="T25" i="23"/>
  <c r="D22" i="26"/>
  <c r="T33" i="22"/>
  <c r="H24" i="112"/>
  <c r="B38" i="112"/>
  <c r="P15" i="111"/>
  <c r="B39" i="111"/>
  <c r="P22" i="111"/>
  <c r="D6" i="112"/>
  <c r="T29" i="111"/>
  <c r="D13" i="111"/>
  <c r="T20" i="112"/>
  <c r="T33" i="110"/>
  <c r="T13" i="112"/>
  <c r="T25" i="110"/>
  <c r="B16" i="110"/>
  <c r="D20" i="110"/>
  <c r="T33" i="111"/>
  <c r="T16" i="52"/>
  <c r="H33" i="53"/>
  <c r="T21" i="50"/>
  <c r="B38" i="53"/>
  <c r="P21" i="50"/>
  <c r="H20" i="53"/>
  <c r="H15" i="53"/>
  <c r="B21" i="53"/>
  <c r="T12" i="53"/>
  <c r="D15" i="52"/>
  <c r="T20" i="53"/>
  <c r="P12" i="50"/>
  <c r="H25" i="47"/>
  <c r="H33" i="43"/>
  <c r="H24" i="47"/>
  <c r="D33" i="44"/>
  <c r="B16" i="50"/>
  <c r="H24" i="46"/>
  <c r="B25" i="47"/>
  <c r="D13" i="46"/>
  <c r="H20" i="50"/>
  <c r="H20" i="46"/>
  <c r="T25" i="49"/>
  <c r="T33" i="44"/>
  <c r="H13" i="50"/>
  <c r="T24" i="44"/>
  <c r="P22" i="50"/>
  <c r="T33" i="46"/>
  <c r="T22" i="43"/>
  <c r="T22" i="46"/>
  <c r="H22" i="50"/>
  <c r="T20" i="47"/>
  <c r="P24" i="43"/>
  <c r="D20" i="49"/>
  <c r="H25" i="44"/>
  <c r="H16" i="40"/>
  <c r="H15" i="40"/>
  <c r="T25" i="40"/>
  <c r="P25" i="41"/>
  <c r="T20" i="41"/>
  <c r="P13" i="41"/>
  <c r="P21" i="40"/>
  <c r="P20" i="40"/>
  <c r="H22" i="41"/>
  <c r="B25" i="41"/>
  <c r="D13" i="40"/>
  <c r="T34" i="35"/>
  <c r="D12" i="32"/>
  <c r="H25" i="37"/>
  <c r="T12" i="34"/>
  <c r="D4" i="37"/>
  <c r="D25" i="37"/>
  <c r="T21" i="34"/>
  <c r="B25" i="37"/>
  <c r="T20" i="34"/>
  <c r="P16" i="35"/>
  <c r="H20" i="31"/>
  <c r="H34" i="35"/>
  <c r="B22" i="31"/>
  <c r="T29" i="37"/>
  <c r="H29" i="34"/>
  <c r="T22" i="37"/>
  <c r="H13" i="34"/>
  <c r="P29" i="37"/>
  <c r="D29" i="34"/>
  <c r="P16" i="38"/>
  <c r="P21" i="32"/>
  <c r="D20" i="31"/>
  <c r="B25" i="34"/>
  <c r="P13" i="28"/>
  <c r="T12" i="31"/>
  <c r="P33" i="31"/>
  <c r="H25" i="28"/>
  <c r="D16" i="31"/>
  <c r="D4" i="28"/>
  <c r="T29" i="31"/>
  <c r="D29" i="28"/>
  <c r="P13" i="31"/>
  <c r="H15" i="35"/>
  <c r="D16" i="29"/>
  <c r="T34" i="29"/>
  <c r="P24" i="32"/>
  <c r="P34" i="28"/>
  <c r="P21" i="26"/>
  <c r="H22" i="23"/>
  <c r="H34" i="26"/>
  <c r="D33" i="23"/>
  <c r="P22" i="26"/>
  <c r="H16" i="23"/>
  <c r="D15" i="28"/>
  <c r="T33" i="26"/>
  <c r="B16" i="23"/>
  <c r="H16" i="26"/>
  <c r="T29" i="22"/>
  <c r="H22" i="112"/>
  <c r="D34" i="112"/>
  <c r="D6" i="111"/>
  <c r="H24" i="111"/>
  <c r="T20" i="111"/>
  <c r="P21" i="111"/>
  <c r="D20" i="111"/>
  <c r="D5" i="110"/>
  <c r="H12" i="112"/>
  <c r="H20" i="110"/>
  <c r="D33" i="110"/>
  <c r="H21" i="110"/>
  <c r="P34" i="112"/>
  <c r="T24" i="111"/>
  <c r="D21" i="112"/>
  <c r="T13" i="52"/>
  <c r="H29" i="53"/>
  <c r="B39" i="53"/>
  <c r="D34" i="53"/>
  <c r="T15" i="50"/>
  <c r="H16" i="53"/>
  <c r="B25" i="52"/>
  <c r="D20" i="53"/>
  <c r="B21" i="52"/>
  <c r="T12" i="52"/>
  <c r="T16" i="53"/>
  <c r="P34" i="49"/>
  <c r="P15" i="47"/>
  <c r="H29" i="43"/>
  <c r="H22" i="47"/>
  <c r="D29" i="44"/>
  <c r="H33" i="49"/>
  <c r="H22" i="46"/>
  <c r="D24" i="47"/>
  <c r="B22" i="44"/>
  <c r="D5" i="50"/>
  <c r="H16" i="46"/>
  <c r="T24" i="49"/>
  <c r="T29" i="44"/>
  <c r="B39" i="49"/>
  <c r="T22" i="44"/>
  <c r="T16" i="50"/>
  <c r="T29" i="46"/>
  <c r="P12" i="43"/>
  <c r="P12" i="46"/>
  <c r="B21" i="50"/>
  <c r="T16" i="47"/>
  <c r="P22" i="43"/>
  <c r="H12" i="49"/>
  <c r="P15" i="44"/>
  <c r="B13" i="40"/>
  <c r="P24" i="46"/>
  <c r="B16" i="40"/>
  <c r="T21" i="41"/>
  <c r="T16" i="41"/>
  <c r="H12" i="41"/>
  <c r="T15" i="40"/>
  <c r="P16" i="40"/>
  <c r="H13" i="41"/>
  <c r="D24" i="41"/>
  <c r="T12" i="41"/>
  <c r="T33" i="35"/>
  <c r="P21" i="31"/>
  <c r="P15" i="37"/>
  <c r="T29" i="41"/>
  <c r="D29" i="41"/>
  <c r="H21" i="37"/>
  <c r="B38" i="32"/>
  <c r="D24" i="37"/>
  <c r="T16" i="34"/>
  <c r="D12" i="35"/>
  <c r="H16" i="31"/>
  <c r="H33" i="35"/>
  <c r="D21" i="31"/>
  <c r="T25" i="37"/>
  <c r="H25" i="34"/>
  <c r="P12" i="37"/>
  <c r="D4" i="34"/>
  <c r="P25" i="37"/>
  <c r="D25" i="34"/>
  <c r="D12" i="38"/>
  <c r="T15" i="32"/>
  <c r="P16" i="31"/>
  <c r="H16" i="34"/>
  <c r="H12" i="28"/>
  <c r="H34" i="29"/>
  <c r="D25" i="31"/>
  <c r="P15" i="28"/>
  <c r="B38" i="29"/>
  <c r="B22" i="26"/>
  <c r="B16" i="31"/>
  <c r="D25" i="28"/>
  <c r="H13" i="112"/>
  <c r="D33" i="112"/>
  <c r="P21" i="110"/>
  <c r="H22" i="111"/>
  <c r="T16" i="111"/>
  <c r="T15" i="111"/>
  <c r="H16" i="111"/>
  <c r="H15" i="112"/>
  <c r="T34" i="111"/>
  <c r="D15" i="110"/>
  <c r="H29" i="110"/>
  <c r="D16" i="110"/>
  <c r="T22" i="112"/>
  <c r="H34" i="110"/>
  <c r="D15" i="111"/>
  <c r="P20" i="53"/>
  <c r="H25" i="53"/>
  <c r="H24" i="53"/>
  <c r="D33" i="53"/>
  <c r="P13" i="50"/>
  <c r="B13" i="53"/>
  <c r="D24" i="52"/>
  <c r="D16" i="53"/>
  <c r="D20" i="52"/>
  <c r="P34" i="53"/>
  <c r="T13" i="53"/>
  <c r="H29" i="49"/>
  <c r="D5" i="47"/>
  <c r="H25" i="43"/>
  <c r="H13" i="47"/>
  <c r="D25" i="44"/>
  <c r="D29" i="49"/>
  <c r="H13" i="46"/>
  <c r="D22" i="47"/>
  <c r="D21" i="44"/>
  <c r="D33" i="49"/>
  <c r="B13" i="46"/>
  <c r="P21" i="49"/>
  <c r="T25" i="44"/>
  <c r="T34" i="47"/>
  <c r="P12" i="44"/>
  <c r="D13" i="50"/>
  <c r="T25" i="46"/>
  <c r="D21" i="50"/>
  <c r="P24" i="44"/>
  <c r="T33" i="49"/>
  <c r="T13" i="47"/>
  <c r="T20" i="43"/>
  <c r="P20" i="47"/>
  <c r="D5" i="44"/>
  <c r="H15" i="50"/>
  <c r="D12" i="44"/>
  <c r="D15" i="40"/>
  <c r="T24" i="40"/>
  <c r="T13" i="41"/>
  <c r="P24" i="40"/>
  <c r="P13" i="40"/>
  <c r="D12" i="40"/>
  <c r="D4" i="41"/>
  <c r="D22" i="41"/>
  <c r="D20" i="40"/>
  <c r="T29" i="35"/>
  <c r="T15" i="31"/>
  <c r="D5" i="37"/>
  <c r="D34" i="38"/>
  <c r="B25" i="38"/>
  <c r="D13" i="37"/>
  <c r="D34" i="32"/>
  <c r="D22" i="37"/>
  <c r="T13" i="34"/>
  <c r="P21" i="34"/>
  <c r="T25" i="41"/>
  <c r="H29" i="35"/>
  <c r="H15" i="31"/>
  <c r="B16" i="37"/>
  <c r="P15" i="34"/>
  <c r="B38" i="35"/>
  <c r="D34" i="41"/>
  <c r="T21" i="37"/>
  <c r="H21" i="34"/>
  <c r="P21" i="37"/>
  <c r="P13" i="32"/>
  <c r="P21" i="29"/>
  <c r="T34" i="32"/>
  <c r="B39" i="26"/>
  <c r="H33" i="29"/>
  <c r="H21" i="31"/>
  <c r="D5" i="28"/>
  <c r="D34" i="29"/>
  <c r="D21" i="26"/>
  <c r="T13" i="31"/>
  <c r="H21" i="28"/>
  <c r="B22" i="29"/>
  <c r="H29" i="32"/>
  <c r="D21" i="28"/>
  <c r="T29" i="29"/>
  <c r="D34" i="31"/>
  <c r="P29" i="28"/>
  <c r="T15" i="26"/>
  <c r="D4" i="23"/>
  <c r="D20" i="26"/>
  <c r="D25" i="23"/>
  <c r="T16" i="26"/>
  <c r="B38" i="22"/>
  <c r="B21" i="25"/>
  <c r="T25" i="26"/>
  <c r="T12" i="23"/>
  <c r="P34" i="25"/>
  <c r="B16" i="22"/>
  <c r="D5" i="112"/>
  <c r="D29" i="112"/>
  <c r="T15" i="110"/>
  <c r="H13" i="111"/>
  <c r="T13" i="111"/>
  <c r="P13" i="111"/>
  <c r="D34" i="110"/>
  <c r="P29" i="111"/>
  <c r="D29" i="111"/>
  <c r="T16" i="112"/>
  <c r="D24" i="110"/>
  <c r="B13" i="110"/>
  <c r="B21" i="112"/>
  <c r="T29" i="112"/>
  <c r="D20" i="112"/>
  <c r="P16" i="53"/>
  <c r="P15" i="53"/>
  <c r="H22" i="53"/>
  <c r="D29" i="53"/>
  <c r="H12" i="50"/>
  <c r="B38" i="52"/>
  <c r="D22" i="52"/>
  <c r="B22" i="52"/>
  <c r="D16" i="52"/>
  <c r="P33" i="53"/>
  <c r="P34" i="52"/>
  <c r="D25" i="49"/>
  <c r="P20" i="46"/>
  <c r="P15" i="43"/>
  <c r="D4" i="47"/>
  <c r="H21" i="44"/>
  <c r="D4" i="49"/>
  <c r="D4" i="46"/>
  <c r="H20" i="47"/>
  <c r="H15" i="44"/>
  <c r="T22" i="49"/>
  <c r="B21" i="44"/>
  <c r="P20" i="49"/>
  <c r="B16" i="44"/>
  <c r="T33" i="47"/>
  <c r="T34" i="43"/>
  <c r="B38" i="49"/>
  <c r="B16" i="46"/>
  <c r="P16" i="50"/>
  <c r="P22" i="44"/>
  <c r="P29" i="49"/>
  <c r="P34" i="46"/>
  <c r="T16" i="43"/>
  <c r="P16" i="47"/>
  <c r="P21" i="47"/>
  <c r="D22" i="44"/>
  <c r="B16" i="49"/>
  <c r="T12" i="40"/>
  <c r="T22" i="40"/>
  <c r="P34" i="40"/>
  <c r="P22" i="40"/>
  <c r="H12" i="40"/>
  <c r="H25" i="49"/>
  <c r="H34" i="40"/>
  <c r="H20" i="41"/>
  <c r="H34" i="38"/>
  <c r="T25" i="35"/>
  <c r="H21" i="41"/>
  <c r="T24" i="35"/>
  <c r="D33" i="38"/>
  <c r="D24" i="38"/>
  <c r="P24" i="35"/>
  <c r="D33" i="32"/>
  <c r="H20" i="37"/>
  <c r="B38" i="41"/>
  <c r="T15" i="34"/>
  <c r="T33" i="38"/>
  <c r="H25" i="35"/>
  <c r="D25" i="41"/>
  <c r="D15" i="37"/>
  <c r="D5" i="34"/>
  <c r="D34" i="35"/>
  <c r="D4" i="40"/>
  <c r="B25" i="35"/>
  <c r="D13" i="34"/>
  <c r="T15" i="37"/>
  <c r="H12" i="32"/>
  <c r="T15" i="29"/>
  <c r="H24" i="32"/>
  <c r="H24" i="26"/>
  <c r="H29" i="29"/>
  <c r="P12" i="31"/>
  <c r="P21" i="38"/>
  <c r="D33" i="29"/>
  <c r="H15" i="26"/>
  <c r="B25" i="29"/>
  <c r="D13" i="28"/>
  <c r="D21" i="29"/>
  <c r="H22" i="32"/>
  <c r="H15" i="28"/>
  <c r="T25" i="29"/>
  <c r="D29" i="31"/>
  <c r="P25" i="28"/>
  <c r="B38" i="25"/>
  <c r="H34" i="22"/>
  <c r="D13" i="26"/>
  <c r="H21" i="23"/>
  <c r="P15" i="26"/>
  <c r="D34" i="22"/>
  <c r="D20" i="25"/>
  <c r="P24" i="26"/>
  <c r="B21" i="22"/>
  <c r="P33" i="25"/>
  <c r="D15" i="22"/>
  <c r="H12" i="110"/>
  <c r="B22" i="110"/>
  <c r="P21" i="53"/>
  <c r="D33" i="52"/>
  <c r="B22" i="49"/>
  <c r="D24" i="50"/>
  <c r="T12" i="44"/>
  <c r="T16" i="44"/>
  <c r="D29" i="43"/>
  <c r="H12" i="43"/>
  <c r="H24" i="38"/>
  <c r="B13" i="37"/>
  <c r="B39" i="35"/>
  <c r="H12" i="37"/>
  <c r="H24" i="29"/>
  <c r="H15" i="29"/>
  <c r="P25" i="31"/>
  <c r="B25" i="25"/>
  <c r="D16" i="25"/>
  <c r="T12" i="22"/>
  <c r="T13" i="22"/>
  <c r="H33" i="23"/>
  <c r="P13" i="25"/>
  <c r="T24" i="19"/>
  <c r="P33" i="22"/>
  <c r="H33" i="32"/>
  <c r="H12" i="19"/>
  <c r="H29" i="20"/>
  <c r="P33" i="23"/>
  <c r="D5" i="19"/>
  <c r="D29" i="20"/>
  <c r="P24" i="25"/>
  <c r="D34" i="19"/>
  <c r="P16" i="23"/>
  <c r="D15" i="25"/>
  <c r="B21" i="19"/>
  <c r="T33" i="19"/>
  <c r="H15" i="17"/>
  <c r="H21" i="14"/>
  <c r="D16" i="17"/>
  <c r="D33" i="13"/>
  <c r="T12" i="17"/>
  <c r="B13" i="13"/>
  <c r="B21" i="14"/>
  <c r="P25" i="17"/>
  <c r="B21" i="13"/>
  <c r="P29" i="16"/>
  <c r="T12" i="13"/>
  <c r="H20" i="22"/>
  <c r="T16" i="14"/>
  <c r="H22" i="17"/>
  <c r="P21" i="13"/>
  <c r="D34" i="16"/>
  <c r="H33" i="13"/>
  <c r="D12" i="11"/>
  <c r="B22" i="5"/>
  <c r="D12" i="16"/>
  <c r="H34" i="8"/>
  <c r="B22" i="4"/>
  <c r="D4" i="11"/>
  <c r="H34" i="7"/>
  <c r="T12" i="5"/>
  <c r="D25" i="11"/>
  <c r="D25" i="8"/>
  <c r="T33" i="4"/>
  <c r="D24" i="11"/>
  <c r="B25" i="8"/>
  <c r="D13" i="7"/>
  <c r="B22" i="11"/>
  <c r="B25" i="7"/>
  <c r="P33" i="4"/>
  <c r="T33" i="11"/>
  <c r="T25" i="8"/>
  <c r="P13" i="4"/>
  <c r="P34" i="8"/>
  <c r="D4" i="5"/>
  <c r="P13" i="11"/>
  <c r="P22" i="7"/>
  <c r="D33" i="4"/>
  <c r="D5" i="5"/>
  <c r="P25" i="14"/>
  <c r="T33" i="7"/>
  <c r="P33" i="7"/>
  <c r="P12" i="8"/>
  <c r="D16" i="11"/>
  <c r="P22" i="8"/>
  <c r="H12" i="5"/>
  <c r="B22" i="22"/>
  <c r="T29" i="16"/>
  <c r="H12" i="22"/>
  <c r="P15" i="11"/>
  <c r="D33" i="17"/>
  <c r="P22" i="5"/>
  <c r="H25" i="17"/>
  <c r="T24" i="11"/>
  <c r="B16" i="111"/>
  <c r="B39" i="40"/>
  <c r="T16" i="22"/>
  <c r="D5" i="25"/>
  <c r="D21" i="17"/>
  <c r="T12" i="14"/>
  <c r="P16" i="11"/>
  <c r="D29" i="8"/>
  <c r="T34" i="11"/>
  <c r="H21" i="17"/>
  <c r="B22" i="7"/>
  <c r="D5" i="111"/>
  <c r="P34" i="111"/>
  <c r="D12" i="53"/>
  <c r="H20" i="52"/>
  <c r="P16" i="46"/>
  <c r="H16" i="47"/>
  <c r="T29" i="47"/>
  <c r="H22" i="49"/>
  <c r="P22" i="46"/>
  <c r="T13" i="46"/>
  <c r="T22" i="35"/>
  <c r="H24" i="40"/>
  <c r="P21" i="43"/>
  <c r="P24" i="31"/>
  <c r="P25" i="35"/>
  <c r="B25" i="28"/>
  <c r="T21" i="31"/>
  <c r="D24" i="25"/>
  <c r="P25" i="29"/>
  <c r="P12" i="29"/>
  <c r="H34" i="31"/>
  <c r="H29" i="23"/>
  <c r="P34" i="23"/>
  <c r="T22" i="19"/>
  <c r="T24" i="22"/>
  <c r="D16" i="26"/>
  <c r="H12" i="38"/>
  <c r="H25" i="20"/>
  <c r="D24" i="22"/>
  <c r="H13" i="32"/>
  <c r="D25" i="20"/>
  <c r="T20" i="25"/>
  <c r="D33" i="19"/>
  <c r="P34" i="22"/>
  <c r="T20" i="23"/>
  <c r="D20" i="19"/>
  <c r="T29" i="19"/>
  <c r="B25" i="16"/>
  <c r="D13" i="14"/>
  <c r="B22" i="16"/>
  <c r="D29" i="13"/>
  <c r="B21" i="16"/>
  <c r="D21" i="20"/>
  <c r="D20" i="14"/>
  <c r="T21" i="17"/>
  <c r="D20" i="13"/>
  <c r="P25" i="16"/>
  <c r="P34" i="19"/>
  <c r="D24" i="19"/>
  <c r="T13" i="14"/>
  <c r="H13" i="17"/>
  <c r="T15" i="13"/>
  <c r="D33" i="16"/>
  <c r="H29" i="13"/>
  <c r="P21" i="10"/>
  <c r="D21" i="5"/>
  <c r="P22" i="13"/>
  <c r="H33" i="8"/>
  <c r="D21" i="4"/>
  <c r="H34" i="10"/>
  <c r="H33" i="7"/>
  <c r="B21" i="4"/>
  <c r="H21" i="11"/>
  <c r="H21" i="8"/>
  <c r="T29" i="4"/>
  <c r="D22" i="11"/>
  <c r="D24" i="8"/>
  <c r="P34" i="5"/>
  <c r="D21" i="11"/>
  <c r="D24" i="7"/>
  <c r="P29" i="4"/>
  <c r="T29" i="11"/>
  <c r="B16" i="8"/>
  <c r="H12" i="4"/>
  <c r="P33" i="8"/>
  <c r="H34" i="4"/>
  <c r="H12" i="11"/>
  <c r="T20" i="7"/>
  <c r="D29" i="4"/>
  <c r="D12" i="4"/>
  <c r="T20" i="11"/>
  <c r="T25" i="7"/>
  <c r="P25" i="7"/>
  <c r="T12" i="7"/>
  <c r="B22" i="10"/>
  <c r="T16" i="8"/>
  <c r="P24" i="4"/>
  <c r="P22" i="20"/>
  <c r="B25" i="13"/>
  <c r="T33" i="13"/>
  <c r="H13" i="16"/>
  <c r="P16" i="13"/>
  <c r="D4" i="10"/>
  <c r="H16" i="10"/>
  <c r="P12" i="7"/>
  <c r="B38" i="5"/>
  <c r="P33" i="14"/>
  <c r="P12" i="111"/>
  <c r="P16" i="44"/>
  <c r="T24" i="26"/>
  <c r="H33" i="20"/>
  <c r="T34" i="19"/>
  <c r="P29" i="17"/>
  <c r="H34" i="13"/>
  <c r="D15" i="5"/>
  <c r="P34" i="4"/>
  <c r="B16" i="7"/>
  <c r="P20" i="110"/>
  <c r="D25" i="111"/>
  <c r="P21" i="52"/>
  <c r="H16" i="52"/>
  <c r="D12" i="46"/>
  <c r="B13" i="47"/>
  <c r="T25" i="47"/>
  <c r="H21" i="49"/>
  <c r="B38" i="43"/>
  <c r="B25" i="44"/>
  <c r="P12" i="35"/>
  <c r="B21" i="38"/>
  <c r="T34" i="41"/>
  <c r="P22" i="31"/>
  <c r="T22" i="34"/>
  <c r="B39" i="32"/>
  <c r="P33" i="28"/>
  <c r="D29" i="23"/>
  <c r="D29" i="26"/>
  <c r="P16" i="25"/>
  <c r="T25" i="28"/>
  <c r="H25" i="23"/>
  <c r="P22" i="23"/>
  <c r="P12" i="19"/>
  <c r="P21" i="22"/>
  <c r="T16" i="25"/>
  <c r="T29" i="28"/>
  <c r="P15" i="20"/>
  <c r="B39" i="20"/>
  <c r="B21" i="26"/>
  <c r="H21" i="20"/>
  <c r="P24" i="23"/>
  <c r="D29" i="19"/>
  <c r="B21" i="20"/>
  <c r="P25" i="22"/>
  <c r="D16" i="19"/>
  <c r="T25" i="19"/>
  <c r="D24" i="16"/>
  <c r="B39" i="13"/>
  <c r="D21" i="16"/>
  <c r="D25" i="13"/>
  <c r="D20" i="16"/>
  <c r="T24" i="17"/>
  <c r="D16" i="14"/>
  <c r="T24" i="16"/>
  <c r="D16" i="13"/>
  <c r="T21" i="16"/>
  <c r="P21" i="17"/>
  <c r="P20" i="17"/>
  <c r="P34" i="13"/>
  <c r="D4" i="17"/>
  <c r="P13" i="13"/>
  <c r="D29" i="16"/>
  <c r="H25" i="13"/>
  <c r="T15" i="10"/>
  <c r="H15" i="5"/>
  <c r="T16" i="13"/>
  <c r="H29" i="8"/>
  <c r="H15" i="4"/>
  <c r="H33" i="10"/>
  <c r="H29" i="7"/>
  <c r="D20" i="4"/>
  <c r="D13" i="11"/>
  <c r="D13" i="8"/>
  <c r="T25" i="4"/>
  <c r="H20" i="11"/>
  <c r="D22" i="8"/>
  <c r="P33" i="5"/>
  <c r="H15" i="11"/>
  <c r="D22" i="7"/>
  <c r="P25" i="4"/>
  <c r="T25" i="11"/>
  <c r="D15" i="8"/>
  <c r="T24" i="13"/>
  <c r="P29" i="8"/>
  <c r="H33" i="4"/>
  <c r="P24" i="10"/>
  <c r="T16" i="7"/>
  <c r="D25" i="4"/>
  <c r="T33" i="10"/>
  <c r="T13" i="11"/>
  <c r="D15" i="7"/>
  <c r="D29" i="5"/>
  <c r="H34" i="5"/>
  <c r="T22" i="8"/>
  <c r="P29" i="7"/>
  <c r="T13" i="4"/>
  <c r="T29" i="20"/>
  <c r="T20" i="20"/>
  <c r="D22" i="17"/>
  <c r="B39" i="8"/>
  <c r="T22" i="4"/>
  <c r="P21" i="8"/>
  <c r="P13" i="110"/>
  <c r="B13" i="44"/>
  <c r="B13" i="32"/>
  <c r="B22" i="23"/>
  <c r="B38" i="19"/>
  <c r="D15" i="17"/>
  <c r="H24" i="17"/>
  <c r="D16" i="5"/>
  <c r="H21" i="7"/>
  <c r="P24" i="7"/>
  <c r="T24" i="110"/>
  <c r="D13" i="110"/>
  <c r="D5" i="53"/>
  <c r="D21" i="52"/>
  <c r="D5" i="43"/>
  <c r="B25" i="43"/>
  <c r="T33" i="43"/>
  <c r="P33" i="46"/>
  <c r="P34" i="38"/>
  <c r="H33" i="40"/>
  <c r="D29" i="38"/>
  <c r="P13" i="34"/>
  <c r="D33" i="35"/>
  <c r="P13" i="29"/>
  <c r="D29" i="29"/>
  <c r="T13" i="32"/>
  <c r="T21" i="28"/>
  <c r="D13" i="23"/>
  <c r="P12" i="26"/>
  <c r="D12" i="25"/>
  <c r="D33" i="26"/>
  <c r="P15" i="23"/>
  <c r="D12" i="23"/>
  <c r="D5" i="26"/>
  <c r="P21" i="20"/>
  <c r="P29" i="23"/>
  <c r="T34" i="26"/>
  <c r="D5" i="20"/>
  <c r="H24" i="20"/>
  <c r="T34" i="25"/>
  <c r="D13" i="20"/>
  <c r="D21" i="23"/>
  <c r="D25" i="19"/>
  <c r="D20" i="20"/>
  <c r="D22" i="22"/>
  <c r="P22" i="25"/>
  <c r="B16" i="19"/>
  <c r="D22" i="16"/>
  <c r="H24" i="13"/>
  <c r="H15" i="16"/>
  <c r="H21" i="13"/>
  <c r="D16" i="16"/>
  <c r="T22" i="17"/>
  <c r="B22" i="13"/>
  <c r="T22" i="16"/>
  <c r="B25" i="19"/>
  <c r="T24" i="14"/>
  <c r="T15" i="17"/>
  <c r="P16" i="17"/>
  <c r="P33" i="13"/>
  <c r="H34" i="16"/>
  <c r="H12" i="13"/>
  <c r="D25" i="16"/>
  <c r="P15" i="13"/>
  <c r="P13" i="10"/>
  <c r="B25" i="4"/>
  <c r="H34" i="11"/>
  <c r="H25" i="8"/>
  <c r="T16" i="20"/>
  <c r="H29" i="10"/>
  <c r="H25" i="7"/>
  <c r="D16" i="4"/>
  <c r="B39" i="10"/>
  <c r="B39" i="7"/>
  <c r="B16" i="4"/>
  <c r="H16" i="11"/>
  <c r="H20" i="8"/>
  <c r="P29" i="5"/>
  <c r="B25" i="10"/>
  <c r="H20" i="7"/>
  <c r="T21" i="4"/>
  <c r="B16" i="11"/>
  <c r="T12" i="8"/>
  <c r="P12" i="13"/>
  <c r="P25" i="8"/>
  <c r="H29" i="4"/>
  <c r="P22" i="10"/>
  <c r="T13" i="7"/>
  <c r="H21" i="4"/>
  <c r="T25" i="10"/>
  <c r="P33" i="10"/>
  <c r="H29" i="5"/>
  <c r="H22" i="4"/>
  <c r="P15" i="5"/>
  <c r="T29" i="7"/>
  <c r="D33" i="5"/>
  <c r="H15" i="19"/>
  <c r="T29" i="14"/>
  <c r="H24" i="14"/>
  <c r="P16" i="7"/>
  <c r="T21" i="14"/>
  <c r="D34" i="7"/>
  <c r="P20" i="5"/>
  <c r="H20" i="5"/>
  <c r="D20" i="8"/>
  <c r="T34" i="50"/>
  <c r="B39" i="29"/>
  <c r="T21" i="20"/>
  <c r="P25" i="26"/>
  <c r="D34" i="13"/>
  <c r="T20" i="14"/>
  <c r="D12" i="10"/>
  <c r="D13" i="10"/>
  <c r="P12" i="10"/>
  <c r="T13" i="8"/>
  <c r="T22" i="110"/>
  <c r="P29" i="112"/>
  <c r="P20" i="52"/>
  <c r="H15" i="52"/>
  <c r="H24" i="50"/>
  <c r="D24" i="43"/>
  <c r="T29" i="43"/>
  <c r="P29" i="46"/>
  <c r="T34" i="49"/>
  <c r="H29" i="40"/>
  <c r="D25" i="38"/>
  <c r="H12" i="34"/>
  <c r="D29" i="35"/>
  <c r="H12" i="29"/>
  <c r="D25" i="29"/>
  <c r="B38" i="31"/>
  <c r="P20" i="26"/>
  <c r="B39" i="22"/>
  <c r="T24" i="25"/>
  <c r="P21" i="23"/>
  <c r="T29" i="26"/>
  <c r="D5" i="23"/>
  <c r="P29" i="22"/>
  <c r="H33" i="25"/>
  <c r="T15" i="20"/>
  <c r="H15" i="23"/>
  <c r="B16" i="26"/>
  <c r="P20" i="19"/>
  <c r="H22" i="20"/>
  <c r="T29" i="25"/>
  <c r="B39" i="19"/>
  <c r="T22" i="22"/>
  <c r="H21" i="19"/>
  <c r="D16" i="20"/>
  <c r="T15" i="22"/>
  <c r="T13" i="25"/>
  <c r="D15" i="19"/>
  <c r="H20" i="16"/>
  <c r="H22" i="13"/>
  <c r="B25" i="14"/>
  <c r="D13" i="13"/>
  <c r="B22" i="14"/>
  <c r="P12" i="17"/>
  <c r="D21" i="13"/>
  <c r="P12" i="16"/>
  <c r="H16" i="19"/>
  <c r="T22" i="14"/>
  <c r="P13" i="17"/>
  <c r="D12" i="17"/>
  <c r="P29" i="13"/>
  <c r="H33" i="16"/>
  <c r="H15" i="20"/>
  <c r="H21" i="16"/>
  <c r="D5" i="13"/>
  <c r="H12" i="10"/>
  <c r="D24" i="4"/>
  <c r="H33" i="11"/>
  <c r="P15" i="8"/>
  <c r="D34" i="17"/>
  <c r="H25" i="10"/>
  <c r="P15" i="7"/>
  <c r="H33" i="17"/>
  <c r="H24" i="10"/>
  <c r="H24" i="7"/>
  <c r="D15" i="4"/>
  <c r="B13" i="11"/>
  <c r="H16" i="8"/>
  <c r="P25" i="5"/>
  <c r="D24" i="10"/>
  <c r="H16" i="7"/>
  <c r="T15" i="25"/>
  <c r="D15" i="11"/>
  <c r="B21" i="7"/>
  <c r="P34" i="11"/>
  <c r="T21" i="8"/>
  <c r="H25" i="4"/>
  <c r="T20" i="10"/>
  <c r="B25" i="5"/>
  <c r="D13" i="4"/>
  <c r="D15" i="10"/>
  <c r="P25" i="10"/>
  <c r="P16" i="4"/>
  <c r="T20" i="4"/>
  <c r="T16" i="11"/>
  <c r="H33" i="5"/>
  <c r="D25" i="5"/>
  <c r="D22" i="20"/>
  <c r="P22" i="16"/>
  <c r="T33" i="5"/>
  <c r="P25" i="11"/>
  <c r="P24" i="8"/>
  <c r="H16" i="37"/>
  <c r="T12" i="20"/>
  <c r="D29" i="11"/>
  <c r="H12" i="111"/>
  <c r="T34" i="112"/>
  <c r="H13" i="53"/>
  <c r="T24" i="53"/>
  <c r="H34" i="46"/>
  <c r="T21" i="49"/>
  <c r="T29" i="49"/>
  <c r="T13" i="43"/>
  <c r="P12" i="40"/>
  <c r="H16" i="41"/>
  <c r="D22" i="38"/>
  <c r="T29" i="38"/>
  <c r="B39" i="38"/>
  <c r="P12" i="32"/>
  <c r="D22" i="34"/>
  <c r="B22" i="28"/>
  <c r="H20" i="26"/>
  <c r="H21" i="26"/>
  <c r="D15" i="23"/>
  <c r="T15" i="23"/>
  <c r="D25" i="26"/>
  <c r="P20" i="22"/>
  <c r="B25" i="22"/>
  <c r="P25" i="23"/>
  <c r="P13" i="20"/>
  <c r="P13" i="22"/>
  <c r="P21" i="25"/>
  <c r="P16" i="19"/>
  <c r="H13" i="20"/>
  <c r="B16" i="25"/>
  <c r="H24" i="19"/>
  <c r="B25" i="20"/>
  <c r="D13" i="19"/>
  <c r="B22" i="19"/>
  <c r="T34" i="20"/>
  <c r="P20" i="23"/>
  <c r="T12" i="19"/>
  <c r="H16" i="16"/>
  <c r="H13" i="13"/>
  <c r="D24" i="14"/>
  <c r="P33" i="29"/>
  <c r="D21" i="14"/>
  <c r="T34" i="16"/>
  <c r="H15" i="13"/>
  <c r="T34" i="14"/>
  <c r="P24" i="17"/>
  <c r="P12" i="14"/>
  <c r="H12" i="17"/>
  <c r="P21" i="16"/>
  <c r="P25" i="13"/>
  <c r="H29" i="16"/>
  <c r="B25" i="17"/>
  <c r="D13" i="16"/>
  <c r="D25" i="17"/>
  <c r="P20" i="8"/>
  <c r="D22" i="4"/>
  <c r="H29" i="11"/>
  <c r="D5" i="8"/>
  <c r="D4" i="16"/>
  <c r="P15" i="10"/>
  <c r="D5" i="7"/>
  <c r="P20" i="16"/>
  <c r="H22" i="10"/>
  <c r="H22" i="7"/>
  <c r="T12" i="4"/>
  <c r="B38" i="10"/>
  <c r="B13" i="8"/>
  <c r="T21" i="5"/>
  <c r="D22" i="10"/>
  <c r="B13" i="7"/>
  <c r="T21" i="19"/>
  <c r="T12" i="11"/>
  <c r="D20" i="7"/>
  <c r="P33" i="11"/>
  <c r="T24" i="7"/>
  <c r="P15" i="4"/>
  <c r="T16" i="10"/>
  <c r="D24" i="5"/>
  <c r="D29" i="17"/>
  <c r="P34" i="7"/>
  <c r="B21" i="8"/>
  <c r="P22" i="11"/>
  <c r="B39" i="16"/>
  <c r="T22" i="11"/>
  <c r="H25" i="5"/>
  <c r="D13" i="5"/>
  <c r="H13" i="19"/>
  <c r="P15" i="16"/>
  <c r="D33" i="10"/>
  <c r="H15" i="7"/>
  <c r="T20" i="44"/>
  <c r="P29" i="26"/>
  <c r="P13" i="19"/>
  <c r="T33" i="25"/>
  <c r="T12" i="16"/>
  <c r="B38" i="16"/>
  <c r="D4" i="8"/>
  <c r="H15" i="8"/>
  <c r="D34" i="4"/>
  <c r="B16" i="10"/>
  <c r="P34" i="110"/>
  <c r="P21" i="112"/>
  <c r="D4" i="53"/>
  <c r="T22" i="53"/>
  <c r="H33" i="46"/>
  <c r="D13" i="49"/>
  <c r="P25" i="49"/>
  <c r="P24" i="50"/>
  <c r="T33" i="50"/>
  <c r="B13" i="41"/>
  <c r="H20" i="38"/>
  <c r="T25" i="38"/>
  <c r="P24" i="38"/>
  <c r="T33" i="31"/>
  <c r="B13" i="34"/>
  <c r="T15" i="38"/>
  <c r="D34" i="25"/>
  <c r="B13" i="26"/>
  <c r="D20" i="22"/>
  <c r="P13" i="23"/>
  <c r="B39" i="25"/>
  <c r="P16" i="22"/>
  <c r="H15" i="22"/>
  <c r="D20" i="23"/>
  <c r="H12" i="20"/>
  <c r="P20" i="20"/>
  <c r="H12" i="25"/>
  <c r="D12" i="19"/>
  <c r="D4" i="20"/>
  <c r="T13" i="23"/>
  <c r="H22" i="19"/>
  <c r="D24" i="20"/>
  <c r="H33" i="26"/>
  <c r="D21" i="19"/>
  <c r="T33" i="20"/>
  <c r="D16" i="23"/>
  <c r="B21" i="23"/>
  <c r="B13" i="16"/>
  <c r="D4" i="13"/>
  <c r="D22" i="14"/>
  <c r="T34" i="17"/>
  <c r="H15" i="14"/>
  <c r="T33" i="16"/>
  <c r="T20" i="26"/>
  <c r="T33" i="14"/>
  <c r="P22" i="17"/>
  <c r="T34" i="13"/>
  <c r="P24" i="16"/>
  <c r="T15" i="16"/>
  <c r="T21" i="13"/>
  <c r="H25" i="16"/>
  <c r="D24" i="17"/>
  <c r="B39" i="14"/>
  <c r="H22" i="16"/>
  <c r="P16" i="8"/>
  <c r="H20" i="4"/>
  <c r="H25" i="11"/>
  <c r="P20" i="7"/>
  <c r="H29" i="14"/>
  <c r="D5" i="10"/>
  <c r="T34" i="5"/>
  <c r="P34" i="14"/>
  <c r="H13" i="10"/>
  <c r="H13" i="7"/>
  <c r="P33" i="19"/>
  <c r="D34" i="10"/>
  <c r="B38" i="7"/>
  <c r="T24" i="4"/>
  <c r="H20" i="10"/>
  <c r="P24" i="5"/>
  <c r="H29" i="17"/>
  <c r="B21" i="10"/>
  <c r="D16" i="7"/>
  <c r="P29" i="11"/>
  <c r="T22" i="7"/>
  <c r="D5" i="4"/>
  <c r="T13" i="10"/>
  <c r="D22" i="5"/>
  <c r="H33" i="14"/>
  <c r="T21" i="7"/>
  <c r="D21" i="7"/>
  <c r="P24" i="13"/>
  <c r="P24" i="11"/>
  <c r="T29" i="10"/>
  <c r="P20" i="4"/>
  <c r="H13" i="4"/>
  <c r="H16" i="22"/>
  <c r="P13" i="16"/>
  <c r="H16" i="4"/>
  <c r="D4" i="7"/>
  <c r="D20" i="10"/>
  <c r="B21" i="11"/>
  <c r="B38" i="17"/>
  <c r="D15" i="44"/>
  <c r="H12" i="31"/>
  <c r="T13" i="19"/>
  <c r="P15" i="25"/>
  <c r="H16" i="13"/>
  <c r="D12" i="14"/>
  <c r="H13" i="11"/>
  <c r="P15" i="14"/>
  <c r="T15" i="11"/>
  <c r="T24" i="8"/>
  <c r="P20" i="111"/>
  <c r="B25" i="110"/>
  <c r="T12" i="112"/>
  <c r="D25" i="53"/>
  <c r="P29" i="53"/>
  <c r="D13" i="44"/>
  <c r="D20" i="44"/>
  <c r="D15" i="46"/>
  <c r="D12" i="47"/>
  <c r="P33" i="40"/>
  <c r="H33" i="38"/>
  <c r="P22" i="35"/>
  <c r="P15" i="35"/>
  <c r="D24" i="35"/>
  <c r="H22" i="26"/>
  <c r="D24" i="29"/>
  <c r="P33" i="35"/>
  <c r="D33" i="25"/>
  <c r="B22" i="25"/>
  <c r="D16" i="22"/>
  <c r="H12" i="23"/>
  <c r="H24" i="25"/>
  <c r="D12" i="22"/>
  <c r="P34" i="20"/>
  <c r="T21" i="22"/>
  <c r="P24" i="19"/>
  <c r="P16" i="20"/>
  <c r="T21" i="23"/>
  <c r="T20" i="37"/>
  <c r="H34" i="19"/>
  <c r="H25" i="26"/>
  <c r="B38" i="14"/>
  <c r="T16" i="23"/>
  <c r="H20" i="14"/>
  <c r="T33" i="17"/>
  <c r="T20" i="17"/>
  <c r="D12" i="8"/>
  <c r="P16" i="16"/>
  <c r="P16" i="111"/>
  <c r="H22" i="110"/>
  <c r="D25" i="110"/>
  <c r="H21" i="53"/>
  <c r="P25" i="53"/>
  <c r="B39" i="43"/>
  <c r="D16" i="44"/>
  <c r="T12" i="46"/>
  <c r="P21" i="46"/>
  <c r="P29" i="40"/>
  <c r="H29" i="38"/>
  <c r="T20" i="35"/>
  <c r="D5" i="35"/>
  <c r="D22" i="35"/>
  <c r="H13" i="26"/>
  <c r="D22" i="29"/>
  <c r="T33" i="29"/>
  <c r="H13" i="23"/>
  <c r="B13" i="23"/>
  <c r="D15" i="26"/>
  <c r="P24" i="22"/>
  <c r="H22" i="25"/>
  <c r="D4" i="31"/>
  <c r="P33" i="20"/>
  <c r="H29" i="26"/>
  <c r="P22" i="19"/>
  <c r="D12" i="20"/>
  <c r="D21" i="22"/>
  <c r="P34" i="26"/>
  <c r="H33" i="19"/>
  <c r="P12" i="22"/>
  <c r="D4" i="19"/>
  <c r="H20" i="20"/>
  <c r="P13" i="26"/>
  <c r="H24" i="31"/>
  <c r="T25" i="20"/>
  <c r="T24" i="20"/>
  <c r="T13" i="20"/>
  <c r="D34" i="14"/>
  <c r="B22" i="20"/>
  <c r="H16" i="14"/>
  <c r="T29" i="17"/>
  <c r="D24" i="13"/>
  <c r="T25" i="16"/>
  <c r="P25" i="19"/>
  <c r="T25" i="14"/>
  <c r="T16" i="17"/>
  <c r="T29" i="13"/>
  <c r="T20" i="16"/>
  <c r="H12" i="16"/>
  <c r="D22" i="19"/>
  <c r="D5" i="16"/>
  <c r="H20" i="17"/>
  <c r="H22" i="14"/>
  <c r="P29" i="14"/>
  <c r="P21" i="7"/>
  <c r="B13" i="4"/>
  <c r="D5" i="11"/>
  <c r="D12" i="7"/>
  <c r="B39" i="11"/>
  <c r="H24" i="8"/>
  <c r="T29" i="5"/>
  <c r="B38" i="11"/>
  <c r="B38" i="8"/>
  <c r="T24" i="5"/>
  <c r="D13" i="17"/>
  <c r="D29" i="10"/>
  <c r="D33" i="7"/>
  <c r="P12" i="4"/>
  <c r="B13" i="10"/>
  <c r="T20" i="5"/>
  <c r="P13" i="14"/>
  <c r="D16" i="10"/>
  <c r="P16" i="5"/>
  <c r="T21" i="11"/>
  <c r="B39" i="5"/>
  <c r="D5" i="14"/>
  <c r="T15" i="8"/>
  <c r="H16" i="5"/>
  <c r="D21" i="10"/>
  <c r="B39" i="4"/>
  <c r="P22" i="4"/>
  <c r="P12" i="11"/>
  <c r="P21" i="5"/>
  <c r="D34" i="5"/>
  <c r="H24" i="16"/>
  <c r="P34" i="10"/>
  <c r="D34" i="52"/>
  <c r="T12" i="37"/>
  <c r="H34" i="23"/>
  <c r="P15" i="19"/>
  <c r="D25" i="14"/>
  <c r="D15" i="13"/>
  <c r="H12" i="7"/>
  <c r="T34" i="4"/>
  <c r="T15" i="4"/>
  <c r="D20" i="11"/>
  <c r="D25" i="112"/>
  <c r="T25" i="111"/>
  <c r="H16" i="110"/>
  <c r="P24" i="49"/>
  <c r="P33" i="52"/>
  <c r="B38" i="47"/>
  <c r="B13" i="49"/>
  <c r="B13" i="50"/>
  <c r="T15" i="43"/>
  <c r="T20" i="40"/>
  <c r="B16" i="35"/>
  <c r="D29" i="32"/>
  <c r="H22" i="40"/>
  <c r="P34" i="32"/>
  <c r="H25" i="29"/>
  <c r="P24" i="37"/>
  <c r="B16" i="29"/>
  <c r="H33" i="22"/>
  <c r="D33" i="22"/>
  <c r="P29" i="25"/>
  <c r="P22" i="22"/>
  <c r="H13" i="25"/>
  <c r="T21" i="29"/>
  <c r="P29" i="20"/>
  <c r="T25" i="25"/>
  <c r="T20" i="19"/>
  <c r="P21" i="19"/>
  <c r="B13" i="22"/>
  <c r="T21" i="26"/>
  <c r="H29" i="19"/>
  <c r="B38" i="20"/>
  <c r="D13" i="32"/>
  <c r="H16" i="20"/>
  <c r="H34" i="25"/>
  <c r="T22" i="29"/>
  <c r="B16" i="20"/>
  <c r="T22" i="20"/>
  <c r="P29" i="19"/>
  <c r="D33" i="14"/>
  <c r="H20" i="19"/>
  <c r="B13" i="14"/>
  <c r="T25" i="17"/>
  <c r="D22" i="13"/>
  <c r="B16" i="16"/>
  <c r="P34" i="17"/>
  <c r="B16" i="14"/>
  <c r="T13" i="17"/>
  <c r="T25" i="13"/>
  <c r="T16" i="16"/>
  <c r="P24" i="14"/>
  <c r="B13" i="19"/>
  <c r="P20" i="14"/>
  <c r="H16" i="17"/>
  <c r="H13" i="14"/>
  <c r="T22" i="13"/>
  <c r="T15" i="7"/>
  <c r="P24" i="20"/>
  <c r="P20" i="10"/>
  <c r="B21" i="5"/>
  <c r="H24" i="11"/>
  <c r="H22" i="8"/>
  <c r="T25" i="5"/>
  <c r="D34" i="11"/>
  <c r="D34" i="8"/>
  <c r="T22" i="5"/>
  <c r="P21" i="14"/>
  <c r="D25" i="10"/>
  <c r="D29" i="7"/>
  <c r="D5" i="17"/>
  <c r="B22" i="8"/>
  <c r="T16" i="5"/>
  <c r="T20" i="13"/>
  <c r="T34" i="8"/>
  <c r="D12" i="5"/>
  <c r="T24" i="10"/>
  <c r="H24" i="5"/>
  <c r="D12" i="13"/>
  <c r="P13" i="8"/>
  <c r="B13" i="5"/>
  <c r="H15" i="10"/>
  <c r="H24" i="4"/>
  <c r="T16" i="4"/>
  <c r="T12" i="10"/>
  <c r="T15" i="5"/>
  <c r="H21" i="5"/>
  <c r="H12" i="14"/>
  <c r="T21" i="10"/>
  <c r="D24" i="49"/>
  <c r="P13" i="37"/>
  <c r="H12" i="26"/>
  <c r="D33" i="20"/>
  <c r="D20" i="17"/>
  <c r="T33" i="41"/>
  <c r="P15" i="17"/>
  <c r="B25" i="11"/>
  <c r="H13" i="5"/>
  <c r="P13" i="5"/>
  <c r="H21" i="112"/>
  <c r="H21" i="111"/>
  <c r="P15" i="110"/>
  <c r="P22" i="49"/>
  <c r="P29" i="52"/>
  <c r="D34" i="47"/>
  <c r="B21" i="47"/>
  <c r="T12" i="49"/>
  <c r="B22" i="41"/>
  <c r="T16" i="40"/>
  <c r="D15" i="35"/>
  <c r="D25" i="32"/>
  <c r="H13" i="40"/>
  <c r="P33" i="32"/>
  <c r="P15" i="29"/>
  <c r="P34" i="35"/>
  <c r="D15" i="29"/>
  <c r="H29" i="22"/>
  <c r="D29" i="22"/>
  <c r="P25" i="25"/>
  <c r="T20" i="22"/>
  <c r="D4" i="25"/>
  <c r="B38" i="26"/>
  <c r="P25" i="20"/>
  <c r="T12" i="25"/>
  <c r="T16" i="19"/>
  <c r="T15" i="19"/>
  <c r="H34" i="20"/>
  <c r="H25" i="25"/>
  <c r="H25" i="19"/>
  <c r="D34" i="20"/>
  <c r="P33" i="26"/>
  <c r="B13" i="20"/>
  <c r="H29" i="25"/>
  <c r="T12" i="26"/>
  <c r="D15" i="20"/>
  <c r="P12" i="20"/>
  <c r="B22" i="17"/>
  <c r="D29" i="14"/>
  <c r="B21" i="17"/>
  <c r="B38" i="13"/>
  <c r="B16" i="17"/>
  <c r="H20" i="13"/>
  <c r="D15" i="16"/>
  <c r="P33" i="17"/>
  <c r="D15" i="14"/>
  <c r="P34" i="16"/>
  <c r="B16" i="13"/>
  <c r="T13" i="16"/>
  <c r="P22" i="14"/>
  <c r="B39" i="17"/>
  <c r="P16" i="14"/>
  <c r="B13" i="17"/>
  <c r="D4" i="14"/>
  <c r="P20" i="11"/>
  <c r="P13" i="7"/>
  <c r="H34" i="17"/>
  <c r="P16" i="10"/>
  <c r="D20" i="5"/>
  <c r="H22" i="11"/>
  <c r="H13" i="8"/>
  <c r="B16" i="5"/>
  <c r="D33" i="11"/>
  <c r="D33" i="8"/>
  <c r="P12" i="5"/>
  <c r="T15" i="14"/>
  <c r="H21" i="10"/>
  <c r="D25" i="7"/>
  <c r="H34" i="14"/>
  <c r="D21" i="8"/>
  <c r="T13" i="5"/>
  <c r="T13" i="13"/>
  <c r="T33" i="8"/>
  <c r="P21" i="4"/>
  <c r="T22" i="10"/>
  <c r="H22" i="5"/>
  <c r="P21" i="11"/>
  <c r="H12" i="8"/>
  <c r="B38" i="4"/>
  <c r="T34" i="7"/>
  <c r="D4" i="4"/>
  <c r="H25" i="14"/>
  <c r="T20" i="8"/>
  <c r="P20" i="13"/>
  <c r="P29" i="10"/>
  <c r="T34" i="10"/>
  <c r="D16" i="8"/>
  <c r="T25" i="22"/>
  <c r="P33" i="16"/>
  <c r="T29" i="8"/>
  <c r="X18" i="55" l="1"/>
  <c r="Z18" i="55" s="1"/>
  <c r="N23" i="104"/>
  <c r="L19" i="48"/>
  <c r="N19" i="48" s="1"/>
  <c r="N22" i="88"/>
  <c r="N30" i="36"/>
  <c r="N18" i="58"/>
  <c r="X26" i="78"/>
  <c r="X22" i="83"/>
  <c r="X23" i="103"/>
  <c r="Z23" i="103"/>
  <c r="N22" i="94"/>
  <c r="L22" i="94"/>
  <c r="X30" i="36"/>
  <c r="Z30" i="36" s="1"/>
  <c r="D72" i="58"/>
  <c r="D61" i="59"/>
  <c r="D65" i="59" s="1"/>
  <c r="D68" i="59" s="1"/>
  <c r="Z19" i="99"/>
  <c r="L18" i="102"/>
  <c r="N18" i="102" s="1"/>
  <c r="L161" i="15"/>
  <c r="L18" i="56"/>
  <c r="N18" i="56" s="1"/>
  <c r="P72" i="58"/>
  <c r="X59" i="84"/>
  <c r="Z22" i="88"/>
  <c r="X22" i="94"/>
  <c r="Z22" i="94" s="1"/>
  <c r="L21" i="92"/>
  <c r="N21" i="92" s="1"/>
  <c r="P91" i="9"/>
  <c r="N166" i="12"/>
  <c r="X161" i="15"/>
  <c r="N29" i="42"/>
  <c r="Z18" i="57"/>
  <c r="X23" i="101"/>
  <c r="V25" i="45"/>
  <c r="N29" i="21"/>
  <c r="Z29" i="42"/>
  <c r="X69" i="68"/>
  <c r="N26" i="72"/>
  <c r="R22" i="79"/>
  <c r="Z21" i="98"/>
  <c r="P43" i="99"/>
  <c r="Z21" i="100"/>
  <c r="N18" i="9"/>
  <c r="N32" i="75"/>
  <c r="N22" i="95"/>
  <c r="N18" i="108"/>
  <c r="X18" i="61"/>
  <c r="Z18" i="61" s="1"/>
  <c r="N22" i="69"/>
  <c r="L22" i="80"/>
  <c r="L19" i="99"/>
  <c r="N19" i="99" s="1"/>
  <c r="X77" i="24"/>
  <c r="T61" i="59"/>
  <c r="Z32" i="75"/>
  <c r="N22" i="80"/>
  <c r="L23" i="103"/>
  <c r="N23" i="103" s="1"/>
  <c r="Z56" i="51"/>
  <c r="X18" i="63"/>
  <c r="Z22" i="69"/>
  <c r="N26" i="78"/>
  <c r="X22" i="80"/>
  <c r="Z22" i="80" s="1"/>
  <c r="X23" i="104"/>
  <c r="Z13" i="4"/>
  <c r="X24" i="4"/>
  <c r="N12" i="5"/>
  <c r="J36" i="5"/>
  <c r="J34" i="5"/>
  <c r="J33" i="5"/>
  <c r="J31" i="5"/>
  <c r="J29" i="5"/>
  <c r="J27" i="5"/>
  <c r="J25" i="5"/>
  <c r="J21" i="5"/>
  <c r="H18" i="5"/>
  <c r="J15" i="5"/>
  <c r="J24" i="5"/>
  <c r="J18" i="5"/>
  <c r="J22" i="5"/>
  <c r="J16" i="5"/>
  <c r="J20" i="5"/>
  <c r="L16" i="8"/>
  <c r="Z21" i="10"/>
  <c r="X34" i="10"/>
  <c r="X33" i="14"/>
  <c r="N13" i="4"/>
  <c r="L13" i="5"/>
  <c r="L25" i="5"/>
  <c r="L33" i="5"/>
  <c r="X29" i="7"/>
  <c r="Z16" i="8"/>
  <c r="X22" i="8"/>
  <c r="Z34" i="10"/>
  <c r="J20" i="14"/>
  <c r="J18" i="14"/>
  <c r="J16" i="14"/>
  <c r="H18" i="14"/>
  <c r="J15" i="14"/>
  <c r="J36" i="14"/>
  <c r="J34" i="14"/>
  <c r="J33" i="14"/>
  <c r="J31" i="14"/>
  <c r="J29" i="14"/>
  <c r="J27" i="14"/>
  <c r="J25" i="14"/>
  <c r="J21" i="14"/>
  <c r="J22" i="14"/>
  <c r="N12" i="14"/>
  <c r="J24" i="14"/>
  <c r="N24" i="16"/>
  <c r="X20" i="4"/>
  <c r="N25" i="5"/>
  <c r="N33" i="5"/>
  <c r="Z29" i="7"/>
  <c r="Z22" i="8"/>
  <c r="L16" i="11"/>
  <c r="X13" i="5"/>
  <c r="X29" i="10"/>
  <c r="N21" i="5"/>
  <c r="L34" i="5"/>
  <c r="X24" i="8"/>
  <c r="Z29" i="10"/>
  <c r="Z22" i="11"/>
  <c r="Z16" i="11"/>
  <c r="X15" i="5"/>
  <c r="N34" i="5"/>
  <c r="V36" i="7"/>
  <c r="V34" i="7"/>
  <c r="V33" i="7"/>
  <c r="V31" i="7"/>
  <c r="V29" i="7"/>
  <c r="V27" i="7"/>
  <c r="V25" i="7"/>
  <c r="V21" i="7"/>
  <c r="T18" i="7"/>
  <c r="V15" i="7"/>
  <c r="V20" i="7"/>
  <c r="Z12" i="7"/>
  <c r="V24" i="7"/>
  <c r="V18" i="7"/>
  <c r="V22" i="7"/>
  <c r="V16" i="7"/>
  <c r="P18" i="8"/>
  <c r="R15" i="8"/>
  <c r="R24" i="8"/>
  <c r="R22" i="8"/>
  <c r="R20" i="8"/>
  <c r="R18" i="8"/>
  <c r="R16" i="8"/>
  <c r="R34" i="8"/>
  <c r="R27" i="8"/>
  <c r="R21" i="8"/>
  <c r="R33" i="8"/>
  <c r="R25" i="8"/>
  <c r="X12" i="8"/>
  <c r="R31" i="8"/>
  <c r="R36" i="8"/>
  <c r="R29" i="8"/>
  <c r="Z24" i="8"/>
  <c r="X20" i="13"/>
  <c r="Z15" i="5"/>
  <c r="X21" i="5"/>
  <c r="L20" i="8"/>
  <c r="X24" i="11"/>
  <c r="Z20" i="4"/>
  <c r="N22" i="4"/>
  <c r="L29" i="5"/>
  <c r="X25" i="7"/>
  <c r="X33" i="7"/>
  <c r="Z13" i="8"/>
  <c r="Z20" i="8"/>
  <c r="V36" i="10"/>
  <c r="V34" i="10"/>
  <c r="V33" i="10"/>
  <c r="V31" i="10"/>
  <c r="V29" i="10"/>
  <c r="V27" i="10"/>
  <c r="V25" i="10"/>
  <c r="V21" i="10"/>
  <c r="T18" i="10"/>
  <c r="V15" i="10"/>
  <c r="V20" i="10"/>
  <c r="Z12" i="10"/>
  <c r="V24" i="10"/>
  <c r="V16" i="10"/>
  <c r="V18" i="10"/>
  <c r="V22" i="10"/>
  <c r="P18" i="11"/>
  <c r="R15" i="11"/>
  <c r="R24" i="11"/>
  <c r="R22" i="11"/>
  <c r="R20" i="11"/>
  <c r="R18" i="11"/>
  <c r="R16" i="11"/>
  <c r="R33" i="11"/>
  <c r="R25" i="11"/>
  <c r="X12" i="11"/>
  <c r="R31" i="11"/>
  <c r="R36" i="11"/>
  <c r="R29" i="11"/>
  <c r="R34" i="11"/>
  <c r="R27" i="11"/>
  <c r="R21" i="11"/>
  <c r="Z24" i="11"/>
  <c r="X24" i="13"/>
  <c r="X22" i="11"/>
  <c r="X16" i="4"/>
  <c r="N29" i="5"/>
  <c r="L15" i="7"/>
  <c r="Z25" i="7"/>
  <c r="Z33" i="7"/>
  <c r="L20" i="11"/>
  <c r="N25" i="14"/>
  <c r="Z16" i="4"/>
  <c r="X22" i="4"/>
  <c r="N15" i="7"/>
  <c r="L21" i="7"/>
  <c r="X25" i="10"/>
  <c r="X33" i="10"/>
  <c r="Z13" i="11"/>
  <c r="Z20" i="11"/>
  <c r="X25" i="14"/>
  <c r="N21" i="17"/>
  <c r="N24" i="4"/>
  <c r="Z21" i="7"/>
  <c r="X34" i="7"/>
  <c r="L15" i="10"/>
  <c r="Z25" i="10"/>
  <c r="Z33" i="10"/>
  <c r="F21" i="4"/>
  <c r="F20" i="4"/>
  <c r="F18" i="4"/>
  <c r="F16" i="4"/>
  <c r="D18" i="4"/>
  <c r="F15" i="4"/>
  <c r="F24" i="4"/>
  <c r="F22" i="4"/>
  <c r="F31" i="4"/>
  <c r="F36" i="4"/>
  <c r="F29" i="4"/>
  <c r="F34" i="4"/>
  <c r="F27" i="4"/>
  <c r="F33" i="4"/>
  <c r="F25" i="4"/>
  <c r="L12" i="4"/>
  <c r="Z34" i="7"/>
  <c r="N15" i="10"/>
  <c r="L21" i="10"/>
  <c r="N33" i="14"/>
  <c r="L29" i="17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J36" i="8"/>
  <c r="J34" i="8"/>
  <c r="J33" i="8"/>
  <c r="J31" i="8"/>
  <c r="J29" i="8"/>
  <c r="J27" i="8"/>
  <c r="J25" i="8"/>
  <c r="J24" i="8"/>
  <c r="J22" i="8"/>
  <c r="J21" i="8"/>
  <c r="J20" i="8"/>
  <c r="J18" i="8"/>
  <c r="J16" i="8"/>
  <c r="H18" i="8"/>
  <c r="J15" i="8"/>
  <c r="N12" i="8"/>
  <c r="X13" i="8"/>
  <c r="Z15" i="8"/>
  <c r="X21" i="8"/>
  <c r="Z13" i="10"/>
  <c r="Z16" i="10"/>
  <c r="Z20" i="10"/>
  <c r="X22" i="10"/>
  <c r="X24" i="10"/>
  <c r="J36" i="11"/>
  <c r="J34" i="11"/>
  <c r="J33" i="11"/>
  <c r="J31" i="11"/>
  <c r="J29" i="11"/>
  <c r="J27" i="11"/>
  <c r="J25" i="11"/>
  <c r="J24" i="11"/>
  <c r="J22" i="11"/>
  <c r="J21" i="11"/>
  <c r="J20" i="11"/>
  <c r="J18" i="11"/>
  <c r="J16" i="11"/>
  <c r="H18" i="11"/>
  <c r="J15" i="11"/>
  <c r="N12" i="11"/>
  <c r="X13" i="11"/>
  <c r="Z15" i="11"/>
  <c r="X21" i="11"/>
  <c r="F36" i="13"/>
  <c r="F34" i="13"/>
  <c r="F33" i="13"/>
  <c r="F31" i="13"/>
  <c r="F29" i="13"/>
  <c r="F27" i="13"/>
  <c r="F25" i="13"/>
  <c r="F24" i="13"/>
  <c r="F22" i="13"/>
  <c r="F21" i="13"/>
  <c r="F20" i="13"/>
  <c r="F18" i="13"/>
  <c r="F16" i="13"/>
  <c r="D18" i="13"/>
  <c r="F15" i="13"/>
  <c r="L12" i="13"/>
  <c r="N25" i="17"/>
  <c r="X15" i="4"/>
  <c r="N25" i="4"/>
  <c r="N29" i="4"/>
  <c r="N33" i="4"/>
  <c r="N34" i="4"/>
  <c r="N13" i="5"/>
  <c r="N22" i="5"/>
  <c r="N24" i="5"/>
  <c r="R20" i="7"/>
  <c r="R18" i="7"/>
  <c r="R16" i="7"/>
  <c r="P18" i="7"/>
  <c r="R15" i="7"/>
  <c r="X12" i="7"/>
  <c r="R36" i="7"/>
  <c r="R34" i="7"/>
  <c r="R33" i="7"/>
  <c r="R31" i="7"/>
  <c r="R29" i="7"/>
  <c r="R27" i="7"/>
  <c r="R25" i="7"/>
  <c r="R21" i="7"/>
  <c r="R24" i="7"/>
  <c r="R22" i="7"/>
  <c r="Z22" i="7"/>
  <c r="Z24" i="7"/>
  <c r="Z21" i="8"/>
  <c r="X25" i="8"/>
  <c r="X29" i="8"/>
  <c r="X33" i="8"/>
  <c r="X34" i="8"/>
  <c r="R20" i="10"/>
  <c r="R18" i="10"/>
  <c r="R16" i="10"/>
  <c r="P18" i="10"/>
  <c r="R15" i="10"/>
  <c r="X12" i="10"/>
  <c r="R36" i="10"/>
  <c r="R34" i="10"/>
  <c r="R33" i="10"/>
  <c r="R31" i="10"/>
  <c r="R29" i="10"/>
  <c r="R27" i="10"/>
  <c r="R25" i="10"/>
  <c r="R21" i="10"/>
  <c r="R24" i="10"/>
  <c r="R22" i="10"/>
  <c r="Z22" i="10"/>
  <c r="Z24" i="10"/>
  <c r="Z21" i="11"/>
  <c r="X25" i="11"/>
  <c r="X29" i="11"/>
  <c r="X33" i="11"/>
  <c r="X34" i="11"/>
  <c r="X12" i="13"/>
  <c r="R24" i="13"/>
  <c r="R22" i="13"/>
  <c r="R20" i="13"/>
  <c r="R18" i="13"/>
  <c r="R16" i="13"/>
  <c r="R36" i="13"/>
  <c r="R29" i="13"/>
  <c r="R34" i="13"/>
  <c r="R27" i="13"/>
  <c r="R21" i="13"/>
  <c r="R15" i="13"/>
  <c r="R31" i="13"/>
  <c r="P18" i="13"/>
  <c r="R25" i="13"/>
  <c r="R33" i="13"/>
  <c r="Z24" i="13"/>
  <c r="H18" i="4"/>
  <c r="J15" i="4"/>
  <c r="N12" i="4"/>
  <c r="J24" i="4"/>
  <c r="J22" i="4"/>
  <c r="J20" i="4"/>
  <c r="J18" i="4"/>
  <c r="J16" i="4"/>
  <c r="J31" i="4"/>
  <c r="J36" i="4"/>
  <c r="J29" i="4"/>
  <c r="J34" i="4"/>
  <c r="J27" i="4"/>
  <c r="J21" i="4"/>
  <c r="J33" i="4"/>
  <c r="J25" i="4"/>
  <c r="X13" i="4"/>
  <c r="Z15" i="4"/>
  <c r="X21" i="4"/>
  <c r="F20" i="5"/>
  <c r="F18" i="5"/>
  <c r="F16" i="5"/>
  <c r="D18" i="5"/>
  <c r="F15" i="5"/>
  <c r="L12" i="5"/>
  <c r="F36" i="5"/>
  <c r="F34" i="5"/>
  <c r="F33" i="5"/>
  <c r="F31" i="5"/>
  <c r="F29" i="5"/>
  <c r="F27" i="5"/>
  <c r="F25" i="5"/>
  <c r="F21" i="5"/>
  <c r="F24" i="5"/>
  <c r="F22" i="5"/>
  <c r="X16" i="5"/>
  <c r="X20" i="5"/>
  <c r="L16" i="7"/>
  <c r="L20" i="7"/>
  <c r="Z12" i="8"/>
  <c r="V24" i="8"/>
  <c r="V22" i="8"/>
  <c r="V20" i="8"/>
  <c r="V18" i="8"/>
  <c r="V16" i="8"/>
  <c r="V21" i="8"/>
  <c r="V15" i="8"/>
  <c r="V33" i="8"/>
  <c r="V25" i="8"/>
  <c r="V31" i="8"/>
  <c r="V36" i="8"/>
  <c r="T18" i="8"/>
  <c r="V34" i="8"/>
  <c r="V27" i="8"/>
  <c r="V29" i="8"/>
  <c r="L15" i="8"/>
  <c r="Z25" i="8"/>
  <c r="Z29" i="8"/>
  <c r="Z33" i="8"/>
  <c r="Z34" i="8"/>
  <c r="L16" i="10"/>
  <c r="L20" i="10"/>
  <c r="Z12" i="11"/>
  <c r="V24" i="11"/>
  <c r="V22" i="11"/>
  <c r="V20" i="11"/>
  <c r="V18" i="11"/>
  <c r="V16" i="11"/>
  <c r="V33" i="11"/>
  <c r="V25" i="11"/>
  <c r="V31" i="11"/>
  <c r="T18" i="11"/>
  <c r="V36" i="11"/>
  <c r="V29" i="11"/>
  <c r="V34" i="11"/>
  <c r="V27" i="11"/>
  <c r="V21" i="11"/>
  <c r="V15" i="11"/>
  <c r="L15" i="11"/>
  <c r="Z25" i="11"/>
  <c r="Z29" i="11"/>
  <c r="Z33" i="11"/>
  <c r="Z34" i="11"/>
  <c r="Z13" i="13"/>
  <c r="Z20" i="13"/>
  <c r="X13" i="14"/>
  <c r="X16" i="16"/>
  <c r="N29" i="17"/>
  <c r="Z21" i="19"/>
  <c r="Z15" i="25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N16" i="10"/>
  <c r="N20" i="10"/>
  <c r="L22" i="10"/>
  <c r="L24" i="10"/>
  <c r="N15" i="11"/>
  <c r="L21" i="11"/>
  <c r="X15" i="14"/>
  <c r="N34" i="14"/>
  <c r="X12" i="4"/>
  <c r="R36" i="4"/>
  <c r="R34" i="4"/>
  <c r="R33" i="4"/>
  <c r="R31" i="4"/>
  <c r="R29" i="4"/>
  <c r="R27" i="4"/>
  <c r="R25" i="4"/>
  <c r="R24" i="4"/>
  <c r="R22" i="4"/>
  <c r="R20" i="4"/>
  <c r="R18" i="4"/>
  <c r="R16" i="4"/>
  <c r="P18" i="4"/>
  <c r="R21" i="4"/>
  <c r="R15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L13" i="10"/>
  <c r="N21" i="10"/>
  <c r="L25" i="10"/>
  <c r="L29" i="10"/>
  <c r="L33" i="10"/>
  <c r="L34" i="10"/>
  <c r="N16" i="11"/>
  <c r="N20" i="11"/>
  <c r="L22" i="11"/>
  <c r="L24" i="11"/>
  <c r="Z15" i="14"/>
  <c r="X21" i="14"/>
  <c r="L13" i="17"/>
  <c r="L33" i="17"/>
  <c r="X33" i="19"/>
  <c r="Z12" i="4"/>
  <c r="V36" i="4"/>
  <c r="V34" i="4"/>
  <c r="V33" i="4"/>
  <c r="V31" i="4"/>
  <c r="V29" i="4"/>
  <c r="V27" i="4"/>
  <c r="V25" i="4"/>
  <c r="V24" i="4"/>
  <c r="V22" i="4"/>
  <c r="V21" i="4"/>
  <c r="V20" i="4"/>
  <c r="V18" i="4"/>
  <c r="V16" i="4"/>
  <c r="V15" i="4"/>
  <c r="T18" i="4"/>
  <c r="L15" i="4"/>
  <c r="Z25" i="4"/>
  <c r="Z29" i="4"/>
  <c r="Z33" i="4"/>
  <c r="Z34" i="4"/>
  <c r="X12" i="5"/>
  <c r="R36" i="5"/>
  <c r="R34" i="5"/>
  <c r="R33" i="5"/>
  <c r="R31" i="5"/>
  <c r="R29" i="5"/>
  <c r="R27" i="5"/>
  <c r="R25" i="5"/>
  <c r="R24" i="5"/>
  <c r="R22" i="5"/>
  <c r="R21" i="5"/>
  <c r="P18" i="5"/>
  <c r="R15" i="5"/>
  <c r="R16" i="5"/>
  <c r="R20" i="5"/>
  <c r="R18" i="5"/>
  <c r="Z22" i="5"/>
  <c r="Z24" i="5"/>
  <c r="N13" i="7"/>
  <c r="N22" i="7"/>
  <c r="N24" i="7"/>
  <c r="L13" i="8"/>
  <c r="N21" i="8"/>
  <c r="L25" i="8"/>
  <c r="L29" i="8"/>
  <c r="L33" i="8"/>
  <c r="L34" i="8"/>
  <c r="N13" i="10"/>
  <c r="N22" i="10"/>
  <c r="N24" i="10"/>
  <c r="L13" i="11"/>
  <c r="N21" i="11"/>
  <c r="L25" i="11"/>
  <c r="L29" i="11"/>
  <c r="L33" i="11"/>
  <c r="L34" i="11"/>
  <c r="Z21" i="14"/>
  <c r="X34" i="14"/>
  <c r="X20" i="16"/>
  <c r="N33" i="17"/>
  <c r="L16" i="4"/>
  <c r="L20" i="4"/>
  <c r="Z12" i="5"/>
  <c r="V36" i="5"/>
  <c r="V34" i="5"/>
  <c r="V33" i="5"/>
  <c r="V31" i="5"/>
  <c r="V29" i="5"/>
  <c r="V27" i="5"/>
  <c r="V25" i="5"/>
  <c r="V24" i="5"/>
  <c r="V22" i="5"/>
  <c r="V21" i="5"/>
  <c r="V20" i="5"/>
  <c r="V18" i="5"/>
  <c r="V16" i="5"/>
  <c r="T18" i="5"/>
  <c r="V15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X15" i="10"/>
  <c r="N25" i="10"/>
  <c r="N29" i="10"/>
  <c r="N33" i="10"/>
  <c r="N34" i="10"/>
  <c r="N13" i="11"/>
  <c r="N22" i="11"/>
  <c r="N24" i="11"/>
  <c r="X16" i="13"/>
  <c r="N29" i="14"/>
  <c r="L34" i="17"/>
  <c r="Z16" i="20"/>
  <c r="N15" i="4"/>
  <c r="L21" i="4"/>
  <c r="L16" i="5"/>
  <c r="L20" i="5"/>
  <c r="F36" i="7"/>
  <c r="F34" i="7"/>
  <c r="F33" i="7"/>
  <c r="F31" i="7"/>
  <c r="F29" i="7"/>
  <c r="F27" i="7"/>
  <c r="F25" i="7"/>
  <c r="F24" i="7"/>
  <c r="F22" i="7"/>
  <c r="F21" i="7"/>
  <c r="D18" i="7"/>
  <c r="F15" i="7"/>
  <c r="L12" i="7"/>
  <c r="F18" i="7"/>
  <c r="F20" i="7"/>
  <c r="F16" i="7"/>
  <c r="X16" i="7"/>
  <c r="X20" i="7"/>
  <c r="X15" i="8"/>
  <c r="N25" i="8"/>
  <c r="N29" i="8"/>
  <c r="N33" i="8"/>
  <c r="N34" i="8"/>
  <c r="F36" i="10"/>
  <c r="F34" i="10"/>
  <c r="F33" i="10"/>
  <c r="F31" i="10"/>
  <c r="F29" i="10"/>
  <c r="F27" i="10"/>
  <c r="F25" i="10"/>
  <c r="F24" i="10"/>
  <c r="F22" i="10"/>
  <c r="F21" i="10"/>
  <c r="D18" i="10"/>
  <c r="F15" i="10"/>
  <c r="L12" i="10"/>
  <c r="F20" i="10"/>
  <c r="F18" i="10"/>
  <c r="F16" i="10"/>
  <c r="X16" i="10"/>
  <c r="X20" i="10"/>
  <c r="X15" i="11"/>
  <c r="N25" i="11"/>
  <c r="N29" i="11"/>
  <c r="N33" i="11"/>
  <c r="N34" i="11"/>
  <c r="Z16" i="13"/>
  <c r="X22" i="13"/>
  <c r="F21" i="16"/>
  <c r="F20" i="16"/>
  <c r="F18" i="16"/>
  <c r="F16" i="16"/>
  <c r="D18" i="16"/>
  <c r="F15" i="16"/>
  <c r="L12" i="16"/>
  <c r="F24" i="16"/>
  <c r="F22" i="16"/>
  <c r="F33" i="16"/>
  <c r="F31" i="16"/>
  <c r="F29" i="16"/>
  <c r="F36" i="16"/>
  <c r="F27" i="16"/>
  <c r="F34" i="16"/>
  <c r="F25" i="16"/>
  <c r="X15" i="17"/>
  <c r="N34" i="17"/>
  <c r="X24" i="20"/>
  <c r="N16" i="4"/>
  <c r="N20" i="4"/>
  <c r="L22" i="4"/>
  <c r="L24" i="4"/>
  <c r="N15" i="5"/>
  <c r="L21" i="5"/>
  <c r="J36" i="7"/>
  <c r="J34" i="7"/>
  <c r="J33" i="7"/>
  <c r="J31" i="7"/>
  <c r="J29" i="7"/>
  <c r="J27" i="7"/>
  <c r="J25" i="7"/>
  <c r="J24" i="7"/>
  <c r="J22" i="7"/>
  <c r="J21" i="7"/>
  <c r="J20" i="7"/>
  <c r="J18" i="7"/>
  <c r="J16" i="7"/>
  <c r="H18" i="7"/>
  <c r="J15" i="7"/>
  <c r="N12" i="7"/>
  <c r="X13" i="7"/>
  <c r="Z15" i="7"/>
  <c r="X21" i="7"/>
  <c r="F36" i="8"/>
  <c r="F34" i="8"/>
  <c r="F33" i="8"/>
  <c r="F31" i="8"/>
  <c r="F29" i="8"/>
  <c r="F27" i="8"/>
  <c r="F25" i="8"/>
  <c r="F24" i="8"/>
  <c r="F22" i="8"/>
  <c r="F21" i="8"/>
  <c r="F20" i="8"/>
  <c r="F18" i="8"/>
  <c r="F16" i="8"/>
  <c r="F15" i="8"/>
  <c r="L12" i="8"/>
  <c r="D18" i="8"/>
  <c r="X16" i="8"/>
  <c r="X20" i="8"/>
  <c r="J36" i="10"/>
  <c r="J34" i="10"/>
  <c r="J33" i="10"/>
  <c r="J31" i="10"/>
  <c r="J29" i="10"/>
  <c r="J27" i="10"/>
  <c r="J25" i="10"/>
  <c r="J24" i="10"/>
  <c r="J22" i="10"/>
  <c r="J21" i="10"/>
  <c r="J20" i="10"/>
  <c r="J18" i="10"/>
  <c r="J16" i="10"/>
  <c r="H18" i="10"/>
  <c r="J15" i="10"/>
  <c r="N12" i="10"/>
  <c r="X13" i="10"/>
  <c r="Z15" i="10"/>
  <c r="X21" i="10"/>
  <c r="F36" i="11"/>
  <c r="F34" i="11"/>
  <c r="F33" i="11"/>
  <c r="F31" i="11"/>
  <c r="F29" i="11"/>
  <c r="F27" i="11"/>
  <c r="F25" i="11"/>
  <c r="F24" i="11"/>
  <c r="F22" i="11"/>
  <c r="F21" i="11"/>
  <c r="F20" i="11"/>
  <c r="F18" i="11"/>
  <c r="F16" i="11"/>
  <c r="F15" i="11"/>
  <c r="L12" i="11"/>
  <c r="D18" i="11"/>
  <c r="X16" i="11"/>
  <c r="X20" i="11"/>
  <c r="Z22" i="13"/>
  <c r="X29" i="14"/>
  <c r="N13" i="16"/>
  <c r="N22" i="16"/>
  <c r="L25" i="17"/>
  <c r="X15" i="13"/>
  <c r="N25" i="13"/>
  <c r="N29" i="13"/>
  <c r="N33" i="13"/>
  <c r="N34" i="13"/>
  <c r="N13" i="14"/>
  <c r="N22" i="14"/>
  <c r="N24" i="14"/>
  <c r="L13" i="16"/>
  <c r="N21" i="16"/>
  <c r="L25" i="16"/>
  <c r="L29" i="16"/>
  <c r="L33" i="16"/>
  <c r="L34" i="16"/>
  <c r="N16" i="17"/>
  <c r="N20" i="17"/>
  <c r="L22" i="17"/>
  <c r="L24" i="17"/>
  <c r="N15" i="20"/>
  <c r="J21" i="13"/>
  <c r="J20" i="13"/>
  <c r="J18" i="13"/>
  <c r="J16" i="13"/>
  <c r="H18" i="13"/>
  <c r="J15" i="13"/>
  <c r="N12" i="13"/>
  <c r="J24" i="13"/>
  <c r="J22" i="13"/>
  <c r="J36" i="13"/>
  <c r="J29" i="13"/>
  <c r="J34" i="13"/>
  <c r="J27" i="13"/>
  <c r="J31" i="13"/>
  <c r="J33" i="13"/>
  <c r="J25" i="13"/>
  <c r="X13" i="13"/>
  <c r="Z15" i="13"/>
  <c r="X21" i="13"/>
  <c r="F24" i="14"/>
  <c r="F22" i="14"/>
  <c r="F21" i="14"/>
  <c r="F20" i="14"/>
  <c r="F18" i="14"/>
  <c r="F16" i="14"/>
  <c r="D18" i="14"/>
  <c r="F15" i="14"/>
  <c r="L12" i="14"/>
  <c r="F36" i="14"/>
  <c r="F34" i="14"/>
  <c r="F33" i="14"/>
  <c r="F31" i="14"/>
  <c r="F29" i="14"/>
  <c r="F27" i="14"/>
  <c r="F25" i="14"/>
  <c r="X16" i="14"/>
  <c r="X20" i="14"/>
  <c r="X15" i="16"/>
  <c r="N25" i="16"/>
  <c r="N29" i="16"/>
  <c r="N33" i="16"/>
  <c r="N34" i="16"/>
  <c r="N13" i="17"/>
  <c r="N22" i="17"/>
  <c r="N24" i="17"/>
  <c r="L22" i="19"/>
  <c r="J24" i="22"/>
  <c r="J22" i="22"/>
  <c r="J21" i="22"/>
  <c r="J20" i="22"/>
  <c r="J18" i="22"/>
  <c r="J16" i="22"/>
  <c r="J36" i="22"/>
  <c r="J34" i="22"/>
  <c r="J33" i="22"/>
  <c r="J31" i="22"/>
  <c r="J29" i="22"/>
  <c r="J27" i="22"/>
  <c r="J25" i="22"/>
  <c r="H18" i="22"/>
  <c r="N12" i="22"/>
  <c r="J15" i="22"/>
  <c r="Z21" i="13"/>
  <c r="X25" i="13"/>
  <c r="X29" i="13"/>
  <c r="X33" i="13"/>
  <c r="X34" i="13"/>
  <c r="Z13" i="14"/>
  <c r="Z16" i="14"/>
  <c r="Z20" i="14"/>
  <c r="X22" i="14"/>
  <c r="X24" i="14"/>
  <c r="H18" i="16"/>
  <c r="J15" i="16"/>
  <c r="N12" i="16"/>
  <c r="J24" i="16"/>
  <c r="J22" i="16"/>
  <c r="J20" i="16"/>
  <c r="J18" i="16"/>
  <c r="J16" i="16"/>
  <c r="J31" i="16"/>
  <c r="J21" i="16"/>
  <c r="J29" i="16"/>
  <c r="J27" i="16"/>
  <c r="J36" i="16"/>
  <c r="J25" i="16"/>
  <c r="J34" i="16"/>
  <c r="J33" i="16"/>
  <c r="X13" i="16"/>
  <c r="Z15" i="16"/>
  <c r="X21" i="16"/>
  <c r="F20" i="17"/>
  <c r="F18" i="17"/>
  <c r="F16" i="17"/>
  <c r="D18" i="17"/>
  <c r="F15" i="17"/>
  <c r="L12" i="17"/>
  <c r="F36" i="17"/>
  <c r="F34" i="17"/>
  <c r="F33" i="17"/>
  <c r="F31" i="17"/>
  <c r="F29" i="17"/>
  <c r="F27" i="17"/>
  <c r="F25" i="17"/>
  <c r="F21" i="17"/>
  <c r="F24" i="17"/>
  <c r="F22" i="17"/>
  <c r="X16" i="17"/>
  <c r="X20" i="17"/>
  <c r="L24" i="19"/>
  <c r="N20" i="22"/>
  <c r="Z33" i="41"/>
  <c r="Z13" i="16"/>
  <c r="Z16" i="16"/>
  <c r="Z20" i="16"/>
  <c r="X22" i="16"/>
  <c r="X24" i="16"/>
  <c r="N12" i="17"/>
  <c r="J36" i="17"/>
  <c r="J34" i="17"/>
  <c r="J33" i="17"/>
  <c r="J31" i="17"/>
  <c r="J29" i="17"/>
  <c r="J27" i="17"/>
  <c r="J25" i="17"/>
  <c r="J21" i="17"/>
  <c r="H18" i="17"/>
  <c r="J15" i="17"/>
  <c r="J16" i="17"/>
  <c r="J24" i="17"/>
  <c r="J22" i="17"/>
  <c r="J20" i="17"/>
  <c r="J18" i="17"/>
  <c r="X13" i="17"/>
  <c r="Z15" i="17"/>
  <c r="X21" i="17"/>
  <c r="X34" i="19"/>
  <c r="Z12" i="13"/>
  <c r="V36" i="13"/>
  <c r="V34" i="13"/>
  <c r="V33" i="13"/>
  <c r="V31" i="13"/>
  <c r="V29" i="13"/>
  <c r="V27" i="13"/>
  <c r="V25" i="13"/>
  <c r="V24" i="13"/>
  <c r="V22" i="13"/>
  <c r="V20" i="13"/>
  <c r="V18" i="13"/>
  <c r="V16" i="13"/>
  <c r="V21" i="13"/>
  <c r="V15" i="13"/>
  <c r="T18" i="13"/>
  <c r="L15" i="13"/>
  <c r="Z25" i="13"/>
  <c r="Z29" i="13"/>
  <c r="Z33" i="13"/>
  <c r="Z34" i="13"/>
  <c r="X12" i="14"/>
  <c r="R36" i="14"/>
  <c r="R34" i="14"/>
  <c r="R33" i="14"/>
  <c r="R31" i="14"/>
  <c r="R29" i="14"/>
  <c r="R27" i="14"/>
  <c r="R25" i="14"/>
  <c r="R21" i="14"/>
  <c r="P18" i="14"/>
  <c r="R15" i="14"/>
  <c r="R22" i="14"/>
  <c r="R16" i="14"/>
  <c r="R20" i="14"/>
  <c r="R24" i="14"/>
  <c r="R18" i="14"/>
  <c r="Z22" i="14"/>
  <c r="Z24" i="14"/>
  <c r="Z21" i="16"/>
  <c r="X25" i="16"/>
  <c r="X29" i="16"/>
  <c r="X33" i="16"/>
  <c r="X34" i="16"/>
  <c r="Z13" i="17"/>
  <c r="Z16" i="17"/>
  <c r="Z20" i="17"/>
  <c r="X22" i="17"/>
  <c r="X24" i="17"/>
  <c r="N16" i="19"/>
  <c r="L16" i="13"/>
  <c r="L20" i="13"/>
  <c r="Z12" i="14"/>
  <c r="V36" i="14"/>
  <c r="V34" i="14"/>
  <c r="V33" i="14"/>
  <c r="V31" i="14"/>
  <c r="V29" i="14"/>
  <c r="V27" i="14"/>
  <c r="V25" i="14"/>
  <c r="V24" i="14"/>
  <c r="V22" i="14"/>
  <c r="V21" i="14"/>
  <c r="T18" i="14"/>
  <c r="V15" i="14"/>
  <c r="V16" i="14"/>
  <c r="V18" i="14"/>
  <c r="V20" i="14"/>
  <c r="L15" i="14"/>
  <c r="Z25" i="14"/>
  <c r="Z29" i="14"/>
  <c r="Z33" i="14"/>
  <c r="Z34" i="14"/>
  <c r="X12" i="16"/>
  <c r="R36" i="16"/>
  <c r="R34" i="16"/>
  <c r="R33" i="16"/>
  <c r="R31" i="16"/>
  <c r="R29" i="16"/>
  <c r="R27" i="16"/>
  <c r="R25" i="16"/>
  <c r="R24" i="16"/>
  <c r="R22" i="16"/>
  <c r="R21" i="16"/>
  <c r="R20" i="16"/>
  <c r="R18" i="16"/>
  <c r="R16" i="16"/>
  <c r="P18" i="16"/>
  <c r="R15" i="16"/>
  <c r="Z22" i="16"/>
  <c r="Z24" i="16"/>
  <c r="Z21" i="17"/>
  <c r="X25" i="17"/>
  <c r="X29" i="17"/>
  <c r="X33" i="17"/>
  <c r="X34" i="17"/>
  <c r="X25" i="19"/>
  <c r="Z20" i="20"/>
  <c r="Z20" i="26"/>
  <c r="N15" i="13"/>
  <c r="L21" i="13"/>
  <c r="L16" i="14"/>
  <c r="L20" i="14"/>
  <c r="Z12" i="16"/>
  <c r="V36" i="16"/>
  <c r="V34" i="16"/>
  <c r="V33" i="16"/>
  <c r="V31" i="16"/>
  <c r="V29" i="16"/>
  <c r="V27" i="16"/>
  <c r="V25" i="16"/>
  <c r="V24" i="16"/>
  <c r="V22" i="16"/>
  <c r="V21" i="16"/>
  <c r="V20" i="16"/>
  <c r="V18" i="16"/>
  <c r="V16" i="16"/>
  <c r="T18" i="16"/>
  <c r="V15" i="16"/>
  <c r="L15" i="16"/>
  <c r="Z25" i="16"/>
  <c r="Z29" i="16"/>
  <c r="Z33" i="16"/>
  <c r="Z34" i="16"/>
  <c r="X12" i="17"/>
  <c r="R36" i="17"/>
  <c r="R34" i="17"/>
  <c r="R33" i="17"/>
  <c r="R31" i="17"/>
  <c r="R29" i="17"/>
  <c r="R27" i="17"/>
  <c r="R25" i="17"/>
  <c r="R24" i="17"/>
  <c r="R22" i="17"/>
  <c r="R21" i="17"/>
  <c r="R20" i="17"/>
  <c r="R18" i="17"/>
  <c r="R16" i="17"/>
  <c r="P18" i="17"/>
  <c r="R15" i="17"/>
  <c r="Z22" i="17"/>
  <c r="Z24" i="17"/>
  <c r="L21" i="20"/>
  <c r="N16" i="13"/>
  <c r="N20" i="13"/>
  <c r="L22" i="13"/>
  <c r="L24" i="13"/>
  <c r="N15" i="14"/>
  <c r="L21" i="14"/>
  <c r="L16" i="16"/>
  <c r="L20" i="16"/>
  <c r="Z12" i="17"/>
  <c r="V36" i="17"/>
  <c r="V34" i="17"/>
  <c r="V33" i="17"/>
  <c r="V31" i="17"/>
  <c r="V29" i="17"/>
  <c r="V27" i="17"/>
  <c r="V25" i="17"/>
  <c r="V24" i="17"/>
  <c r="V22" i="17"/>
  <c r="V21" i="17"/>
  <c r="V20" i="17"/>
  <c r="V18" i="17"/>
  <c r="V16" i="17"/>
  <c r="T18" i="17"/>
  <c r="V15" i="17"/>
  <c r="L15" i="17"/>
  <c r="Z25" i="17"/>
  <c r="Z29" i="17"/>
  <c r="Z33" i="17"/>
  <c r="Z34" i="17"/>
  <c r="X33" i="29"/>
  <c r="L13" i="13"/>
  <c r="N21" i="13"/>
  <c r="L25" i="13"/>
  <c r="L29" i="13"/>
  <c r="L33" i="13"/>
  <c r="L34" i="13"/>
  <c r="N16" i="14"/>
  <c r="N20" i="14"/>
  <c r="L22" i="14"/>
  <c r="L24" i="14"/>
  <c r="N15" i="16"/>
  <c r="L21" i="16"/>
  <c r="L16" i="17"/>
  <c r="L20" i="17"/>
  <c r="N20" i="19"/>
  <c r="Z16" i="23"/>
  <c r="N13" i="13"/>
  <c r="N22" i="13"/>
  <c r="N24" i="13"/>
  <c r="L13" i="14"/>
  <c r="N21" i="14"/>
  <c r="L25" i="14"/>
  <c r="L29" i="14"/>
  <c r="L33" i="14"/>
  <c r="L34" i="14"/>
  <c r="N16" i="16"/>
  <c r="N20" i="16"/>
  <c r="L22" i="16"/>
  <c r="L24" i="16"/>
  <c r="N15" i="17"/>
  <c r="L21" i="17"/>
  <c r="X29" i="19"/>
  <c r="Z13" i="20"/>
  <c r="X22" i="20"/>
  <c r="V21" i="19"/>
  <c r="T18" i="19"/>
  <c r="V15" i="19"/>
  <c r="Z12" i="19"/>
  <c r="V36" i="19"/>
  <c r="V34" i="19"/>
  <c r="V33" i="19"/>
  <c r="V31" i="19"/>
  <c r="V29" i="19"/>
  <c r="V27" i="19"/>
  <c r="V25" i="19"/>
  <c r="V24" i="19"/>
  <c r="V22" i="19"/>
  <c r="V20" i="19"/>
  <c r="V18" i="19"/>
  <c r="V16" i="19"/>
  <c r="L15" i="19"/>
  <c r="Z25" i="19"/>
  <c r="Z29" i="19"/>
  <c r="Z33" i="19"/>
  <c r="Z34" i="19"/>
  <c r="R24" i="20"/>
  <c r="R22" i="20"/>
  <c r="R20" i="20"/>
  <c r="R18" i="20"/>
  <c r="R16" i="20"/>
  <c r="P18" i="20"/>
  <c r="R15" i="20"/>
  <c r="X12" i="20"/>
  <c r="R36" i="20"/>
  <c r="R34" i="20"/>
  <c r="R33" i="20"/>
  <c r="R31" i="20"/>
  <c r="R29" i="20"/>
  <c r="R27" i="20"/>
  <c r="R25" i="20"/>
  <c r="R21" i="20"/>
  <c r="Z22" i="20"/>
  <c r="Z24" i="20"/>
  <c r="L16" i="23"/>
  <c r="X20" i="23"/>
  <c r="Z13" i="25"/>
  <c r="X22" i="25"/>
  <c r="L16" i="19"/>
  <c r="L20" i="19"/>
  <c r="V20" i="20"/>
  <c r="V18" i="20"/>
  <c r="V16" i="20"/>
  <c r="V36" i="20"/>
  <c r="V34" i="20"/>
  <c r="V33" i="20"/>
  <c r="V31" i="20"/>
  <c r="V29" i="20"/>
  <c r="V27" i="20"/>
  <c r="V25" i="20"/>
  <c r="V24" i="20"/>
  <c r="V22" i="20"/>
  <c r="V21" i="20"/>
  <c r="Z12" i="20"/>
  <c r="T18" i="20"/>
  <c r="V15" i="20"/>
  <c r="L15" i="20"/>
  <c r="Z25" i="20"/>
  <c r="Z29" i="20"/>
  <c r="Z33" i="20"/>
  <c r="Z34" i="20"/>
  <c r="Z15" i="22"/>
  <c r="L22" i="22"/>
  <c r="X25" i="22"/>
  <c r="Z20" i="23"/>
  <c r="L15" i="25"/>
  <c r="Z33" i="25"/>
  <c r="Z12" i="26"/>
  <c r="V31" i="26"/>
  <c r="V16" i="26"/>
  <c r="V24" i="26"/>
  <c r="T18" i="26"/>
  <c r="V21" i="26"/>
  <c r="V22" i="26"/>
  <c r="V15" i="26"/>
  <c r="V36" i="26"/>
  <c r="V29" i="26"/>
  <c r="V34" i="26"/>
  <c r="V27" i="26"/>
  <c r="V33" i="26"/>
  <c r="V25" i="26"/>
  <c r="V20" i="26"/>
  <c r="V18" i="26"/>
  <c r="Z22" i="29"/>
  <c r="N24" i="31"/>
  <c r="N15" i="19"/>
  <c r="L21" i="19"/>
  <c r="L16" i="20"/>
  <c r="L20" i="20"/>
  <c r="X34" i="22"/>
  <c r="X16" i="23"/>
  <c r="X15" i="25"/>
  <c r="N29" i="25"/>
  <c r="N34" i="25"/>
  <c r="X13" i="26"/>
  <c r="N25" i="26"/>
  <c r="N33" i="26"/>
  <c r="L13" i="19"/>
  <c r="N21" i="19"/>
  <c r="L25" i="19"/>
  <c r="L29" i="19"/>
  <c r="L33" i="19"/>
  <c r="L34" i="19"/>
  <c r="N16" i="20"/>
  <c r="N20" i="20"/>
  <c r="L22" i="20"/>
  <c r="L24" i="20"/>
  <c r="Z22" i="22"/>
  <c r="L21" i="23"/>
  <c r="X24" i="23"/>
  <c r="Z20" i="25"/>
  <c r="X24" i="25"/>
  <c r="X25" i="26"/>
  <c r="X33" i="26"/>
  <c r="L13" i="32"/>
  <c r="N13" i="19"/>
  <c r="N22" i="19"/>
  <c r="N24" i="19"/>
  <c r="L13" i="20"/>
  <c r="N21" i="20"/>
  <c r="L25" i="20"/>
  <c r="L29" i="20"/>
  <c r="L33" i="20"/>
  <c r="L34" i="20"/>
  <c r="X12" i="22"/>
  <c r="R21" i="22"/>
  <c r="P18" i="22"/>
  <c r="R15" i="22"/>
  <c r="R18" i="22"/>
  <c r="R33" i="22"/>
  <c r="R36" i="22"/>
  <c r="R24" i="22"/>
  <c r="R27" i="22"/>
  <c r="R16" i="22"/>
  <c r="R31" i="22"/>
  <c r="R20" i="22"/>
  <c r="R25" i="22"/>
  <c r="R29" i="22"/>
  <c r="R34" i="22"/>
  <c r="R22" i="22"/>
  <c r="N16" i="22"/>
  <c r="Z13" i="23"/>
  <c r="Z29" i="25"/>
  <c r="Z34" i="25"/>
  <c r="N13" i="32"/>
  <c r="X15" i="19"/>
  <c r="N25" i="19"/>
  <c r="N29" i="19"/>
  <c r="N33" i="19"/>
  <c r="N34" i="19"/>
  <c r="N13" i="20"/>
  <c r="N22" i="20"/>
  <c r="N24" i="20"/>
  <c r="L24" i="22"/>
  <c r="X33" i="23"/>
  <c r="N25" i="25"/>
  <c r="Z21" i="26"/>
  <c r="X34" i="26"/>
  <c r="Z20" i="37"/>
  <c r="L12" i="19"/>
  <c r="F36" i="19"/>
  <c r="F34" i="19"/>
  <c r="F33" i="19"/>
  <c r="F31" i="19"/>
  <c r="F29" i="19"/>
  <c r="F27" i="19"/>
  <c r="F25" i="19"/>
  <c r="F24" i="19"/>
  <c r="F22" i="19"/>
  <c r="F20" i="19"/>
  <c r="F18" i="19"/>
  <c r="F16" i="19"/>
  <c r="D18" i="19"/>
  <c r="F15" i="19"/>
  <c r="F21" i="19"/>
  <c r="X16" i="19"/>
  <c r="X20" i="19"/>
  <c r="X15" i="20"/>
  <c r="N25" i="20"/>
  <c r="N29" i="20"/>
  <c r="N33" i="20"/>
  <c r="N34" i="20"/>
  <c r="L21" i="22"/>
  <c r="Z21" i="23"/>
  <c r="J20" i="25"/>
  <c r="J18" i="25"/>
  <c r="J16" i="25"/>
  <c r="H18" i="25"/>
  <c r="J15" i="25"/>
  <c r="N12" i="25"/>
  <c r="J36" i="25"/>
  <c r="J34" i="25"/>
  <c r="J33" i="25"/>
  <c r="J31" i="25"/>
  <c r="J29" i="25"/>
  <c r="J27" i="25"/>
  <c r="J25" i="25"/>
  <c r="J21" i="25"/>
  <c r="J22" i="25"/>
  <c r="J24" i="25"/>
  <c r="X21" i="25"/>
  <c r="Z34" i="26"/>
  <c r="Z29" i="28"/>
  <c r="J36" i="38"/>
  <c r="J24" i="38"/>
  <c r="J22" i="38"/>
  <c r="J21" i="38"/>
  <c r="J20" i="38"/>
  <c r="J18" i="38"/>
  <c r="J16" i="38"/>
  <c r="H18" i="38"/>
  <c r="J15" i="38"/>
  <c r="N12" i="38"/>
  <c r="J34" i="38"/>
  <c r="J33" i="38"/>
  <c r="J31" i="38"/>
  <c r="J29" i="38"/>
  <c r="J27" i="38"/>
  <c r="J25" i="38"/>
  <c r="J36" i="19"/>
  <c r="J34" i="19"/>
  <c r="J33" i="19"/>
  <c r="J31" i="19"/>
  <c r="J29" i="19"/>
  <c r="J27" i="19"/>
  <c r="J25" i="19"/>
  <c r="J24" i="19"/>
  <c r="J22" i="19"/>
  <c r="J21" i="19"/>
  <c r="J20" i="19"/>
  <c r="J18" i="19"/>
  <c r="J16" i="19"/>
  <c r="H18" i="19"/>
  <c r="J15" i="19"/>
  <c r="N12" i="19"/>
  <c r="X13" i="19"/>
  <c r="Z15" i="19"/>
  <c r="X21" i="19"/>
  <c r="F36" i="20"/>
  <c r="F34" i="20"/>
  <c r="F33" i="20"/>
  <c r="F31" i="20"/>
  <c r="F29" i="20"/>
  <c r="F27" i="20"/>
  <c r="F25" i="20"/>
  <c r="F24" i="20"/>
  <c r="F22" i="20"/>
  <c r="F21" i="20"/>
  <c r="D18" i="20"/>
  <c r="F15" i="20"/>
  <c r="L12" i="20"/>
  <c r="F20" i="20"/>
  <c r="F18" i="20"/>
  <c r="F16" i="20"/>
  <c r="X16" i="20"/>
  <c r="X20" i="20"/>
  <c r="X13" i="22"/>
  <c r="N15" i="23"/>
  <c r="X29" i="23"/>
  <c r="Z16" i="25"/>
  <c r="L16" i="26"/>
  <c r="N33" i="32"/>
  <c r="Z13" i="19"/>
  <c r="Z16" i="19"/>
  <c r="Z20" i="19"/>
  <c r="X22" i="19"/>
  <c r="X24" i="19"/>
  <c r="N12" i="20"/>
  <c r="J36" i="20"/>
  <c r="J34" i="20"/>
  <c r="J33" i="20"/>
  <c r="J31" i="20"/>
  <c r="J29" i="20"/>
  <c r="J27" i="20"/>
  <c r="J25" i="20"/>
  <c r="J24" i="20"/>
  <c r="J22" i="20"/>
  <c r="J21" i="20"/>
  <c r="J20" i="20"/>
  <c r="J18" i="20"/>
  <c r="J16" i="20"/>
  <c r="H18" i="20"/>
  <c r="J15" i="20"/>
  <c r="X13" i="20"/>
  <c r="Z15" i="20"/>
  <c r="X21" i="20"/>
  <c r="X21" i="22"/>
  <c r="Z24" i="22"/>
  <c r="X33" i="22"/>
  <c r="Z12" i="25"/>
  <c r="V36" i="25"/>
  <c r="V34" i="25"/>
  <c r="V33" i="25"/>
  <c r="V31" i="25"/>
  <c r="V29" i="25"/>
  <c r="V27" i="25"/>
  <c r="V25" i="25"/>
  <c r="V21" i="25"/>
  <c r="V20" i="25"/>
  <c r="V18" i="25"/>
  <c r="V16" i="25"/>
  <c r="V24" i="25"/>
  <c r="V15" i="25"/>
  <c r="V22" i="25"/>
  <c r="T18" i="25"/>
  <c r="Z25" i="25"/>
  <c r="N29" i="26"/>
  <c r="Z21" i="22"/>
  <c r="L20" i="23"/>
  <c r="X25" i="23"/>
  <c r="N33" i="25"/>
  <c r="R36" i="19"/>
  <c r="R34" i="19"/>
  <c r="R33" i="19"/>
  <c r="R31" i="19"/>
  <c r="R29" i="19"/>
  <c r="R27" i="19"/>
  <c r="R25" i="19"/>
  <c r="R21" i="19"/>
  <c r="R20" i="19"/>
  <c r="R18" i="19"/>
  <c r="R16" i="19"/>
  <c r="P18" i="19"/>
  <c r="R15" i="19"/>
  <c r="X12" i="19"/>
  <c r="R24" i="19"/>
  <c r="R22" i="19"/>
  <c r="Z22" i="19"/>
  <c r="Z24" i="19"/>
  <c r="Z21" i="20"/>
  <c r="X25" i="20"/>
  <c r="X29" i="20"/>
  <c r="X33" i="20"/>
  <c r="X34" i="20"/>
  <c r="N15" i="22"/>
  <c r="X29" i="22"/>
  <c r="F36" i="23"/>
  <c r="F34" i="23"/>
  <c r="F33" i="23"/>
  <c r="F31" i="23"/>
  <c r="F29" i="23"/>
  <c r="F27" i="23"/>
  <c r="F25" i="23"/>
  <c r="F24" i="23"/>
  <c r="F22" i="23"/>
  <c r="F21" i="23"/>
  <c r="F20" i="23"/>
  <c r="F15" i="23"/>
  <c r="F18" i="23"/>
  <c r="D18" i="23"/>
  <c r="F16" i="23"/>
  <c r="L12" i="23"/>
  <c r="X22" i="23"/>
  <c r="X34" i="23"/>
  <c r="X13" i="25"/>
  <c r="J21" i="26"/>
  <c r="J36" i="26"/>
  <c r="J34" i="26"/>
  <c r="J33" i="26"/>
  <c r="J31" i="26"/>
  <c r="J29" i="26"/>
  <c r="J27" i="26"/>
  <c r="J25" i="26"/>
  <c r="J16" i="26"/>
  <c r="N12" i="26"/>
  <c r="H18" i="26"/>
  <c r="J20" i="26"/>
  <c r="J18" i="26"/>
  <c r="J22" i="26"/>
  <c r="J15" i="26"/>
  <c r="J24" i="26"/>
  <c r="Z21" i="29"/>
  <c r="F36" i="22"/>
  <c r="F34" i="22"/>
  <c r="F33" i="22"/>
  <c r="F31" i="22"/>
  <c r="F29" i="22"/>
  <c r="F27" i="22"/>
  <c r="F25" i="22"/>
  <c r="F24" i="22"/>
  <c r="F22" i="22"/>
  <c r="D18" i="22"/>
  <c r="F15" i="22"/>
  <c r="L12" i="22"/>
  <c r="F18" i="22"/>
  <c r="F21" i="22"/>
  <c r="F16" i="22"/>
  <c r="F20" i="22"/>
  <c r="X16" i="22"/>
  <c r="X20" i="22"/>
  <c r="X15" i="23"/>
  <c r="N25" i="23"/>
  <c r="N29" i="23"/>
  <c r="N33" i="23"/>
  <c r="N34" i="23"/>
  <c r="N13" i="25"/>
  <c r="N22" i="25"/>
  <c r="N24" i="25"/>
  <c r="L25" i="26"/>
  <c r="Z29" i="26"/>
  <c r="L33" i="26"/>
  <c r="Z25" i="28"/>
  <c r="N34" i="31"/>
  <c r="Z13" i="22"/>
  <c r="Z16" i="22"/>
  <c r="Z20" i="22"/>
  <c r="X22" i="22"/>
  <c r="X24" i="22"/>
  <c r="J21" i="23"/>
  <c r="J20" i="23"/>
  <c r="J18" i="23"/>
  <c r="J16" i="23"/>
  <c r="H18" i="23"/>
  <c r="J15" i="23"/>
  <c r="J24" i="23"/>
  <c r="J22" i="23"/>
  <c r="J31" i="23"/>
  <c r="J34" i="23"/>
  <c r="J25" i="23"/>
  <c r="J29" i="23"/>
  <c r="J33" i="23"/>
  <c r="J36" i="23"/>
  <c r="J27" i="23"/>
  <c r="N12" i="23"/>
  <c r="X13" i="23"/>
  <c r="Z15" i="23"/>
  <c r="X21" i="23"/>
  <c r="F24" i="25"/>
  <c r="F22" i="25"/>
  <c r="F21" i="25"/>
  <c r="F20" i="25"/>
  <c r="F18" i="25"/>
  <c r="F16" i="25"/>
  <c r="D18" i="25"/>
  <c r="F15" i="25"/>
  <c r="F36" i="25"/>
  <c r="F34" i="25"/>
  <c r="F33" i="25"/>
  <c r="F31" i="25"/>
  <c r="F29" i="25"/>
  <c r="F27" i="25"/>
  <c r="F25" i="25"/>
  <c r="L12" i="25"/>
  <c r="X16" i="25"/>
  <c r="X20" i="25"/>
  <c r="F36" i="26"/>
  <c r="F34" i="26"/>
  <c r="F33" i="26"/>
  <c r="F31" i="26"/>
  <c r="F29" i="26"/>
  <c r="F27" i="26"/>
  <c r="F25" i="26"/>
  <c r="F20" i="26"/>
  <c r="F18" i="26"/>
  <c r="F16" i="26"/>
  <c r="F21" i="26"/>
  <c r="F22" i="26"/>
  <c r="F15" i="26"/>
  <c r="F24" i="26"/>
  <c r="D18" i="26"/>
  <c r="L12" i="26"/>
  <c r="Z13" i="26"/>
  <c r="L24" i="26"/>
  <c r="R20" i="29"/>
  <c r="R18" i="29"/>
  <c r="R16" i="29"/>
  <c r="P18" i="29"/>
  <c r="R15" i="29"/>
  <c r="X12" i="29"/>
  <c r="R21" i="29"/>
  <c r="R27" i="29"/>
  <c r="R36" i="29"/>
  <c r="R25" i="29"/>
  <c r="R34" i="29"/>
  <c r="R24" i="29"/>
  <c r="R31" i="29"/>
  <c r="R29" i="29"/>
  <c r="R33" i="29"/>
  <c r="R22" i="29"/>
  <c r="V36" i="22"/>
  <c r="V34" i="22"/>
  <c r="V33" i="22"/>
  <c r="V31" i="22"/>
  <c r="V29" i="22"/>
  <c r="V27" i="22"/>
  <c r="V25" i="22"/>
  <c r="V24" i="22"/>
  <c r="V22" i="22"/>
  <c r="T18" i="22"/>
  <c r="V15" i="22"/>
  <c r="V21" i="22"/>
  <c r="V16" i="22"/>
  <c r="Z12" i="22"/>
  <c r="V20" i="22"/>
  <c r="V18" i="22"/>
  <c r="L15" i="22"/>
  <c r="Z25" i="22"/>
  <c r="Z29" i="22"/>
  <c r="Z33" i="22"/>
  <c r="Z34" i="22"/>
  <c r="R36" i="23"/>
  <c r="R34" i="23"/>
  <c r="R33" i="23"/>
  <c r="R31" i="23"/>
  <c r="R29" i="23"/>
  <c r="R27" i="23"/>
  <c r="R25" i="23"/>
  <c r="R20" i="23"/>
  <c r="R18" i="23"/>
  <c r="R16" i="23"/>
  <c r="R15" i="23"/>
  <c r="P18" i="23"/>
  <c r="R21" i="23"/>
  <c r="R24" i="23"/>
  <c r="X12" i="23"/>
  <c r="R22" i="23"/>
  <c r="Z22" i="23"/>
  <c r="Z24" i="23"/>
  <c r="Z21" i="25"/>
  <c r="X25" i="25"/>
  <c r="X29" i="25"/>
  <c r="X33" i="25"/>
  <c r="X34" i="25"/>
  <c r="L15" i="26"/>
  <c r="N16" i="26"/>
  <c r="L22" i="26"/>
  <c r="R21" i="28"/>
  <c r="R20" i="28"/>
  <c r="R18" i="28"/>
  <c r="R16" i="28"/>
  <c r="P18" i="28"/>
  <c r="R15" i="28"/>
  <c r="X12" i="28"/>
  <c r="R24" i="28"/>
  <c r="R22" i="28"/>
  <c r="R36" i="28"/>
  <c r="R25" i="28"/>
  <c r="R34" i="28"/>
  <c r="R33" i="28"/>
  <c r="R31" i="28"/>
  <c r="R29" i="28"/>
  <c r="R27" i="28"/>
  <c r="X34" i="29"/>
  <c r="L13" i="31"/>
  <c r="N20" i="34"/>
  <c r="X13" i="38"/>
  <c r="L16" i="22"/>
  <c r="L20" i="22"/>
  <c r="V24" i="23"/>
  <c r="V22" i="23"/>
  <c r="V21" i="23"/>
  <c r="V25" i="23"/>
  <c r="V15" i="23"/>
  <c r="V29" i="23"/>
  <c r="V18" i="23"/>
  <c r="T18" i="23"/>
  <c r="V33" i="23"/>
  <c r="V36" i="23"/>
  <c r="V27" i="23"/>
  <c r="V16" i="23"/>
  <c r="V31" i="23"/>
  <c r="V20" i="23"/>
  <c r="V34" i="23"/>
  <c r="Z12" i="23"/>
  <c r="L15" i="23"/>
  <c r="Z25" i="23"/>
  <c r="Z29" i="23"/>
  <c r="Z33" i="23"/>
  <c r="Z34" i="23"/>
  <c r="X12" i="25"/>
  <c r="R36" i="25"/>
  <c r="R34" i="25"/>
  <c r="R33" i="25"/>
  <c r="R31" i="25"/>
  <c r="R29" i="25"/>
  <c r="R27" i="25"/>
  <c r="R25" i="25"/>
  <c r="R24" i="25"/>
  <c r="R22" i="25"/>
  <c r="P18" i="25"/>
  <c r="R15" i="25"/>
  <c r="R18" i="25"/>
  <c r="R21" i="25"/>
  <c r="R16" i="25"/>
  <c r="R20" i="25"/>
  <c r="Z22" i="25"/>
  <c r="Z24" i="25"/>
  <c r="P18" i="26"/>
  <c r="R36" i="26"/>
  <c r="R29" i="26"/>
  <c r="R22" i="26"/>
  <c r="R15" i="26"/>
  <c r="R31" i="26"/>
  <c r="R16" i="26"/>
  <c r="X12" i="26"/>
  <c r="R33" i="26"/>
  <c r="R25" i="26"/>
  <c r="R18" i="26"/>
  <c r="R34" i="26"/>
  <c r="R27" i="26"/>
  <c r="R20" i="26"/>
  <c r="R21" i="26"/>
  <c r="R24" i="26"/>
  <c r="X24" i="26"/>
  <c r="Z25" i="26"/>
  <c r="L29" i="26"/>
  <c r="Z33" i="26"/>
  <c r="T18" i="28"/>
  <c r="V15" i="28"/>
  <c r="Z12" i="28"/>
  <c r="V36" i="28"/>
  <c r="V34" i="28"/>
  <c r="V33" i="28"/>
  <c r="V31" i="28"/>
  <c r="V29" i="28"/>
  <c r="V27" i="28"/>
  <c r="V25" i="28"/>
  <c r="V20" i="28"/>
  <c r="V18" i="28"/>
  <c r="V16" i="28"/>
  <c r="V24" i="28"/>
  <c r="V22" i="28"/>
  <c r="V21" i="28"/>
  <c r="Z24" i="29"/>
  <c r="N13" i="31"/>
  <c r="Z25" i="31"/>
  <c r="Z22" i="28"/>
  <c r="X25" i="29"/>
  <c r="L16" i="25"/>
  <c r="L20" i="25"/>
  <c r="Z24" i="26"/>
  <c r="L15" i="28"/>
  <c r="Z33" i="28"/>
  <c r="X15" i="31"/>
  <c r="N29" i="31"/>
  <c r="L13" i="22"/>
  <c r="N21" i="22"/>
  <c r="L25" i="22"/>
  <c r="L29" i="22"/>
  <c r="L33" i="22"/>
  <c r="L34" i="22"/>
  <c r="N16" i="23"/>
  <c r="N20" i="23"/>
  <c r="L22" i="23"/>
  <c r="L24" i="23"/>
  <c r="N15" i="25"/>
  <c r="L21" i="25"/>
  <c r="X15" i="26"/>
  <c r="Z16" i="26"/>
  <c r="N21" i="26"/>
  <c r="X22" i="26"/>
  <c r="L34" i="26"/>
  <c r="Z24" i="28"/>
  <c r="N13" i="22"/>
  <c r="N22" i="22"/>
  <c r="N24" i="22"/>
  <c r="L13" i="23"/>
  <c r="N21" i="23"/>
  <c r="L25" i="23"/>
  <c r="L29" i="23"/>
  <c r="L33" i="23"/>
  <c r="L34" i="23"/>
  <c r="N16" i="25"/>
  <c r="N20" i="25"/>
  <c r="L22" i="25"/>
  <c r="L24" i="25"/>
  <c r="L13" i="26"/>
  <c r="L20" i="26"/>
  <c r="X29" i="26"/>
  <c r="N34" i="26"/>
  <c r="Z34" i="28"/>
  <c r="Z21" i="35"/>
  <c r="X15" i="22"/>
  <c r="N25" i="22"/>
  <c r="N29" i="22"/>
  <c r="N33" i="22"/>
  <c r="N34" i="22"/>
  <c r="N13" i="23"/>
  <c r="N22" i="23"/>
  <c r="N24" i="23"/>
  <c r="L13" i="25"/>
  <c r="N21" i="25"/>
  <c r="L25" i="25"/>
  <c r="L29" i="25"/>
  <c r="L33" i="25"/>
  <c r="L34" i="25"/>
  <c r="Z15" i="26"/>
  <c r="N20" i="26"/>
  <c r="X21" i="26"/>
  <c r="Z22" i="26"/>
  <c r="X29" i="29"/>
  <c r="Z24" i="32"/>
  <c r="X16" i="26"/>
  <c r="X20" i="26"/>
  <c r="Z21" i="28"/>
  <c r="X25" i="28"/>
  <c r="X29" i="28"/>
  <c r="X33" i="28"/>
  <c r="X34" i="28"/>
  <c r="Z13" i="29"/>
  <c r="Z16" i="29"/>
  <c r="Z20" i="29"/>
  <c r="X22" i="29"/>
  <c r="X24" i="29"/>
  <c r="Z21" i="31"/>
  <c r="X25" i="31"/>
  <c r="L29" i="31"/>
  <c r="L34" i="31"/>
  <c r="X24" i="32"/>
  <c r="L21" i="35"/>
  <c r="Z16" i="37"/>
  <c r="L16" i="28"/>
  <c r="L20" i="28"/>
  <c r="Z12" i="29"/>
  <c r="V36" i="29"/>
  <c r="V34" i="29"/>
  <c r="V33" i="29"/>
  <c r="V31" i="29"/>
  <c r="V29" i="29"/>
  <c r="V27" i="29"/>
  <c r="V25" i="29"/>
  <c r="V24" i="29"/>
  <c r="V22" i="29"/>
  <c r="T18" i="29"/>
  <c r="V15" i="29"/>
  <c r="V20" i="29"/>
  <c r="V18" i="29"/>
  <c r="V16" i="29"/>
  <c r="V21" i="29"/>
  <c r="L15" i="29"/>
  <c r="Z25" i="29"/>
  <c r="Z29" i="29"/>
  <c r="Z33" i="29"/>
  <c r="Z34" i="29"/>
  <c r="X20" i="31"/>
  <c r="N16" i="32"/>
  <c r="N20" i="32"/>
  <c r="L22" i="32"/>
  <c r="X33" i="35"/>
  <c r="Z15" i="38"/>
  <c r="N15" i="28"/>
  <c r="L21" i="28"/>
  <c r="L16" i="29"/>
  <c r="L20" i="29"/>
  <c r="F21" i="31"/>
  <c r="F20" i="31"/>
  <c r="F18" i="31"/>
  <c r="F16" i="31"/>
  <c r="F15" i="31"/>
  <c r="F36" i="31"/>
  <c r="F31" i="31"/>
  <c r="F25" i="31"/>
  <c r="L12" i="31"/>
  <c r="F33" i="31"/>
  <c r="F27" i="31"/>
  <c r="F22" i="31"/>
  <c r="D18" i="31"/>
  <c r="F24" i="31"/>
  <c r="F34" i="31"/>
  <c r="F29" i="31"/>
  <c r="X29" i="31"/>
  <c r="L33" i="31"/>
  <c r="X34" i="31"/>
  <c r="Z13" i="32"/>
  <c r="N22" i="32"/>
  <c r="N29" i="32"/>
  <c r="N15" i="35"/>
  <c r="X22" i="37"/>
  <c r="N16" i="28"/>
  <c r="N20" i="28"/>
  <c r="L22" i="28"/>
  <c r="L24" i="28"/>
  <c r="N15" i="29"/>
  <c r="L21" i="29"/>
  <c r="H18" i="31"/>
  <c r="J36" i="31"/>
  <c r="J31" i="31"/>
  <c r="J25" i="31"/>
  <c r="J15" i="31"/>
  <c r="J21" i="31"/>
  <c r="J16" i="31"/>
  <c r="J33" i="31"/>
  <c r="J27" i="31"/>
  <c r="N12" i="31"/>
  <c r="J22" i="31"/>
  <c r="J18" i="31"/>
  <c r="J34" i="31"/>
  <c r="J29" i="31"/>
  <c r="J20" i="31"/>
  <c r="J24" i="31"/>
  <c r="X13" i="31"/>
  <c r="N22" i="31"/>
  <c r="Z24" i="31"/>
  <c r="N25" i="32"/>
  <c r="Z33" i="32"/>
  <c r="X12" i="34"/>
  <c r="R24" i="34"/>
  <c r="R22" i="34"/>
  <c r="R21" i="34"/>
  <c r="R20" i="34"/>
  <c r="R18" i="34"/>
  <c r="R16" i="34"/>
  <c r="P18" i="34"/>
  <c r="R15" i="34"/>
  <c r="R36" i="34"/>
  <c r="R25" i="34"/>
  <c r="R34" i="34"/>
  <c r="R33" i="34"/>
  <c r="R31" i="34"/>
  <c r="R29" i="34"/>
  <c r="R27" i="34"/>
  <c r="X34" i="35"/>
  <c r="X24" i="37"/>
  <c r="L13" i="28"/>
  <c r="N21" i="28"/>
  <c r="L25" i="28"/>
  <c r="L29" i="28"/>
  <c r="L33" i="28"/>
  <c r="L34" i="28"/>
  <c r="N16" i="29"/>
  <c r="N20" i="29"/>
  <c r="L22" i="29"/>
  <c r="L24" i="29"/>
  <c r="Z13" i="31"/>
  <c r="Z29" i="31"/>
  <c r="N33" i="31"/>
  <c r="Z34" i="31"/>
  <c r="Z16" i="32"/>
  <c r="Z20" i="32"/>
  <c r="X22" i="32"/>
  <c r="L22" i="34"/>
  <c r="N15" i="26"/>
  <c r="L21" i="26"/>
  <c r="N13" i="28"/>
  <c r="N22" i="28"/>
  <c r="N24" i="28"/>
  <c r="L13" i="29"/>
  <c r="N21" i="29"/>
  <c r="L25" i="29"/>
  <c r="L29" i="29"/>
  <c r="L33" i="29"/>
  <c r="L34" i="29"/>
  <c r="L16" i="31"/>
  <c r="L15" i="32"/>
  <c r="Z22" i="32"/>
  <c r="Z29" i="32"/>
  <c r="N34" i="32"/>
  <c r="Z22" i="34"/>
  <c r="X25" i="35"/>
  <c r="X21" i="38"/>
  <c r="X15" i="28"/>
  <c r="N25" i="28"/>
  <c r="N29" i="28"/>
  <c r="N33" i="28"/>
  <c r="N34" i="28"/>
  <c r="N13" i="29"/>
  <c r="N22" i="29"/>
  <c r="N24" i="29"/>
  <c r="R20" i="31"/>
  <c r="R18" i="31"/>
  <c r="R16" i="31"/>
  <c r="R21" i="31"/>
  <c r="X12" i="31"/>
  <c r="R33" i="31"/>
  <c r="R27" i="31"/>
  <c r="R22" i="31"/>
  <c r="P18" i="31"/>
  <c r="R34" i="31"/>
  <c r="R29" i="31"/>
  <c r="R24" i="31"/>
  <c r="R15" i="31"/>
  <c r="R31" i="31"/>
  <c r="R25" i="31"/>
  <c r="R36" i="31"/>
  <c r="N21" i="31"/>
  <c r="L25" i="31"/>
  <c r="X33" i="31"/>
  <c r="Z25" i="32"/>
  <c r="L24" i="34"/>
  <c r="L12" i="28"/>
  <c r="F36" i="28"/>
  <c r="F34" i="28"/>
  <c r="F33" i="28"/>
  <c r="F31" i="28"/>
  <c r="F29" i="28"/>
  <c r="F27" i="28"/>
  <c r="F25" i="28"/>
  <c r="F24" i="28"/>
  <c r="F22" i="28"/>
  <c r="F21" i="28"/>
  <c r="F20" i="28"/>
  <c r="F18" i="28"/>
  <c r="F16" i="28"/>
  <c r="D18" i="28"/>
  <c r="F15" i="28"/>
  <c r="X16" i="28"/>
  <c r="X20" i="28"/>
  <c r="X15" i="29"/>
  <c r="N25" i="29"/>
  <c r="N29" i="29"/>
  <c r="N33" i="29"/>
  <c r="N34" i="29"/>
  <c r="T18" i="31"/>
  <c r="V15" i="31"/>
  <c r="V33" i="31"/>
  <c r="V27" i="31"/>
  <c r="Z12" i="31"/>
  <c r="V22" i="31"/>
  <c r="V18" i="31"/>
  <c r="V34" i="31"/>
  <c r="V29" i="31"/>
  <c r="V24" i="31"/>
  <c r="V20" i="31"/>
  <c r="V36" i="31"/>
  <c r="V31" i="31"/>
  <c r="V25" i="31"/>
  <c r="V16" i="31"/>
  <c r="V21" i="31"/>
  <c r="L15" i="31"/>
  <c r="Z22" i="31"/>
  <c r="L24" i="32"/>
  <c r="Z24" i="34"/>
  <c r="N13" i="26"/>
  <c r="N22" i="26"/>
  <c r="N24" i="26"/>
  <c r="J36" i="28"/>
  <c r="J34" i="28"/>
  <c r="J33" i="28"/>
  <c r="J31" i="28"/>
  <c r="J29" i="28"/>
  <c r="J27" i="28"/>
  <c r="J25" i="28"/>
  <c r="J24" i="28"/>
  <c r="J22" i="28"/>
  <c r="J21" i="28"/>
  <c r="J20" i="28"/>
  <c r="J18" i="28"/>
  <c r="J16" i="28"/>
  <c r="H18" i="28"/>
  <c r="J15" i="28"/>
  <c r="N12" i="28"/>
  <c r="X13" i="28"/>
  <c r="Z15" i="28"/>
  <c r="X21" i="28"/>
  <c r="F36" i="29"/>
  <c r="F34" i="29"/>
  <c r="F33" i="29"/>
  <c r="F31" i="29"/>
  <c r="F29" i="29"/>
  <c r="F27" i="29"/>
  <c r="F25" i="29"/>
  <c r="F24" i="29"/>
  <c r="F22" i="29"/>
  <c r="F21" i="29"/>
  <c r="F20" i="29"/>
  <c r="F18" i="29"/>
  <c r="F16" i="29"/>
  <c r="D18" i="29"/>
  <c r="F15" i="29"/>
  <c r="L12" i="29"/>
  <c r="X16" i="29"/>
  <c r="X20" i="29"/>
  <c r="N25" i="31"/>
  <c r="Z33" i="31"/>
  <c r="P18" i="32"/>
  <c r="R15" i="32"/>
  <c r="X12" i="32"/>
  <c r="R24" i="32"/>
  <c r="R22" i="32"/>
  <c r="R20" i="32"/>
  <c r="R18" i="32"/>
  <c r="R16" i="32"/>
  <c r="R31" i="32"/>
  <c r="R34" i="32"/>
  <c r="R25" i="32"/>
  <c r="R29" i="32"/>
  <c r="R33" i="32"/>
  <c r="R21" i="32"/>
  <c r="R36" i="32"/>
  <c r="R27" i="32"/>
  <c r="N24" i="32"/>
  <c r="Z34" i="32"/>
  <c r="N16" i="34"/>
  <c r="Z13" i="37"/>
  <c r="Z13" i="28"/>
  <c r="Z16" i="28"/>
  <c r="Z20" i="28"/>
  <c r="X22" i="28"/>
  <c r="X24" i="28"/>
  <c r="J36" i="29"/>
  <c r="J34" i="29"/>
  <c r="J33" i="29"/>
  <c r="J31" i="29"/>
  <c r="J29" i="29"/>
  <c r="J27" i="29"/>
  <c r="J25" i="29"/>
  <c r="J24" i="29"/>
  <c r="J22" i="29"/>
  <c r="J21" i="29"/>
  <c r="J20" i="29"/>
  <c r="J18" i="29"/>
  <c r="J16" i="29"/>
  <c r="H18" i="29"/>
  <c r="J15" i="29"/>
  <c r="N12" i="29"/>
  <c r="X13" i="29"/>
  <c r="Z15" i="29"/>
  <c r="X21" i="29"/>
  <c r="X16" i="31"/>
  <c r="L20" i="31"/>
  <c r="Z12" i="32"/>
  <c r="V36" i="32"/>
  <c r="V34" i="32"/>
  <c r="V33" i="32"/>
  <c r="V31" i="32"/>
  <c r="V29" i="32"/>
  <c r="V27" i="32"/>
  <c r="V25" i="32"/>
  <c r="V20" i="32"/>
  <c r="V18" i="32"/>
  <c r="V16" i="32"/>
  <c r="V22" i="32"/>
  <c r="T18" i="32"/>
  <c r="V15" i="32"/>
  <c r="V21" i="32"/>
  <c r="V24" i="32"/>
  <c r="X15" i="32"/>
  <c r="X29" i="35"/>
  <c r="L15" i="41"/>
  <c r="Z16" i="31"/>
  <c r="Z20" i="31"/>
  <c r="X22" i="31"/>
  <c r="X24" i="31"/>
  <c r="J36" i="32"/>
  <c r="J34" i="32"/>
  <c r="J33" i="32"/>
  <c r="J31" i="32"/>
  <c r="J29" i="32"/>
  <c r="J27" i="32"/>
  <c r="J25" i="32"/>
  <c r="J20" i="32"/>
  <c r="J18" i="32"/>
  <c r="J16" i="32"/>
  <c r="J24" i="32"/>
  <c r="J21" i="32"/>
  <c r="H18" i="32"/>
  <c r="N12" i="32"/>
  <c r="J15" i="32"/>
  <c r="J22" i="32"/>
  <c r="X13" i="32"/>
  <c r="Z15" i="32"/>
  <c r="X21" i="32"/>
  <c r="N15" i="34"/>
  <c r="L21" i="34"/>
  <c r="L16" i="35"/>
  <c r="L20" i="35"/>
  <c r="J36" i="37"/>
  <c r="J34" i="37"/>
  <c r="J33" i="37"/>
  <c r="J31" i="37"/>
  <c r="J29" i="37"/>
  <c r="J27" i="37"/>
  <c r="J25" i="37"/>
  <c r="J24" i="37"/>
  <c r="J22" i="37"/>
  <c r="J21" i="37"/>
  <c r="J20" i="37"/>
  <c r="J18" i="37"/>
  <c r="J16" i="37"/>
  <c r="H18" i="37"/>
  <c r="J15" i="37"/>
  <c r="N12" i="37"/>
  <c r="X13" i="37"/>
  <c r="Z15" i="37"/>
  <c r="X21" i="37"/>
  <c r="F34" i="38"/>
  <c r="F33" i="38"/>
  <c r="F31" i="38"/>
  <c r="F29" i="38"/>
  <c r="F27" i="38"/>
  <c r="F25" i="38"/>
  <c r="F24" i="38"/>
  <c r="F22" i="38"/>
  <c r="F36" i="38"/>
  <c r="F21" i="38"/>
  <c r="F20" i="38"/>
  <c r="F18" i="38"/>
  <c r="F16" i="38"/>
  <c r="D18" i="38"/>
  <c r="F15" i="38"/>
  <c r="L12" i="38"/>
  <c r="X16" i="38"/>
  <c r="X20" i="38"/>
  <c r="L13" i="41"/>
  <c r="L33" i="41"/>
  <c r="Z21" i="32"/>
  <c r="X25" i="32"/>
  <c r="X29" i="32"/>
  <c r="X33" i="32"/>
  <c r="X34" i="32"/>
  <c r="L13" i="34"/>
  <c r="N21" i="34"/>
  <c r="L25" i="34"/>
  <c r="L29" i="34"/>
  <c r="L33" i="34"/>
  <c r="L34" i="34"/>
  <c r="N16" i="35"/>
  <c r="N20" i="35"/>
  <c r="L22" i="35"/>
  <c r="L24" i="35"/>
  <c r="Z21" i="37"/>
  <c r="X25" i="37"/>
  <c r="X29" i="37"/>
  <c r="X33" i="37"/>
  <c r="X34" i="37"/>
  <c r="Z13" i="38"/>
  <c r="Z16" i="38"/>
  <c r="Z20" i="38"/>
  <c r="X22" i="38"/>
  <c r="X24" i="38"/>
  <c r="L34" i="41"/>
  <c r="N13" i="34"/>
  <c r="N22" i="34"/>
  <c r="N24" i="34"/>
  <c r="L13" i="35"/>
  <c r="N21" i="35"/>
  <c r="L25" i="35"/>
  <c r="L29" i="35"/>
  <c r="L33" i="35"/>
  <c r="L34" i="35"/>
  <c r="P18" i="37"/>
  <c r="R15" i="37"/>
  <c r="X12" i="37"/>
  <c r="R36" i="37"/>
  <c r="R34" i="37"/>
  <c r="R33" i="37"/>
  <c r="R31" i="37"/>
  <c r="R29" i="37"/>
  <c r="R27" i="37"/>
  <c r="R25" i="37"/>
  <c r="R24" i="37"/>
  <c r="R22" i="37"/>
  <c r="R20" i="37"/>
  <c r="R18" i="37"/>
  <c r="R16" i="37"/>
  <c r="R21" i="37"/>
  <c r="Z22" i="37"/>
  <c r="Z24" i="37"/>
  <c r="Z21" i="38"/>
  <c r="X25" i="38"/>
  <c r="X29" i="38"/>
  <c r="X33" i="38"/>
  <c r="Z34" i="41"/>
  <c r="X21" i="43"/>
  <c r="X15" i="34"/>
  <c r="N25" i="34"/>
  <c r="N29" i="34"/>
  <c r="N33" i="34"/>
  <c r="N34" i="34"/>
  <c r="N13" i="35"/>
  <c r="N22" i="35"/>
  <c r="N24" i="35"/>
  <c r="Z12" i="37"/>
  <c r="V36" i="37"/>
  <c r="V34" i="37"/>
  <c r="V33" i="37"/>
  <c r="V31" i="37"/>
  <c r="V29" i="37"/>
  <c r="V27" i="37"/>
  <c r="V25" i="37"/>
  <c r="V24" i="37"/>
  <c r="V22" i="37"/>
  <c r="V21" i="37"/>
  <c r="V20" i="37"/>
  <c r="V18" i="37"/>
  <c r="V16" i="37"/>
  <c r="V15" i="37"/>
  <c r="T18" i="37"/>
  <c r="L15" i="37"/>
  <c r="Z25" i="37"/>
  <c r="Z29" i="37"/>
  <c r="Z33" i="37"/>
  <c r="Z34" i="37"/>
  <c r="R36" i="38"/>
  <c r="X12" i="38"/>
  <c r="R33" i="38"/>
  <c r="R31" i="38"/>
  <c r="R29" i="38"/>
  <c r="R27" i="38"/>
  <c r="R25" i="38"/>
  <c r="R34" i="38"/>
  <c r="R24" i="38"/>
  <c r="R22" i="38"/>
  <c r="R21" i="38"/>
  <c r="P18" i="38"/>
  <c r="R15" i="38"/>
  <c r="R20" i="38"/>
  <c r="R18" i="38"/>
  <c r="R16" i="38"/>
  <c r="Z22" i="38"/>
  <c r="Z24" i="38"/>
  <c r="Z34" i="38"/>
  <c r="N13" i="40"/>
  <c r="N22" i="40"/>
  <c r="L25" i="41"/>
  <c r="N15" i="31"/>
  <c r="L21" i="31"/>
  <c r="L16" i="32"/>
  <c r="L20" i="32"/>
  <c r="D18" i="34"/>
  <c r="F15" i="34"/>
  <c r="L12" i="34"/>
  <c r="F36" i="34"/>
  <c r="F34" i="34"/>
  <c r="F33" i="34"/>
  <c r="F31" i="34"/>
  <c r="F29" i="34"/>
  <c r="F27" i="34"/>
  <c r="F25" i="34"/>
  <c r="F24" i="34"/>
  <c r="F22" i="34"/>
  <c r="F20" i="34"/>
  <c r="F18" i="34"/>
  <c r="F16" i="34"/>
  <c r="F21" i="34"/>
  <c r="X16" i="34"/>
  <c r="X20" i="34"/>
  <c r="X15" i="35"/>
  <c r="N25" i="35"/>
  <c r="N29" i="35"/>
  <c r="N33" i="35"/>
  <c r="N34" i="35"/>
  <c r="L16" i="37"/>
  <c r="L20" i="37"/>
  <c r="V36" i="38"/>
  <c r="Z12" i="38"/>
  <c r="V33" i="38"/>
  <c r="V31" i="38"/>
  <c r="V29" i="38"/>
  <c r="V27" i="38"/>
  <c r="V25" i="38"/>
  <c r="V34" i="38"/>
  <c r="V24" i="38"/>
  <c r="V22" i="38"/>
  <c r="V21" i="38"/>
  <c r="V20" i="38"/>
  <c r="V18" i="38"/>
  <c r="V16" i="38"/>
  <c r="T18" i="38"/>
  <c r="V15" i="38"/>
  <c r="L15" i="38"/>
  <c r="Z25" i="38"/>
  <c r="Z29" i="38"/>
  <c r="Z33" i="38"/>
  <c r="Z25" i="41"/>
  <c r="N16" i="31"/>
  <c r="N20" i="31"/>
  <c r="L22" i="31"/>
  <c r="L24" i="31"/>
  <c r="N15" i="32"/>
  <c r="L21" i="32"/>
  <c r="N12" i="34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J15" i="34"/>
  <c r="H18" i="34"/>
  <c r="X13" i="34"/>
  <c r="Z15" i="34"/>
  <c r="X21" i="34"/>
  <c r="L12" i="35"/>
  <c r="F36" i="35"/>
  <c r="F34" i="35"/>
  <c r="F33" i="35"/>
  <c r="F31" i="35"/>
  <c r="F29" i="35"/>
  <c r="F27" i="35"/>
  <c r="F25" i="35"/>
  <c r="F24" i="35"/>
  <c r="F22" i="35"/>
  <c r="F21" i="35"/>
  <c r="D18" i="35"/>
  <c r="F15" i="35"/>
  <c r="F20" i="35"/>
  <c r="F18" i="35"/>
  <c r="F16" i="35"/>
  <c r="X16" i="35"/>
  <c r="X20" i="35"/>
  <c r="N15" i="37"/>
  <c r="L21" i="37"/>
  <c r="L16" i="38"/>
  <c r="L20" i="38"/>
  <c r="N24" i="40"/>
  <c r="Z13" i="34"/>
  <c r="Z16" i="34"/>
  <c r="Z20" i="34"/>
  <c r="X22" i="34"/>
  <c r="X24" i="34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N12" i="35"/>
  <c r="X13" i="35"/>
  <c r="Z15" i="35"/>
  <c r="X21" i="35"/>
  <c r="N16" i="37"/>
  <c r="N20" i="37"/>
  <c r="L22" i="37"/>
  <c r="L24" i="37"/>
  <c r="N15" i="38"/>
  <c r="L21" i="38"/>
  <c r="L16" i="40"/>
  <c r="N24" i="49"/>
  <c r="N21" i="32"/>
  <c r="L25" i="32"/>
  <c r="L29" i="32"/>
  <c r="L33" i="32"/>
  <c r="L34" i="32"/>
  <c r="Z21" i="34"/>
  <c r="X25" i="34"/>
  <c r="X29" i="34"/>
  <c r="X33" i="34"/>
  <c r="X34" i="34"/>
  <c r="Z13" i="35"/>
  <c r="Z16" i="35"/>
  <c r="Z20" i="35"/>
  <c r="X22" i="35"/>
  <c r="X24" i="35"/>
  <c r="L13" i="37"/>
  <c r="N21" i="37"/>
  <c r="L25" i="37"/>
  <c r="L29" i="37"/>
  <c r="L33" i="37"/>
  <c r="L34" i="37"/>
  <c r="N16" i="38"/>
  <c r="N20" i="38"/>
  <c r="L22" i="38"/>
  <c r="L24" i="38"/>
  <c r="L29" i="41"/>
  <c r="N13" i="37"/>
  <c r="N22" i="37"/>
  <c r="N24" i="37"/>
  <c r="L13" i="38"/>
  <c r="N21" i="38"/>
  <c r="L25" i="38"/>
  <c r="L29" i="38"/>
  <c r="L33" i="38"/>
  <c r="L34" i="38"/>
  <c r="Z29" i="41"/>
  <c r="V36" i="34"/>
  <c r="V34" i="34"/>
  <c r="V33" i="34"/>
  <c r="V31" i="34"/>
  <c r="V29" i="34"/>
  <c r="V27" i="34"/>
  <c r="V25" i="34"/>
  <c r="V24" i="34"/>
  <c r="V22" i="34"/>
  <c r="V20" i="34"/>
  <c r="V18" i="34"/>
  <c r="V16" i="34"/>
  <c r="T18" i="34"/>
  <c r="V15" i="34"/>
  <c r="Z12" i="34"/>
  <c r="V21" i="34"/>
  <c r="L15" i="34"/>
  <c r="Z25" i="34"/>
  <c r="Z29" i="34"/>
  <c r="Z33" i="34"/>
  <c r="Z34" i="34"/>
  <c r="R36" i="35"/>
  <c r="R34" i="35"/>
  <c r="R33" i="35"/>
  <c r="R31" i="35"/>
  <c r="R29" i="35"/>
  <c r="R27" i="35"/>
  <c r="R25" i="35"/>
  <c r="R21" i="35"/>
  <c r="R20" i="35"/>
  <c r="R18" i="35"/>
  <c r="R16" i="35"/>
  <c r="P18" i="35"/>
  <c r="R15" i="35"/>
  <c r="X12" i="35"/>
  <c r="R24" i="35"/>
  <c r="R22" i="35"/>
  <c r="Z22" i="35"/>
  <c r="Z24" i="35"/>
  <c r="X15" i="37"/>
  <c r="N25" i="37"/>
  <c r="N29" i="37"/>
  <c r="N33" i="37"/>
  <c r="N34" i="37"/>
  <c r="N13" i="38"/>
  <c r="N22" i="38"/>
  <c r="N24" i="38"/>
  <c r="N21" i="41"/>
  <c r="Z15" i="31"/>
  <c r="X21" i="31"/>
  <c r="F24" i="32"/>
  <c r="F22" i="32"/>
  <c r="F20" i="32"/>
  <c r="F18" i="32"/>
  <c r="F16" i="32"/>
  <c r="D18" i="32"/>
  <c r="F15" i="32"/>
  <c r="F36" i="32"/>
  <c r="F27" i="32"/>
  <c r="F21" i="32"/>
  <c r="F31" i="32"/>
  <c r="L12" i="32"/>
  <c r="F34" i="32"/>
  <c r="F25" i="32"/>
  <c r="F29" i="32"/>
  <c r="F33" i="32"/>
  <c r="X16" i="32"/>
  <c r="X20" i="32"/>
  <c r="L16" i="34"/>
  <c r="L20" i="34"/>
  <c r="V24" i="35"/>
  <c r="V22" i="35"/>
  <c r="V21" i="35"/>
  <c r="T18" i="35"/>
  <c r="V15" i="35"/>
  <c r="V36" i="35"/>
  <c r="V34" i="35"/>
  <c r="V33" i="35"/>
  <c r="V31" i="35"/>
  <c r="V29" i="35"/>
  <c r="V27" i="35"/>
  <c r="V25" i="35"/>
  <c r="V20" i="35"/>
  <c r="V18" i="35"/>
  <c r="V16" i="35"/>
  <c r="Z12" i="35"/>
  <c r="L15" i="35"/>
  <c r="Z25" i="35"/>
  <c r="Z29" i="35"/>
  <c r="Z33" i="35"/>
  <c r="Z34" i="35"/>
  <c r="F36" i="37"/>
  <c r="F34" i="37"/>
  <c r="F33" i="37"/>
  <c r="F31" i="37"/>
  <c r="F29" i="37"/>
  <c r="F27" i="37"/>
  <c r="F25" i="37"/>
  <c r="F24" i="37"/>
  <c r="F22" i="37"/>
  <c r="F21" i="37"/>
  <c r="F20" i="37"/>
  <c r="F18" i="37"/>
  <c r="F16" i="37"/>
  <c r="D18" i="37"/>
  <c r="F15" i="37"/>
  <c r="L12" i="37"/>
  <c r="X16" i="37"/>
  <c r="X20" i="37"/>
  <c r="X15" i="38"/>
  <c r="N25" i="38"/>
  <c r="N29" i="38"/>
  <c r="N33" i="38"/>
  <c r="N34" i="38"/>
  <c r="L20" i="40"/>
  <c r="Z12" i="41"/>
  <c r="V36" i="41"/>
  <c r="V34" i="41"/>
  <c r="V33" i="41"/>
  <c r="V31" i="41"/>
  <c r="V29" i="41"/>
  <c r="V27" i="41"/>
  <c r="V25" i="41"/>
  <c r="V21" i="41"/>
  <c r="V20" i="41"/>
  <c r="V18" i="41"/>
  <c r="V16" i="41"/>
  <c r="T18" i="41"/>
  <c r="V15" i="41"/>
  <c r="V24" i="41"/>
  <c r="V22" i="41"/>
  <c r="L13" i="40"/>
  <c r="N21" i="40"/>
  <c r="L25" i="40"/>
  <c r="L29" i="40"/>
  <c r="L33" i="40"/>
  <c r="L34" i="40"/>
  <c r="N16" i="41"/>
  <c r="N20" i="41"/>
  <c r="L22" i="41"/>
  <c r="L24" i="41"/>
  <c r="N21" i="43"/>
  <c r="L24" i="44"/>
  <c r="X15" i="40"/>
  <c r="N25" i="40"/>
  <c r="N29" i="40"/>
  <c r="N33" i="40"/>
  <c r="N34" i="40"/>
  <c r="N13" i="41"/>
  <c r="N22" i="41"/>
  <c r="N24" i="41"/>
  <c r="F36" i="43"/>
  <c r="F34" i="43"/>
  <c r="F33" i="43"/>
  <c r="F31" i="43"/>
  <c r="F29" i="43"/>
  <c r="F27" i="43"/>
  <c r="F25" i="43"/>
  <c r="F21" i="43"/>
  <c r="F20" i="43"/>
  <c r="F18" i="43"/>
  <c r="F16" i="43"/>
  <c r="D18" i="43"/>
  <c r="F15" i="43"/>
  <c r="L12" i="43"/>
  <c r="F24" i="43"/>
  <c r="F22" i="43"/>
  <c r="X16" i="43"/>
  <c r="L33" i="43"/>
  <c r="N16" i="44"/>
  <c r="Z13" i="46"/>
  <c r="N25" i="49"/>
  <c r="F21" i="40"/>
  <c r="F20" i="40"/>
  <c r="F18" i="40"/>
  <c r="F16" i="40"/>
  <c r="L12" i="40"/>
  <c r="F24" i="40"/>
  <c r="F22" i="40"/>
  <c r="F27" i="40"/>
  <c r="D18" i="40"/>
  <c r="F36" i="40"/>
  <c r="F25" i="40"/>
  <c r="F34" i="40"/>
  <c r="F15" i="40"/>
  <c r="F33" i="40"/>
  <c r="F31" i="40"/>
  <c r="F29" i="40"/>
  <c r="X16" i="40"/>
  <c r="X20" i="40"/>
  <c r="X15" i="41"/>
  <c r="N25" i="41"/>
  <c r="N29" i="41"/>
  <c r="N33" i="41"/>
  <c r="N34" i="41"/>
  <c r="J24" i="43"/>
  <c r="J22" i="43"/>
  <c r="J21" i="43"/>
  <c r="H18" i="43"/>
  <c r="J15" i="43"/>
  <c r="J36" i="43"/>
  <c r="J34" i="43"/>
  <c r="J33" i="43"/>
  <c r="J31" i="43"/>
  <c r="J29" i="43"/>
  <c r="J27" i="43"/>
  <c r="J25" i="43"/>
  <c r="J20" i="43"/>
  <c r="J18" i="43"/>
  <c r="N12" i="43"/>
  <c r="J16" i="43"/>
  <c r="X16" i="44"/>
  <c r="H18" i="40"/>
  <c r="J15" i="40"/>
  <c r="N12" i="40"/>
  <c r="J36" i="40"/>
  <c r="J34" i="40"/>
  <c r="J33" i="40"/>
  <c r="J31" i="40"/>
  <c r="J29" i="40"/>
  <c r="J27" i="40"/>
  <c r="J25" i="40"/>
  <c r="J24" i="40"/>
  <c r="J22" i="40"/>
  <c r="J20" i="40"/>
  <c r="J18" i="40"/>
  <c r="J16" i="40"/>
  <c r="J21" i="40"/>
  <c r="X13" i="40"/>
  <c r="Z15" i="40"/>
  <c r="X21" i="40"/>
  <c r="F20" i="41"/>
  <c r="F18" i="41"/>
  <c r="F16" i="41"/>
  <c r="D18" i="41"/>
  <c r="F15" i="41"/>
  <c r="L12" i="41"/>
  <c r="F36" i="41"/>
  <c r="F34" i="41"/>
  <c r="F33" i="41"/>
  <c r="F31" i="41"/>
  <c r="F29" i="41"/>
  <c r="F27" i="41"/>
  <c r="F25" i="41"/>
  <c r="F21" i="41"/>
  <c r="F24" i="41"/>
  <c r="F22" i="41"/>
  <c r="X16" i="41"/>
  <c r="X20" i="41"/>
  <c r="L34" i="43"/>
  <c r="Z16" i="46"/>
  <c r="Z13" i="40"/>
  <c r="Z16" i="40"/>
  <c r="Z20" i="40"/>
  <c r="X22" i="40"/>
  <c r="X24" i="40"/>
  <c r="N12" i="41"/>
  <c r="J36" i="41"/>
  <c r="J34" i="41"/>
  <c r="J33" i="41"/>
  <c r="J31" i="41"/>
  <c r="J29" i="41"/>
  <c r="J27" i="41"/>
  <c r="J25" i="41"/>
  <c r="J24" i="41"/>
  <c r="J22" i="41"/>
  <c r="J21" i="41"/>
  <c r="H18" i="41"/>
  <c r="J15" i="41"/>
  <c r="J20" i="41"/>
  <c r="J18" i="41"/>
  <c r="J16" i="41"/>
  <c r="X13" i="41"/>
  <c r="Z15" i="41"/>
  <c r="X21" i="41"/>
  <c r="L13" i="43"/>
  <c r="J24" i="47"/>
  <c r="J22" i="47"/>
  <c r="J21" i="47"/>
  <c r="J20" i="47"/>
  <c r="J18" i="47"/>
  <c r="J16" i="47"/>
  <c r="H18" i="47"/>
  <c r="J15" i="47"/>
  <c r="N12" i="47"/>
  <c r="J36" i="47"/>
  <c r="J34" i="47"/>
  <c r="J33" i="47"/>
  <c r="J31" i="47"/>
  <c r="J29" i="47"/>
  <c r="J27" i="47"/>
  <c r="J25" i="47"/>
  <c r="Z21" i="40"/>
  <c r="X25" i="40"/>
  <c r="X29" i="40"/>
  <c r="X33" i="40"/>
  <c r="X34" i="40"/>
  <c r="Z13" i="41"/>
  <c r="Z16" i="41"/>
  <c r="Z20" i="41"/>
  <c r="X22" i="41"/>
  <c r="X24" i="41"/>
  <c r="L25" i="43"/>
  <c r="N20" i="44"/>
  <c r="Z20" i="46"/>
  <c r="X13" i="47"/>
  <c r="Z33" i="50"/>
  <c r="R36" i="40"/>
  <c r="R34" i="40"/>
  <c r="R33" i="40"/>
  <c r="R31" i="40"/>
  <c r="R29" i="40"/>
  <c r="R27" i="40"/>
  <c r="R25" i="40"/>
  <c r="R24" i="40"/>
  <c r="R22" i="40"/>
  <c r="R21" i="40"/>
  <c r="R20" i="40"/>
  <c r="R18" i="40"/>
  <c r="R16" i="40"/>
  <c r="P18" i="40"/>
  <c r="R15" i="40"/>
  <c r="X12" i="40"/>
  <c r="Z22" i="40"/>
  <c r="Z24" i="40"/>
  <c r="Z21" i="41"/>
  <c r="X25" i="41"/>
  <c r="X29" i="41"/>
  <c r="X33" i="41"/>
  <c r="X34" i="41"/>
  <c r="X13" i="43"/>
  <c r="X20" i="44"/>
  <c r="Z15" i="47"/>
  <c r="Z34" i="49"/>
  <c r="X34" i="38"/>
  <c r="Z12" i="40"/>
  <c r="V24" i="40"/>
  <c r="V22" i="40"/>
  <c r="V21" i="40"/>
  <c r="V20" i="40"/>
  <c r="V18" i="40"/>
  <c r="V16" i="40"/>
  <c r="T18" i="40"/>
  <c r="V15" i="40"/>
  <c r="V27" i="40"/>
  <c r="V36" i="40"/>
  <c r="V25" i="40"/>
  <c r="V34" i="40"/>
  <c r="V33" i="40"/>
  <c r="V31" i="40"/>
  <c r="V29" i="40"/>
  <c r="L15" i="40"/>
  <c r="Z25" i="40"/>
  <c r="Z29" i="40"/>
  <c r="Z33" i="40"/>
  <c r="Z34" i="40"/>
  <c r="X12" i="41"/>
  <c r="R36" i="41"/>
  <c r="R34" i="41"/>
  <c r="R33" i="41"/>
  <c r="R31" i="41"/>
  <c r="R29" i="41"/>
  <c r="R27" i="41"/>
  <c r="R25" i="41"/>
  <c r="R24" i="41"/>
  <c r="R22" i="41"/>
  <c r="R21" i="41"/>
  <c r="R20" i="41"/>
  <c r="R18" i="41"/>
  <c r="R16" i="41"/>
  <c r="P18" i="41"/>
  <c r="R15" i="41"/>
  <c r="Z22" i="41"/>
  <c r="Z24" i="41"/>
  <c r="X22" i="46"/>
  <c r="F36" i="44"/>
  <c r="F34" i="44"/>
  <c r="F33" i="44"/>
  <c r="F31" i="44"/>
  <c r="F29" i="44"/>
  <c r="F27" i="44"/>
  <c r="F25" i="44"/>
  <c r="F24" i="44"/>
  <c r="F22" i="44"/>
  <c r="F20" i="44"/>
  <c r="F18" i="44"/>
  <c r="F16" i="44"/>
  <c r="D18" i="44"/>
  <c r="F15" i="44"/>
  <c r="L12" i="44"/>
  <c r="F21" i="44"/>
  <c r="X24" i="46"/>
  <c r="N15" i="40"/>
  <c r="L21" i="40"/>
  <c r="L16" i="41"/>
  <c r="L20" i="41"/>
  <c r="X20" i="43"/>
  <c r="L29" i="43"/>
  <c r="L22" i="44"/>
  <c r="N15" i="50"/>
  <c r="N16" i="40"/>
  <c r="N20" i="40"/>
  <c r="L22" i="40"/>
  <c r="L24" i="40"/>
  <c r="N15" i="41"/>
  <c r="L21" i="41"/>
  <c r="Z15" i="43"/>
  <c r="X21" i="47"/>
  <c r="X15" i="44"/>
  <c r="N25" i="44"/>
  <c r="N29" i="44"/>
  <c r="N33" i="44"/>
  <c r="N34" i="44"/>
  <c r="J36" i="46"/>
  <c r="J34" i="46"/>
  <c r="J33" i="46"/>
  <c r="J31" i="46"/>
  <c r="J29" i="46"/>
  <c r="J27" i="46"/>
  <c r="J25" i="46"/>
  <c r="J24" i="46"/>
  <c r="J22" i="46"/>
  <c r="J21" i="46"/>
  <c r="J20" i="46"/>
  <c r="J18" i="46"/>
  <c r="J16" i="46"/>
  <c r="H18" i="46"/>
  <c r="J15" i="46"/>
  <c r="N12" i="46"/>
  <c r="X13" i="46"/>
  <c r="Z15" i="46"/>
  <c r="X21" i="46"/>
  <c r="F36" i="47"/>
  <c r="F34" i="47"/>
  <c r="F33" i="47"/>
  <c r="F31" i="47"/>
  <c r="F29" i="47"/>
  <c r="F27" i="47"/>
  <c r="F25" i="47"/>
  <c r="F24" i="47"/>
  <c r="F22" i="47"/>
  <c r="F21" i="47"/>
  <c r="F20" i="47"/>
  <c r="F18" i="47"/>
  <c r="F16" i="47"/>
  <c r="D18" i="47"/>
  <c r="F15" i="47"/>
  <c r="L12" i="47"/>
  <c r="X16" i="47"/>
  <c r="X20" i="47"/>
  <c r="J31" i="49"/>
  <c r="J33" i="49"/>
  <c r="J34" i="49"/>
  <c r="J36" i="49"/>
  <c r="J16" i="49"/>
  <c r="J15" i="49"/>
  <c r="J18" i="49"/>
  <c r="J22" i="49"/>
  <c r="J21" i="49"/>
  <c r="J20" i="49"/>
  <c r="H18" i="49"/>
  <c r="J25" i="49"/>
  <c r="J24" i="49"/>
  <c r="J29" i="49"/>
  <c r="N12" i="49"/>
  <c r="J27" i="49"/>
  <c r="L20" i="49"/>
  <c r="L21" i="49"/>
  <c r="L22" i="49"/>
  <c r="X33" i="49"/>
  <c r="V21" i="50"/>
  <c r="V25" i="50"/>
  <c r="V34" i="50"/>
  <c r="V31" i="50"/>
  <c r="V15" i="50"/>
  <c r="V27" i="50"/>
  <c r="V22" i="50"/>
  <c r="V16" i="50"/>
  <c r="V36" i="50"/>
  <c r="V18" i="50"/>
  <c r="V33" i="50"/>
  <c r="T18" i="50"/>
  <c r="Z12" i="50"/>
  <c r="V29" i="50"/>
  <c r="V20" i="50"/>
  <c r="V24" i="50"/>
  <c r="N16" i="50"/>
  <c r="L22" i="50"/>
  <c r="X24" i="50"/>
  <c r="Z13" i="43"/>
  <c r="Z16" i="43"/>
  <c r="Z20" i="43"/>
  <c r="X22" i="43"/>
  <c r="X24" i="43"/>
  <c r="J21" i="44"/>
  <c r="J20" i="44"/>
  <c r="J18" i="44"/>
  <c r="J16" i="44"/>
  <c r="N12" i="44"/>
  <c r="J24" i="44"/>
  <c r="J22" i="44"/>
  <c r="J33" i="44"/>
  <c r="J31" i="44"/>
  <c r="J29" i="44"/>
  <c r="J27" i="44"/>
  <c r="H18" i="44"/>
  <c r="J36" i="44"/>
  <c r="J25" i="44"/>
  <c r="J15" i="44"/>
  <c r="J34" i="44"/>
  <c r="X13" i="44"/>
  <c r="Z15" i="44"/>
  <c r="X21" i="44"/>
  <c r="Z21" i="46"/>
  <c r="X25" i="46"/>
  <c r="X29" i="46"/>
  <c r="X33" i="46"/>
  <c r="X34" i="46"/>
  <c r="Z13" i="47"/>
  <c r="Z16" i="47"/>
  <c r="Z20" i="47"/>
  <c r="X22" i="47"/>
  <c r="X24" i="47"/>
  <c r="R21" i="49"/>
  <c r="R36" i="49"/>
  <c r="R16" i="49"/>
  <c r="R15" i="49"/>
  <c r="R18" i="49"/>
  <c r="R20" i="49"/>
  <c r="P18" i="49"/>
  <c r="R22" i="49"/>
  <c r="R25" i="49"/>
  <c r="R24" i="49"/>
  <c r="R27" i="49"/>
  <c r="X12" i="49"/>
  <c r="R29" i="49"/>
  <c r="R31" i="49"/>
  <c r="R34" i="49"/>
  <c r="R33" i="49"/>
  <c r="L15" i="49"/>
  <c r="L16" i="49"/>
  <c r="N20" i="49"/>
  <c r="N21" i="49"/>
  <c r="N22" i="49"/>
  <c r="X29" i="49"/>
  <c r="Z33" i="49"/>
  <c r="N22" i="50"/>
  <c r="Z21" i="43"/>
  <c r="X25" i="43"/>
  <c r="X29" i="43"/>
  <c r="X33" i="43"/>
  <c r="X34" i="43"/>
  <c r="Z13" i="44"/>
  <c r="Z16" i="44"/>
  <c r="Z20" i="44"/>
  <c r="X22" i="44"/>
  <c r="X24" i="44"/>
  <c r="P18" i="46"/>
  <c r="R15" i="46"/>
  <c r="X12" i="46"/>
  <c r="R36" i="46"/>
  <c r="R34" i="46"/>
  <c r="R33" i="46"/>
  <c r="R31" i="46"/>
  <c r="R29" i="46"/>
  <c r="R27" i="46"/>
  <c r="R25" i="46"/>
  <c r="R24" i="46"/>
  <c r="R22" i="46"/>
  <c r="R20" i="46"/>
  <c r="R18" i="46"/>
  <c r="R16" i="46"/>
  <c r="R21" i="46"/>
  <c r="Z22" i="46"/>
  <c r="Z24" i="46"/>
  <c r="Z21" i="47"/>
  <c r="X25" i="47"/>
  <c r="X29" i="47"/>
  <c r="X33" i="47"/>
  <c r="X34" i="47"/>
  <c r="T18" i="49"/>
  <c r="V15" i="49"/>
  <c r="V16" i="49"/>
  <c r="V18" i="49"/>
  <c r="V22" i="49"/>
  <c r="V21" i="49"/>
  <c r="V20" i="49"/>
  <c r="V25" i="49"/>
  <c r="V24" i="49"/>
  <c r="V27" i="49"/>
  <c r="V29" i="49"/>
  <c r="Z12" i="49"/>
  <c r="V31" i="49"/>
  <c r="V33" i="49"/>
  <c r="V34" i="49"/>
  <c r="V36" i="49"/>
  <c r="X16" i="50"/>
  <c r="L21" i="50"/>
  <c r="X12" i="43"/>
  <c r="R36" i="43"/>
  <c r="R34" i="43"/>
  <c r="R33" i="43"/>
  <c r="R31" i="43"/>
  <c r="R29" i="43"/>
  <c r="R27" i="43"/>
  <c r="R25" i="43"/>
  <c r="R24" i="43"/>
  <c r="R22" i="43"/>
  <c r="R21" i="43"/>
  <c r="R20" i="43"/>
  <c r="R15" i="43"/>
  <c r="R18" i="43"/>
  <c r="P18" i="43"/>
  <c r="R16" i="43"/>
  <c r="Z22" i="43"/>
  <c r="Z24" i="43"/>
  <c r="Z21" i="44"/>
  <c r="X25" i="44"/>
  <c r="X29" i="44"/>
  <c r="X33" i="44"/>
  <c r="X34" i="44"/>
  <c r="Z12" i="46"/>
  <c r="V36" i="46"/>
  <c r="V34" i="46"/>
  <c r="V33" i="46"/>
  <c r="V31" i="46"/>
  <c r="V29" i="46"/>
  <c r="V27" i="46"/>
  <c r="V25" i="46"/>
  <c r="V24" i="46"/>
  <c r="V22" i="46"/>
  <c r="V21" i="46"/>
  <c r="V20" i="46"/>
  <c r="V18" i="46"/>
  <c r="V16" i="46"/>
  <c r="T18" i="46"/>
  <c r="V15" i="46"/>
  <c r="L15" i="46"/>
  <c r="Z25" i="46"/>
  <c r="Z29" i="46"/>
  <c r="Z33" i="46"/>
  <c r="Z34" i="46"/>
  <c r="X12" i="47"/>
  <c r="R36" i="47"/>
  <c r="R34" i="47"/>
  <c r="R33" i="47"/>
  <c r="R31" i="47"/>
  <c r="R29" i="47"/>
  <c r="R27" i="47"/>
  <c r="R25" i="47"/>
  <c r="R24" i="47"/>
  <c r="R22" i="47"/>
  <c r="R21" i="47"/>
  <c r="P18" i="47"/>
  <c r="R15" i="47"/>
  <c r="R20" i="47"/>
  <c r="R18" i="47"/>
  <c r="R16" i="47"/>
  <c r="Z22" i="47"/>
  <c r="Z24" i="47"/>
  <c r="N15" i="49"/>
  <c r="N16" i="49"/>
  <c r="X25" i="49"/>
  <c r="Z29" i="49"/>
  <c r="L13" i="50"/>
  <c r="Z16" i="50"/>
  <c r="X22" i="50"/>
  <c r="L34" i="50"/>
  <c r="Z12" i="43"/>
  <c r="V36" i="43"/>
  <c r="V34" i="43"/>
  <c r="V33" i="43"/>
  <c r="V31" i="43"/>
  <c r="V29" i="43"/>
  <c r="V27" i="43"/>
  <c r="V25" i="43"/>
  <c r="V24" i="43"/>
  <c r="V22" i="43"/>
  <c r="V21" i="43"/>
  <c r="V20" i="43"/>
  <c r="T18" i="43"/>
  <c r="V15" i="43"/>
  <c r="V18" i="43"/>
  <c r="V16" i="43"/>
  <c r="L15" i="43"/>
  <c r="Z25" i="43"/>
  <c r="Z29" i="43"/>
  <c r="Z33" i="43"/>
  <c r="Z34" i="43"/>
  <c r="X12" i="44"/>
  <c r="R36" i="44"/>
  <c r="R34" i="44"/>
  <c r="R33" i="44"/>
  <c r="R31" i="44"/>
  <c r="R29" i="44"/>
  <c r="R27" i="44"/>
  <c r="R25" i="44"/>
  <c r="R24" i="44"/>
  <c r="R22" i="44"/>
  <c r="R21" i="44"/>
  <c r="R20" i="44"/>
  <c r="R18" i="44"/>
  <c r="R16" i="44"/>
  <c r="P18" i="44"/>
  <c r="R15" i="44"/>
  <c r="Z22" i="44"/>
  <c r="Z24" i="44"/>
  <c r="L16" i="46"/>
  <c r="L20" i="46"/>
  <c r="Z12" i="47"/>
  <c r="V36" i="47"/>
  <c r="V34" i="47"/>
  <c r="V33" i="47"/>
  <c r="V31" i="47"/>
  <c r="V29" i="47"/>
  <c r="V27" i="47"/>
  <c r="V25" i="47"/>
  <c r="V24" i="47"/>
  <c r="V22" i="47"/>
  <c r="V21" i="47"/>
  <c r="V20" i="47"/>
  <c r="V18" i="47"/>
  <c r="V16" i="47"/>
  <c r="T18" i="47"/>
  <c r="V15" i="47"/>
  <c r="L15" i="47"/>
  <c r="Z25" i="47"/>
  <c r="Z29" i="47"/>
  <c r="Z33" i="47"/>
  <c r="Z34" i="47"/>
  <c r="N13" i="50"/>
  <c r="L20" i="50"/>
  <c r="N21" i="50"/>
  <c r="L25" i="50"/>
  <c r="L16" i="43"/>
  <c r="L20" i="43"/>
  <c r="Z12" i="44"/>
  <c r="V36" i="44"/>
  <c r="V34" i="44"/>
  <c r="V33" i="44"/>
  <c r="V31" i="44"/>
  <c r="V29" i="44"/>
  <c r="V27" i="44"/>
  <c r="V25" i="44"/>
  <c r="V24" i="44"/>
  <c r="V22" i="44"/>
  <c r="V21" i="44"/>
  <c r="V20" i="44"/>
  <c r="V18" i="44"/>
  <c r="V16" i="44"/>
  <c r="T18" i="44"/>
  <c r="V15" i="44"/>
  <c r="L15" i="44"/>
  <c r="Z25" i="44"/>
  <c r="Z29" i="44"/>
  <c r="Z33" i="44"/>
  <c r="Z34" i="44"/>
  <c r="N15" i="46"/>
  <c r="L21" i="46"/>
  <c r="L16" i="47"/>
  <c r="L20" i="47"/>
  <c r="X20" i="49"/>
  <c r="X21" i="49"/>
  <c r="Z24" i="49"/>
  <c r="Z25" i="49"/>
  <c r="L34" i="49"/>
  <c r="N15" i="43"/>
  <c r="L21" i="43"/>
  <c r="L16" i="44"/>
  <c r="L20" i="44"/>
  <c r="N16" i="46"/>
  <c r="N20" i="46"/>
  <c r="L22" i="46"/>
  <c r="L24" i="46"/>
  <c r="N15" i="47"/>
  <c r="L21" i="47"/>
  <c r="L13" i="49"/>
  <c r="Z21" i="49"/>
  <c r="Z22" i="49"/>
  <c r="L33" i="49"/>
  <c r="N20" i="50"/>
  <c r="L29" i="50"/>
  <c r="N16" i="43"/>
  <c r="N20" i="43"/>
  <c r="L22" i="43"/>
  <c r="L24" i="43"/>
  <c r="N15" i="44"/>
  <c r="L21" i="44"/>
  <c r="L13" i="46"/>
  <c r="N21" i="46"/>
  <c r="L25" i="46"/>
  <c r="L29" i="46"/>
  <c r="L33" i="46"/>
  <c r="L34" i="46"/>
  <c r="N16" i="47"/>
  <c r="N20" i="47"/>
  <c r="L22" i="47"/>
  <c r="L24" i="47"/>
  <c r="N13" i="49"/>
  <c r="X15" i="49"/>
  <c r="X16" i="49"/>
  <c r="N34" i="49"/>
  <c r="F16" i="50"/>
  <c r="F33" i="50"/>
  <c r="F24" i="50"/>
  <c r="F18" i="50"/>
  <c r="L12" i="50"/>
  <c r="F29" i="50"/>
  <c r="D18" i="50"/>
  <c r="F25" i="50"/>
  <c r="F20" i="50"/>
  <c r="F34" i="50"/>
  <c r="F21" i="50"/>
  <c r="F31" i="50"/>
  <c r="F36" i="50"/>
  <c r="F15" i="50"/>
  <c r="F27" i="50"/>
  <c r="F22" i="50"/>
  <c r="Z13" i="50"/>
  <c r="L24" i="50"/>
  <c r="Z34" i="50"/>
  <c r="N13" i="46"/>
  <c r="N22" i="46"/>
  <c r="N24" i="46"/>
  <c r="L13" i="47"/>
  <c r="N21" i="47"/>
  <c r="L25" i="47"/>
  <c r="L29" i="47"/>
  <c r="L33" i="47"/>
  <c r="L34" i="47"/>
  <c r="L29" i="49"/>
  <c r="N33" i="49"/>
  <c r="Z25" i="50"/>
  <c r="L33" i="50"/>
  <c r="N13" i="43"/>
  <c r="N22" i="43"/>
  <c r="N24" i="43"/>
  <c r="L13" i="44"/>
  <c r="N21" i="44"/>
  <c r="L25" i="44"/>
  <c r="L29" i="44"/>
  <c r="L33" i="44"/>
  <c r="L34" i="44"/>
  <c r="X15" i="46"/>
  <c r="N25" i="46"/>
  <c r="N29" i="46"/>
  <c r="N33" i="46"/>
  <c r="N34" i="46"/>
  <c r="N13" i="47"/>
  <c r="N22" i="47"/>
  <c r="N24" i="47"/>
  <c r="Z15" i="49"/>
  <c r="L16" i="50"/>
  <c r="X20" i="50"/>
  <c r="N24" i="50"/>
  <c r="X15" i="43"/>
  <c r="N25" i="43"/>
  <c r="N29" i="43"/>
  <c r="N33" i="43"/>
  <c r="N34" i="43"/>
  <c r="N13" i="44"/>
  <c r="N22" i="44"/>
  <c r="N24" i="44"/>
  <c r="F36" i="46"/>
  <c r="F34" i="46"/>
  <c r="F33" i="46"/>
  <c r="F31" i="46"/>
  <c r="F29" i="46"/>
  <c r="F27" i="46"/>
  <c r="F25" i="46"/>
  <c r="F24" i="46"/>
  <c r="F22" i="46"/>
  <c r="F21" i="46"/>
  <c r="F20" i="46"/>
  <c r="F18" i="46"/>
  <c r="F16" i="46"/>
  <c r="D18" i="46"/>
  <c r="F15" i="46"/>
  <c r="L12" i="46"/>
  <c r="X16" i="46"/>
  <c r="X20" i="46"/>
  <c r="X15" i="47"/>
  <c r="N25" i="47"/>
  <c r="N29" i="47"/>
  <c r="N33" i="47"/>
  <c r="N34" i="47"/>
  <c r="L12" i="49"/>
  <c r="F27" i="49"/>
  <c r="F29" i="49"/>
  <c r="F31" i="49"/>
  <c r="F33" i="49"/>
  <c r="F34" i="49"/>
  <c r="F36" i="49"/>
  <c r="F16" i="49"/>
  <c r="F15" i="49"/>
  <c r="F18" i="49"/>
  <c r="F25" i="49"/>
  <c r="F24" i="49"/>
  <c r="F21" i="49"/>
  <c r="F20" i="49"/>
  <c r="D18" i="49"/>
  <c r="F22" i="49"/>
  <c r="X13" i="49"/>
  <c r="L24" i="49"/>
  <c r="L25" i="49"/>
  <c r="N29" i="49"/>
  <c r="X34" i="49"/>
  <c r="R36" i="50"/>
  <c r="R34" i="50"/>
  <c r="R33" i="50"/>
  <c r="R31" i="50"/>
  <c r="R29" i="50"/>
  <c r="R27" i="50"/>
  <c r="R25" i="50"/>
  <c r="R24" i="50"/>
  <c r="R22" i="50"/>
  <c r="R20" i="50"/>
  <c r="R18" i="50"/>
  <c r="R16" i="50"/>
  <c r="R21" i="50"/>
  <c r="R15" i="50"/>
  <c r="X12" i="50"/>
  <c r="P18" i="50"/>
  <c r="L15" i="50"/>
  <c r="Z20" i="50"/>
  <c r="Z29" i="50"/>
  <c r="Z21" i="52"/>
  <c r="X25" i="52"/>
  <c r="X29" i="52"/>
  <c r="X33" i="52"/>
  <c r="X34" i="52"/>
  <c r="Z13" i="53"/>
  <c r="Z16" i="53"/>
  <c r="Z20" i="53"/>
  <c r="X22" i="53"/>
  <c r="X24" i="53"/>
  <c r="R21" i="52"/>
  <c r="R20" i="52"/>
  <c r="R18" i="52"/>
  <c r="R16" i="52"/>
  <c r="P18" i="52"/>
  <c r="R15" i="52"/>
  <c r="X12" i="52"/>
  <c r="R36" i="52"/>
  <c r="R34" i="52"/>
  <c r="R33" i="52"/>
  <c r="R31" i="52"/>
  <c r="R29" i="52"/>
  <c r="R27" i="52"/>
  <c r="R25" i="52"/>
  <c r="R24" i="52"/>
  <c r="R22" i="52"/>
  <c r="Z22" i="52"/>
  <c r="Z24" i="52"/>
  <c r="Z21" i="53"/>
  <c r="X25" i="53"/>
  <c r="X29" i="53"/>
  <c r="X33" i="53"/>
  <c r="X34" i="53"/>
  <c r="T18" i="52"/>
  <c r="V15" i="52"/>
  <c r="Z12" i="52"/>
  <c r="V36" i="52"/>
  <c r="V34" i="52"/>
  <c r="V33" i="52"/>
  <c r="V31" i="52"/>
  <c r="V29" i="52"/>
  <c r="V27" i="52"/>
  <c r="V25" i="52"/>
  <c r="V24" i="52"/>
  <c r="V22" i="52"/>
  <c r="V21" i="52"/>
  <c r="V20" i="52"/>
  <c r="V18" i="52"/>
  <c r="V16" i="52"/>
  <c r="L15" i="52"/>
  <c r="Z25" i="52"/>
  <c r="Z29" i="52"/>
  <c r="Z33" i="52"/>
  <c r="Z34" i="52"/>
  <c r="R20" i="53"/>
  <c r="R18" i="53"/>
  <c r="R16" i="53"/>
  <c r="P18" i="53"/>
  <c r="R15" i="53"/>
  <c r="X12" i="53"/>
  <c r="R36" i="53"/>
  <c r="R34" i="53"/>
  <c r="R33" i="53"/>
  <c r="R31" i="53"/>
  <c r="R29" i="53"/>
  <c r="R27" i="53"/>
  <c r="R25" i="53"/>
  <c r="R24" i="53"/>
  <c r="R22" i="53"/>
  <c r="R21" i="53"/>
  <c r="Z22" i="53"/>
  <c r="Z24" i="53"/>
  <c r="L16" i="52"/>
  <c r="L20" i="52"/>
  <c r="Z12" i="53"/>
  <c r="V36" i="53"/>
  <c r="V34" i="53"/>
  <c r="V33" i="53"/>
  <c r="V31" i="53"/>
  <c r="V29" i="53"/>
  <c r="V27" i="53"/>
  <c r="V25" i="53"/>
  <c r="V24" i="53"/>
  <c r="V22" i="53"/>
  <c r="V21" i="53"/>
  <c r="V20" i="53"/>
  <c r="V18" i="53"/>
  <c r="V16" i="53"/>
  <c r="T18" i="53"/>
  <c r="V15" i="53"/>
  <c r="L15" i="53"/>
  <c r="Z25" i="53"/>
  <c r="Z29" i="53"/>
  <c r="Z33" i="53"/>
  <c r="Z34" i="53"/>
  <c r="N15" i="52"/>
  <c r="L21" i="52"/>
  <c r="L16" i="53"/>
  <c r="L20" i="53"/>
  <c r="X15" i="50"/>
  <c r="N25" i="50"/>
  <c r="N29" i="50"/>
  <c r="N33" i="50"/>
  <c r="N34" i="50"/>
  <c r="N16" i="52"/>
  <c r="N20" i="52"/>
  <c r="L22" i="52"/>
  <c r="L24" i="52"/>
  <c r="N15" i="53"/>
  <c r="L21" i="53"/>
  <c r="L13" i="52"/>
  <c r="N21" i="52"/>
  <c r="L25" i="52"/>
  <c r="L29" i="52"/>
  <c r="L33" i="52"/>
  <c r="L34" i="52"/>
  <c r="N16" i="53"/>
  <c r="N20" i="53"/>
  <c r="L22" i="53"/>
  <c r="L24" i="53"/>
  <c r="Z13" i="49"/>
  <c r="Z16" i="49"/>
  <c r="Z20" i="49"/>
  <c r="X22" i="49"/>
  <c r="X24" i="49"/>
  <c r="J24" i="50"/>
  <c r="J22" i="50"/>
  <c r="J33" i="50"/>
  <c r="J18" i="50"/>
  <c r="H18" i="50"/>
  <c r="N12" i="50"/>
  <c r="J29" i="50"/>
  <c r="J20" i="50"/>
  <c r="J25" i="50"/>
  <c r="J34" i="50"/>
  <c r="J21" i="50"/>
  <c r="J31" i="50"/>
  <c r="J27" i="50"/>
  <c r="J15" i="50"/>
  <c r="J16" i="50"/>
  <c r="J36" i="50"/>
  <c r="X13" i="50"/>
  <c r="Z15" i="50"/>
  <c r="X21" i="50"/>
  <c r="N13" i="52"/>
  <c r="N22" i="52"/>
  <c r="N24" i="52"/>
  <c r="L13" i="53"/>
  <c r="N21" i="53"/>
  <c r="L25" i="53"/>
  <c r="L29" i="53"/>
  <c r="L33" i="53"/>
  <c r="L34" i="53"/>
  <c r="X15" i="52"/>
  <c r="N25" i="52"/>
  <c r="N29" i="52"/>
  <c r="N33" i="52"/>
  <c r="N34" i="52"/>
  <c r="N13" i="53"/>
  <c r="N22" i="53"/>
  <c r="N24" i="53"/>
  <c r="Z21" i="50"/>
  <c r="X25" i="50"/>
  <c r="X29" i="50"/>
  <c r="X33" i="50"/>
  <c r="X34" i="50"/>
  <c r="L12" i="52"/>
  <c r="F36" i="52"/>
  <c r="F34" i="52"/>
  <c r="F33" i="52"/>
  <c r="F31" i="52"/>
  <c r="F29" i="52"/>
  <c r="F27" i="52"/>
  <c r="F25" i="52"/>
  <c r="F24" i="52"/>
  <c r="F22" i="52"/>
  <c r="F21" i="52"/>
  <c r="F20" i="52"/>
  <c r="F18" i="52"/>
  <c r="F16" i="52"/>
  <c r="D18" i="52"/>
  <c r="F15" i="52"/>
  <c r="X16" i="52"/>
  <c r="X20" i="52"/>
  <c r="X15" i="53"/>
  <c r="N25" i="53"/>
  <c r="N29" i="53"/>
  <c r="N33" i="53"/>
  <c r="N34" i="53"/>
  <c r="Z22" i="50"/>
  <c r="Z24" i="50"/>
  <c r="J36" i="52"/>
  <c r="J34" i="52"/>
  <c r="J33" i="52"/>
  <c r="J31" i="52"/>
  <c r="J29" i="52"/>
  <c r="J27" i="52"/>
  <c r="J25" i="52"/>
  <c r="J24" i="52"/>
  <c r="J22" i="52"/>
  <c r="J21" i="52"/>
  <c r="J20" i="52"/>
  <c r="J18" i="52"/>
  <c r="J16" i="52"/>
  <c r="H18" i="52"/>
  <c r="J15" i="52"/>
  <c r="N12" i="52"/>
  <c r="X13" i="52"/>
  <c r="Z15" i="52"/>
  <c r="X21" i="52"/>
  <c r="F36" i="53"/>
  <c r="F34" i="53"/>
  <c r="F33" i="53"/>
  <c r="F31" i="53"/>
  <c r="F29" i="53"/>
  <c r="F27" i="53"/>
  <c r="F25" i="53"/>
  <c r="F24" i="53"/>
  <c r="F22" i="53"/>
  <c r="F21" i="53"/>
  <c r="F20" i="53"/>
  <c r="F18" i="53"/>
  <c r="F16" i="53"/>
  <c r="D18" i="53"/>
  <c r="F15" i="53"/>
  <c r="L12" i="53"/>
  <c r="X16" i="53"/>
  <c r="X20" i="53"/>
  <c r="Z13" i="52"/>
  <c r="Z16" i="52"/>
  <c r="Z20" i="52"/>
  <c r="X22" i="52"/>
  <c r="X24" i="52"/>
  <c r="J36" i="53"/>
  <c r="J34" i="53"/>
  <c r="J33" i="53"/>
  <c r="J31" i="53"/>
  <c r="J29" i="53"/>
  <c r="J27" i="53"/>
  <c r="J25" i="53"/>
  <c r="J24" i="53"/>
  <c r="J22" i="53"/>
  <c r="J21" i="53"/>
  <c r="J20" i="53"/>
  <c r="J18" i="53"/>
  <c r="J16" i="53"/>
  <c r="H18" i="53"/>
  <c r="J15" i="53"/>
  <c r="N12" i="53"/>
  <c r="X13" i="53"/>
  <c r="Z15" i="53"/>
  <c r="X21" i="53"/>
  <c r="P18" i="111"/>
  <c r="R15" i="111"/>
  <c r="R21" i="111"/>
  <c r="R20" i="111"/>
  <c r="R18" i="111"/>
  <c r="R16" i="111"/>
  <c r="R29" i="111"/>
  <c r="R25" i="111"/>
  <c r="R34" i="111"/>
  <c r="X12" i="111"/>
  <c r="R27" i="111"/>
  <c r="R36" i="111"/>
  <c r="R33" i="111"/>
  <c r="R24" i="111"/>
  <c r="R22" i="111"/>
  <c r="R31" i="111"/>
  <c r="L20" i="112"/>
  <c r="L15" i="111"/>
  <c r="L21" i="112"/>
  <c r="Z33" i="111"/>
  <c r="L34" i="111"/>
  <c r="X24" i="112"/>
  <c r="N20" i="111"/>
  <c r="X25" i="112"/>
  <c r="N13" i="110"/>
  <c r="Z29" i="110"/>
  <c r="X15" i="110"/>
  <c r="N16" i="110"/>
  <c r="Z29" i="112"/>
  <c r="N34" i="110"/>
  <c r="Z24" i="111"/>
  <c r="L20" i="110"/>
  <c r="X33" i="112"/>
  <c r="L21" i="110"/>
  <c r="T18" i="110"/>
  <c r="V15" i="110"/>
  <c r="V21" i="110"/>
  <c r="V20" i="110"/>
  <c r="V18" i="110"/>
  <c r="V16" i="110"/>
  <c r="V27" i="110"/>
  <c r="V36" i="110"/>
  <c r="V33" i="110"/>
  <c r="V24" i="110"/>
  <c r="V29" i="110"/>
  <c r="V25" i="110"/>
  <c r="V34" i="110"/>
  <c r="Z12" i="110"/>
  <c r="V31" i="110"/>
  <c r="V22" i="110"/>
  <c r="L25" i="110"/>
  <c r="V27" i="112"/>
  <c r="V15" i="112"/>
  <c r="V36" i="112"/>
  <c r="V20" i="112"/>
  <c r="V33" i="112"/>
  <c r="V24" i="112"/>
  <c r="V16" i="112"/>
  <c r="V29" i="112"/>
  <c r="V25" i="112"/>
  <c r="V34" i="112"/>
  <c r="V18" i="112"/>
  <c r="Z12" i="112"/>
  <c r="T18" i="112"/>
  <c r="V31" i="112"/>
  <c r="V22" i="112"/>
  <c r="V21" i="112"/>
  <c r="Z22" i="112"/>
  <c r="X34" i="112"/>
  <c r="N25" i="110"/>
  <c r="L29" i="110"/>
  <c r="Z34" i="110"/>
  <c r="X21" i="112"/>
  <c r="Z34" i="112"/>
  <c r="L16" i="110"/>
  <c r="N21" i="110"/>
  <c r="Z25" i="110"/>
  <c r="N15" i="111"/>
  <c r="L22" i="111"/>
  <c r="X13" i="112"/>
  <c r="L16" i="112"/>
  <c r="Z25" i="112"/>
  <c r="X29" i="112"/>
  <c r="L13" i="110"/>
  <c r="L24" i="110"/>
  <c r="N29" i="110"/>
  <c r="L33" i="110"/>
  <c r="Z13" i="112"/>
  <c r="Z21" i="112"/>
  <c r="N24" i="110"/>
  <c r="N33" i="110"/>
  <c r="T18" i="111"/>
  <c r="V15" i="111"/>
  <c r="V21" i="111"/>
  <c r="V25" i="111"/>
  <c r="V34" i="111"/>
  <c r="V18" i="111"/>
  <c r="Z12" i="111"/>
  <c r="V31" i="111"/>
  <c r="V22" i="111"/>
  <c r="V36" i="111"/>
  <c r="V20" i="111"/>
  <c r="V33" i="111"/>
  <c r="V24" i="111"/>
  <c r="V29" i="111"/>
  <c r="V16" i="111"/>
  <c r="V27" i="111"/>
  <c r="Z22" i="111"/>
  <c r="L25" i="111"/>
  <c r="X34" i="111"/>
  <c r="Z16" i="112"/>
  <c r="L15" i="110"/>
  <c r="N20" i="110"/>
  <c r="Z33" i="110"/>
  <c r="L21" i="111"/>
  <c r="X25" i="111"/>
  <c r="L15" i="112"/>
  <c r="Z24" i="112"/>
  <c r="Z33" i="112"/>
  <c r="L29" i="111"/>
  <c r="Z34" i="111"/>
  <c r="J21" i="112"/>
  <c r="J20" i="112"/>
  <c r="J18" i="112"/>
  <c r="J16" i="112"/>
  <c r="H18" i="112"/>
  <c r="J15" i="112"/>
  <c r="J36" i="112"/>
  <c r="J34" i="112"/>
  <c r="J33" i="112"/>
  <c r="J31" i="112"/>
  <c r="J29" i="112"/>
  <c r="J27" i="112"/>
  <c r="J25" i="112"/>
  <c r="J24" i="112"/>
  <c r="J22" i="112"/>
  <c r="N12" i="112"/>
  <c r="Z20" i="112"/>
  <c r="N15" i="110"/>
  <c r="L22" i="110"/>
  <c r="L16" i="111"/>
  <c r="N21" i="111"/>
  <c r="Z25" i="111"/>
  <c r="X29" i="111"/>
  <c r="N15" i="112"/>
  <c r="L13" i="111"/>
  <c r="Z21" i="111"/>
  <c r="L24" i="111"/>
  <c r="L33" i="111"/>
  <c r="Z15" i="112"/>
  <c r="X22" i="112"/>
  <c r="N22" i="110"/>
  <c r="L34" i="110"/>
  <c r="N16" i="111"/>
  <c r="L20" i="111"/>
  <c r="Z29" i="111"/>
  <c r="X33" i="111"/>
  <c r="P18" i="112"/>
  <c r="R15" i="112"/>
  <c r="R31" i="112"/>
  <c r="R22" i="112"/>
  <c r="R27" i="112"/>
  <c r="R36" i="112"/>
  <c r="R20" i="112"/>
  <c r="R33" i="112"/>
  <c r="R24" i="112"/>
  <c r="R29" i="112"/>
  <c r="R21" i="112"/>
  <c r="R25" i="112"/>
  <c r="R18" i="112"/>
  <c r="R34" i="112"/>
  <c r="R16" i="112"/>
  <c r="X12" i="112"/>
  <c r="Z21" i="110"/>
  <c r="X25" i="110"/>
  <c r="X29" i="110"/>
  <c r="X33" i="110"/>
  <c r="X34" i="110"/>
  <c r="J36" i="111"/>
  <c r="J34" i="111"/>
  <c r="J33" i="111"/>
  <c r="J31" i="111"/>
  <c r="J29" i="111"/>
  <c r="J27" i="111"/>
  <c r="J25" i="111"/>
  <c r="J24" i="111"/>
  <c r="J22" i="111"/>
  <c r="J21" i="111"/>
  <c r="J18" i="111"/>
  <c r="H18" i="111"/>
  <c r="J15" i="111"/>
  <c r="N12" i="111"/>
  <c r="J20" i="111"/>
  <c r="J16" i="111"/>
  <c r="X13" i="111"/>
  <c r="Z15" i="111"/>
  <c r="X21" i="111"/>
  <c r="X15" i="112"/>
  <c r="N25" i="112"/>
  <c r="N29" i="112"/>
  <c r="N33" i="112"/>
  <c r="N34" i="112"/>
  <c r="R21" i="110"/>
  <c r="R20" i="110"/>
  <c r="R18" i="110"/>
  <c r="R16" i="110"/>
  <c r="P18" i="110"/>
  <c r="R15" i="110"/>
  <c r="R36" i="110"/>
  <c r="R34" i="110"/>
  <c r="R33" i="110"/>
  <c r="R31" i="110"/>
  <c r="R29" i="110"/>
  <c r="R27" i="110"/>
  <c r="R25" i="110"/>
  <c r="R24" i="110"/>
  <c r="R22" i="110"/>
  <c r="X12" i="110"/>
  <c r="Z22" i="110"/>
  <c r="Z24" i="110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18" i="112"/>
  <c r="D18" i="112"/>
  <c r="L12" i="112"/>
  <c r="F15" i="112"/>
  <c r="F20" i="112"/>
  <c r="F16" i="112"/>
  <c r="X16" i="112"/>
  <c r="X20" i="112"/>
  <c r="L12" i="110"/>
  <c r="F18" i="110"/>
  <c r="F31" i="110"/>
  <c r="F22" i="110"/>
  <c r="D18" i="110"/>
  <c r="F27" i="110"/>
  <c r="F15" i="110"/>
  <c r="F36" i="110"/>
  <c r="F20" i="110"/>
  <c r="F16" i="110"/>
  <c r="F29" i="110"/>
  <c r="F21" i="110"/>
  <c r="F34" i="110"/>
  <c r="F33" i="110"/>
  <c r="F25" i="110"/>
  <c r="F24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N12" i="110"/>
  <c r="J15" i="110"/>
  <c r="J20" i="110"/>
  <c r="J24" i="110"/>
  <c r="J16" i="110"/>
  <c r="J21" i="110"/>
  <c r="J22" i="110"/>
  <c r="H18" i="110"/>
  <c r="J18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Z13" i="110"/>
  <c r="Z16" i="110"/>
  <c r="Z20" i="110"/>
  <c r="X22" i="110"/>
  <c r="X24" i="110"/>
  <c r="F36" i="111"/>
  <c r="F34" i="111"/>
  <c r="F33" i="111"/>
  <c r="F31" i="111"/>
  <c r="F29" i="111"/>
  <c r="F27" i="111"/>
  <c r="F25" i="111"/>
  <c r="L12" i="111"/>
  <c r="F24" i="111"/>
  <c r="F16" i="111"/>
  <c r="F21" i="111"/>
  <c r="F22" i="111"/>
  <c r="D18" i="111"/>
  <c r="F15" i="111"/>
  <c r="F20" i="111"/>
  <c r="F18" i="111"/>
  <c r="X16" i="111"/>
  <c r="X20" i="111"/>
  <c r="N13" i="112"/>
  <c r="N22" i="112"/>
  <c r="N24" i="112"/>
  <c r="Z17" i="3"/>
  <c r="J300" i="3"/>
  <c r="J292" i="3"/>
  <c r="J280" i="3"/>
  <c r="J276" i="3"/>
  <c r="J264" i="3"/>
  <c r="J250" i="3"/>
  <c r="J240" i="3"/>
  <c r="J224" i="3"/>
  <c r="J216" i="3"/>
  <c r="J212" i="3"/>
  <c r="J299" i="3"/>
  <c r="J293" i="3"/>
  <c r="J265" i="3"/>
  <c r="J259" i="3"/>
  <c r="J251" i="3"/>
  <c r="J241" i="3"/>
  <c r="J231" i="3"/>
  <c r="J225" i="3"/>
  <c r="J207" i="3"/>
  <c r="J203" i="3"/>
  <c r="J298" i="3"/>
  <c r="J294" i="3"/>
  <c r="J286" i="3"/>
  <c r="J270" i="3"/>
  <c r="J266" i="3"/>
  <c r="J252" i="3"/>
  <c r="J309" i="3"/>
  <c r="J297" i="3"/>
  <c r="J287" i="3"/>
  <c r="J281" i="3"/>
  <c r="J277" i="3"/>
  <c r="J271" i="3"/>
  <c r="J253" i="3"/>
  <c r="J233" i="3"/>
  <c r="J217" i="3"/>
  <c r="J213" i="3"/>
  <c r="J199" i="3"/>
  <c r="J308" i="3"/>
  <c r="J288" i="3"/>
  <c r="J272" i="3"/>
  <c r="J260" i="3"/>
  <c r="J254" i="3"/>
  <c r="J234" i="3"/>
  <c r="J218" i="3"/>
  <c r="J208" i="3"/>
  <c r="J204" i="3"/>
  <c r="J200" i="3"/>
  <c r="J198" i="3"/>
  <c r="J313" i="3"/>
  <c r="J307" i="3"/>
  <c r="J289" i="3"/>
  <c r="J267" i="3"/>
  <c r="J261" i="3"/>
  <c r="J255" i="3"/>
  <c r="J243" i="3"/>
  <c r="J235" i="3"/>
  <c r="J227" i="3"/>
  <c r="J219" i="3"/>
  <c r="H196" i="3"/>
  <c r="J196" i="3" s="1"/>
  <c r="J191" i="3"/>
  <c r="J187" i="3"/>
  <c r="J318" i="3"/>
  <c r="J317" i="3"/>
  <c r="J305" i="3"/>
  <c r="J273" i="3"/>
  <c r="J257" i="3"/>
  <c r="J245" i="3"/>
  <c r="J237" i="3"/>
  <c r="J221" i="3"/>
  <c r="J209" i="3"/>
  <c r="J205" i="3"/>
  <c r="J201" i="3"/>
  <c r="J303" i="3"/>
  <c r="J291" i="3"/>
  <c r="J283" i="3"/>
  <c r="J279" i="3"/>
  <c r="J275" i="3"/>
  <c r="J263" i="3"/>
  <c r="J247" i="3"/>
  <c r="J239" i="3"/>
  <c r="J229" i="3"/>
  <c r="J215" i="3"/>
  <c r="J211" i="3"/>
  <c r="J301" i="3"/>
  <c r="J285" i="3"/>
  <c r="J269" i="3"/>
  <c r="J249" i="3"/>
  <c r="J223" i="3"/>
  <c r="J193" i="3"/>
  <c r="J189" i="3"/>
  <c r="J185" i="3"/>
  <c r="J181" i="3"/>
  <c r="J177" i="3"/>
  <c r="J173" i="3"/>
  <c r="J169" i="3"/>
  <c r="J165" i="3"/>
  <c r="J161" i="3"/>
  <c r="J157" i="3"/>
  <c r="J153" i="3"/>
  <c r="J149" i="3"/>
  <c r="J145" i="3"/>
  <c r="J256" i="3"/>
  <c r="J192" i="3"/>
  <c r="J188" i="3"/>
  <c r="J152" i="3"/>
  <c r="J141" i="3"/>
  <c r="J290" i="3"/>
  <c r="J184" i="3"/>
  <c r="J160" i="3"/>
  <c r="J147" i="3"/>
  <c r="J138" i="3"/>
  <c r="J306" i="3"/>
  <c r="J258" i="3"/>
  <c r="J202" i="3"/>
  <c r="J194" i="3"/>
  <c r="J190" i="3"/>
  <c r="J186" i="3"/>
  <c r="J182" i="3"/>
  <c r="J170" i="3"/>
  <c r="J155" i="3"/>
  <c r="J135" i="3"/>
  <c r="J278" i="3"/>
  <c r="J210" i="3"/>
  <c r="J206" i="3"/>
  <c r="J180" i="3"/>
  <c r="J175" i="3"/>
  <c r="J168" i="3"/>
  <c r="J150" i="3"/>
  <c r="J222" i="3"/>
  <c r="J304" i="3"/>
  <c r="J262" i="3"/>
  <c r="J248" i="3"/>
  <c r="J163" i="3"/>
  <c r="J158" i="3"/>
  <c r="J142" i="3"/>
  <c r="J139" i="3"/>
  <c r="J176" i="3"/>
  <c r="J146" i="3"/>
  <c r="J246" i="3"/>
  <c r="J232" i="3"/>
  <c r="J148" i="3"/>
  <c r="J136" i="3"/>
  <c r="J143" i="3"/>
  <c r="J244" i="3"/>
  <c r="J220" i="3"/>
  <c r="J156" i="3"/>
  <c r="J228" i="3"/>
  <c r="J140" i="3"/>
  <c r="J302" i="3"/>
  <c r="J268" i="3"/>
  <c r="J230" i="3"/>
  <c r="J214" i="3"/>
  <c r="J183" i="3"/>
  <c r="J178" i="3"/>
  <c r="J171" i="3"/>
  <c r="J166" i="3"/>
  <c r="J226" i="3"/>
  <c r="J164" i="3"/>
  <c r="J151" i="3"/>
  <c r="J282" i="3"/>
  <c r="J238" i="3"/>
  <c r="J159" i="3"/>
  <c r="J137" i="3"/>
  <c r="J284" i="3"/>
  <c r="J274" i="3"/>
  <c r="J242" i="3"/>
  <c r="J174" i="3"/>
  <c r="J154" i="3"/>
  <c r="J236" i="3"/>
  <c r="J179" i="3"/>
  <c r="J172" i="3"/>
  <c r="J167" i="3"/>
  <c r="J162" i="3"/>
  <c r="J144" i="3"/>
  <c r="R308" i="3"/>
  <c r="R281" i="3"/>
  <c r="R277" i="3"/>
  <c r="R254" i="3"/>
  <c r="R253" i="3"/>
  <c r="R234" i="3"/>
  <c r="R233" i="3"/>
  <c r="R218" i="3"/>
  <c r="R217" i="3"/>
  <c r="R213" i="3"/>
  <c r="R198" i="3"/>
  <c r="R307" i="3"/>
  <c r="R289" i="3"/>
  <c r="R288" i="3"/>
  <c r="R272" i="3"/>
  <c r="R261" i="3"/>
  <c r="R260" i="3"/>
  <c r="R208" i="3"/>
  <c r="R204" i="3"/>
  <c r="R200" i="3"/>
  <c r="P196" i="3"/>
  <c r="R196" i="3" s="1"/>
  <c r="R313" i="3"/>
  <c r="R306" i="3"/>
  <c r="R267" i="3"/>
  <c r="R256" i="3"/>
  <c r="R255" i="3"/>
  <c r="R244" i="3"/>
  <c r="R243" i="3"/>
  <c r="R318" i="3"/>
  <c r="R317" i="3"/>
  <c r="R305" i="3"/>
  <c r="R290" i="3"/>
  <c r="R282" i="3"/>
  <c r="R278" i="3"/>
  <c r="R262" i="3"/>
  <c r="R214" i="3"/>
  <c r="R135" i="3"/>
  <c r="R304" i="3"/>
  <c r="R274" i="3"/>
  <c r="R273" i="3"/>
  <c r="R257" i="3"/>
  <c r="R246" i="3"/>
  <c r="R245" i="3"/>
  <c r="R238" i="3"/>
  <c r="R237" i="3"/>
  <c r="R221" i="3"/>
  <c r="R210" i="3"/>
  <c r="R209" i="3"/>
  <c r="R205" i="3"/>
  <c r="R201" i="3"/>
  <c r="R303" i="3"/>
  <c r="R268" i="3"/>
  <c r="R229" i="3"/>
  <c r="R228" i="3"/>
  <c r="R192" i="3"/>
  <c r="R188" i="3"/>
  <c r="R301" i="3"/>
  <c r="R258" i="3"/>
  <c r="R230" i="3"/>
  <c r="R223" i="3"/>
  <c r="R222" i="3"/>
  <c r="R206" i="3"/>
  <c r="R202" i="3"/>
  <c r="R299" i="3"/>
  <c r="R293" i="3"/>
  <c r="R292" i="3"/>
  <c r="R280" i="3"/>
  <c r="R276" i="3"/>
  <c r="R265" i="3"/>
  <c r="R264" i="3"/>
  <c r="R241" i="3"/>
  <c r="R240" i="3"/>
  <c r="R225" i="3"/>
  <c r="R224" i="3"/>
  <c r="R216" i="3"/>
  <c r="R212" i="3"/>
  <c r="R309" i="3"/>
  <c r="R297" i="3"/>
  <c r="R294" i="3"/>
  <c r="R287" i="3"/>
  <c r="R286" i="3"/>
  <c r="R271" i="3"/>
  <c r="R270" i="3"/>
  <c r="R266" i="3"/>
  <c r="R242" i="3"/>
  <c r="R226" i="3"/>
  <c r="R199" i="3"/>
  <c r="R194" i="3"/>
  <c r="R190" i="3"/>
  <c r="R186" i="3"/>
  <c r="R182" i="3"/>
  <c r="R178" i="3"/>
  <c r="R174" i="3"/>
  <c r="R170" i="3"/>
  <c r="R166" i="3"/>
  <c r="R162" i="3"/>
  <c r="R158" i="3"/>
  <c r="R154" i="3"/>
  <c r="R150" i="3"/>
  <c r="R146" i="3"/>
  <c r="R269" i="3"/>
  <c r="R248" i="3"/>
  <c r="R219" i="3"/>
  <c r="R215" i="3"/>
  <c r="R180" i="3"/>
  <c r="R168" i="3"/>
  <c r="R155" i="3"/>
  <c r="R252" i="3"/>
  <c r="R250" i="3"/>
  <c r="R239" i="3"/>
  <c r="R175" i="3"/>
  <c r="R145" i="3"/>
  <c r="R173" i="3"/>
  <c r="R163" i="3"/>
  <c r="R148" i="3"/>
  <c r="R142" i="3"/>
  <c r="R139" i="3"/>
  <c r="R136" i="3"/>
  <c r="X12" i="3"/>
  <c r="R285" i="3"/>
  <c r="R283" i="3"/>
  <c r="R275" i="3"/>
  <c r="R232" i="3"/>
  <c r="R156" i="3"/>
  <c r="R153" i="3"/>
  <c r="R149" i="3"/>
  <c r="R302" i="3"/>
  <c r="R220" i="3"/>
  <c r="R191" i="3"/>
  <c r="R187" i="3"/>
  <c r="R171" i="3"/>
  <c r="R161" i="3"/>
  <c r="R179" i="3"/>
  <c r="R203" i="3"/>
  <c r="R193" i="3"/>
  <c r="R189" i="3"/>
  <c r="R185" i="3"/>
  <c r="R183" i="3"/>
  <c r="R176" i="3"/>
  <c r="R164" i="3"/>
  <c r="R143" i="3"/>
  <c r="R140" i="3"/>
  <c r="R259" i="3"/>
  <c r="R235" i="3"/>
  <c r="R207" i="3"/>
  <c r="R181" i="3"/>
  <c r="R169" i="3"/>
  <c r="R151" i="3"/>
  <c r="R137" i="3"/>
  <c r="R300" i="3"/>
  <c r="R249" i="3"/>
  <c r="R172" i="3"/>
  <c r="R167" i="3"/>
  <c r="R144" i="3"/>
  <c r="R291" i="3"/>
  <c r="R284" i="3"/>
  <c r="R251" i="3"/>
  <c r="R211" i="3"/>
  <c r="R159" i="3"/>
  <c r="R279" i="3"/>
  <c r="R263" i="3"/>
  <c r="R236" i="3"/>
  <c r="R157" i="3"/>
  <c r="R152" i="3"/>
  <c r="R141" i="3"/>
  <c r="R138" i="3"/>
  <c r="R247" i="3"/>
  <c r="R231" i="3"/>
  <c r="R184" i="3"/>
  <c r="R160" i="3"/>
  <c r="R298" i="3"/>
  <c r="R227" i="3"/>
  <c r="R177" i="3"/>
  <c r="R165" i="3"/>
  <c r="R147" i="3"/>
  <c r="V306" i="3"/>
  <c r="V288" i="3"/>
  <c r="V272" i="3"/>
  <c r="V260" i="3"/>
  <c r="V256" i="3"/>
  <c r="V244" i="3"/>
  <c r="V236" i="3"/>
  <c r="V220" i="3"/>
  <c r="V208" i="3"/>
  <c r="V204" i="3"/>
  <c r="V200" i="3"/>
  <c r="V318" i="3"/>
  <c r="V317" i="3"/>
  <c r="V313" i="3"/>
  <c r="V305" i="3"/>
  <c r="V267" i="3"/>
  <c r="V255" i="3"/>
  <c r="V243" i="3"/>
  <c r="V235" i="3"/>
  <c r="V227" i="3"/>
  <c r="V219" i="3"/>
  <c r="V191" i="3"/>
  <c r="V187" i="3"/>
  <c r="V183" i="3"/>
  <c r="V179" i="3"/>
  <c r="V175" i="3"/>
  <c r="V171" i="3"/>
  <c r="V167" i="3"/>
  <c r="V304" i="3"/>
  <c r="V290" i="3"/>
  <c r="V282" i="3"/>
  <c r="V278" i="3"/>
  <c r="V274" i="3"/>
  <c r="V262" i="3"/>
  <c r="V246" i="3"/>
  <c r="V303" i="3"/>
  <c r="V273" i="3"/>
  <c r="V257" i="3"/>
  <c r="V245" i="3"/>
  <c r="V237" i="3"/>
  <c r="V229" i="3"/>
  <c r="V221" i="3"/>
  <c r="V209" i="3"/>
  <c r="V205" i="3"/>
  <c r="V201" i="3"/>
  <c r="V302" i="3"/>
  <c r="V284" i="3"/>
  <c r="V268" i="3"/>
  <c r="V248" i="3"/>
  <c r="V228" i="3"/>
  <c r="V192" i="3"/>
  <c r="V188" i="3"/>
  <c r="V184" i="3"/>
  <c r="V180" i="3"/>
  <c r="V176" i="3"/>
  <c r="V172" i="3"/>
  <c r="V168" i="3"/>
  <c r="V164" i="3"/>
  <c r="V160" i="3"/>
  <c r="V156" i="3"/>
  <c r="V152" i="3"/>
  <c r="V148" i="3"/>
  <c r="V301" i="3"/>
  <c r="V291" i="3"/>
  <c r="V283" i="3"/>
  <c r="V279" i="3"/>
  <c r="V275" i="3"/>
  <c r="V263" i="3"/>
  <c r="V247" i="3"/>
  <c r="V239" i="3"/>
  <c r="V223" i="3"/>
  <c r="V215" i="3"/>
  <c r="V211" i="3"/>
  <c r="V299" i="3"/>
  <c r="V293" i="3"/>
  <c r="V285" i="3"/>
  <c r="V269" i="3"/>
  <c r="V265" i="3"/>
  <c r="V249" i="3"/>
  <c r="V241" i="3"/>
  <c r="V225" i="3"/>
  <c r="V193" i="3"/>
  <c r="V189" i="3"/>
  <c r="V185" i="3"/>
  <c r="V181" i="3"/>
  <c r="V177" i="3"/>
  <c r="V173" i="3"/>
  <c r="V169" i="3"/>
  <c r="V165" i="3"/>
  <c r="V309" i="3"/>
  <c r="V297" i="3"/>
  <c r="V287" i="3"/>
  <c r="V271" i="3"/>
  <c r="V259" i="3"/>
  <c r="V251" i="3"/>
  <c r="V231" i="3"/>
  <c r="V207" i="3"/>
  <c r="V203" i="3"/>
  <c r="V199" i="3"/>
  <c r="V307" i="3"/>
  <c r="V289" i="3"/>
  <c r="V281" i="3"/>
  <c r="V277" i="3"/>
  <c r="V261" i="3"/>
  <c r="V253" i="3"/>
  <c r="V233" i="3"/>
  <c r="V217" i="3"/>
  <c r="V213" i="3"/>
  <c r="T196" i="3"/>
  <c r="V196" i="3" s="1"/>
  <c r="V254" i="3"/>
  <c r="V206" i="3"/>
  <c r="V182" i="3"/>
  <c r="V170" i="3"/>
  <c r="V145" i="3"/>
  <c r="Z12" i="3"/>
  <c r="V234" i="3"/>
  <c r="V232" i="3"/>
  <c r="V163" i="3"/>
  <c r="V150" i="3"/>
  <c r="V142" i="3"/>
  <c r="V139" i="3"/>
  <c r="V136" i="3"/>
  <c r="V292" i="3"/>
  <c r="V212" i="3"/>
  <c r="V158" i="3"/>
  <c r="V153" i="3"/>
  <c r="V294" i="3"/>
  <c r="V161" i="3"/>
  <c r="V280" i="3"/>
  <c r="V264" i="3"/>
  <c r="V230" i="3"/>
  <c r="V178" i="3"/>
  <c r="V166" i="3"/>
  <c r="V143" i="3"/>
  <c r="V140" i="3"/>
  <c r="V141" i="3"/>
  <c r="V266" i="3"/>
  <c r="V238" i="3"/>
  <c r="V226" i="3"/>
  <c r="V222" i="3"/>
  <c r="V214" i="3"/>
  <c r="V151" i="3"/>
  <c r="V137" i="3"/>
  <c r="V174" i="3"/>
  <c r="V157" i="3"/>
  <c r="V300" i="3"/>
  <c r="V224" i="3"/>
  <c r="V218" i="3"/>
  <c r="V159" i="3"/>
  <c r="V146" i="3"/>
  <c r="V242" i="3"/>
  <c r="V216" i="3"/>
  <c r="V154" i="3"/>
  <c r="V149" i="3"/>
  <c r="V144" i="3"/>
  <c r="V270" i="3"/>
  <c r="V240" i="3"/>
  <c r="V308" i="3"/>
  <c r="V298" i="3"/>
  <c r="V162" i="3"/>
  <c r="V138" i="3"/>
  <c r="V135" i="3"/>
  <c r="V286" i="3"/>
  <c r="V276" i="3"/>
  <c r="V198" i="3"/>
  <c r="V147" i="3"/>
  <c r="V258" i="3"/>
  <c r="V252" i="3"/>
  <c r="V250" i="3"/>
  <c r="V210" i="3"/>
  <c r="V202" i="3"/>
  <c r="V194" i="3"/>
  <c r="V190" i="3"/>
  <c r="V186" i="3"/>
  <c r="V155" i="3"/>
  <c r="N46" i="3"/>
  <c r="Z105" i="3"/>
  <c r="N66" i="3"/>
  <c r="L297" i="3"/>
  <c r="N297" i="3" s="1"/>
  <c r="D296" i="3"/>
  <c r="L18" i="3"/>
  <c r="L22" i="3"/>
  <c r="N22" i="3" s="1"/>
  <c r="L26" i="3"/>
  <c r="N26" i="3" s="1"/>
  <c r="L30" i="3"/>
  <c r="N30" i="3" s="1"/>
  <c r="L34" i="3"/>
  <c r="N34" i="3" s="1"/>
  <c r="L38" i="3"/>
  <c r="N38" i="3" s="1"/>
  <c r="L42" i="3"/>
  <c r="N42" i="3" s="1"/>
  <c r="L46" i="3"/>
  <c r="L54" i="3"/>
  <c r="N54" i="3" s="1"/>
  <c r="L62" i="3"/>
  <c r="L66" i="3"/>
  <c r="N14" i="3"/>
  <c r="N50" i="3"/>
  <c r="N58" i="3"/>
  <c r="N70" i="3"/>
  <c r="N74" i="3"/>
  <c r="N78" i="3"/>
  <c r="N82" i="3"/>
  <c r="N86" i="3"/>
  <c r="N90" i="3"/>
  <c r="N94" i="3"/>
  <c r="N98" i="3"/>
  <c r="N102" i="3"/>
  <c r="N106" i="3"/>
  <c r="N110" i="3"/>
  <c r="N114" i="3"/>
  <c r="N118" i="3"/>
  <c r="N122" i="3"/>
  <c r="N126" i="3"/>
  <c r="N130" i="3"/>
  <c r="X135" i="3"/>
  <c r="Z135" i="3" s="1"/>
  <c r="F218" i="3"/>
  <c r="X223" i="3"/>
  <c r="Z225" i="3"/>
  <c r="F238" i="3"/>
  <c r="F263" i="3"/>
  <c r="N265" i="3"/>
  <c r="F279" i="3"/>
  <c r="Z301" i="3"/>
  <c r="R76" i="9"/>
  <c r="N30" i="12"/>
  <c r="Z41" i="12"/>
  <c r="Z47" i="12"/>
  <c r="N55" i="12"/>
  <c r="N74" i="12"/>
  <c r="Z81" i="12"/>
  <c r="Z87" i="12"/>
  <c r="N91" i="12"/>
  <c r="N102" i="12"/>
  <c r="L60" i="15"/>
  <c r="N60" i="15"/>
  <c r="F159" i="3"/>
  <c r="F209" i="3"/>
  <c r="Z223" i="3"/>
  <c r="F313" i="3"/>
  <c r="J31" i="6"/>
  <c r="J29" i="6"/>
  <c r="J28" i="6"/>
  <c r="J26" i="6"/>
  <c r="N12" i="6"/>
  <c r="L12" i="6"/>
  <c r="H16" i="6"/>
  <c r="L16" i="15"/>
  <c r="N16" i="15"/>
  <c r="L28" i="15"/>
  <c r="N28" i="15" s="1"/>
  <c r="L68" i="15"/>
  <c r="N68" i="15"/>
  <c r="X251" i="15"/>
  <c r="P250" i="15"/>
  <c r="Z46" i="18"/>
  <c r="X46" i="18"/>
  <c r="Z54" i="18"/>
  <c r="X54" i="18"/>
  <c r="N133" i="3"/>
  <c r="L13" i="3"/>
  <c r="F140" i="3"/>
  <c r="F143" i="3"/>
  <c r="F151" i="3"/>
  <c r="F164" i="3"/>
  <c r="F176" i="3"/>
  <c r="F205" i="3"/>
  <c r="F207" i="3"/>
  <c r="F211" i="3"/>
  <c r="F235" i="3"/>
  <c r="N261" i="3"/>
  <c r="Z265" i="3"/>
  <c r="N293" i="3"/>
  <c r="L305" i="3"/>
  <c r="N305" i="3" s="1"/>
  <c r="N318" i="3"/>
  <c r="N56" i="9"/>
  <c r="R68" i="9"/>
  <c r="R70" i="9"/>
  <c r="Z72" i="9"/>
  <c r="R83" i="9"/>
  <c r="N15" i="12"/>
  <c r="N38" i="12"/>
  <c r="Z49" i="12"/>
  <c r="Z55" i="12"/>
  <c r="N63" i="12"/>
  <c r="N78" i="12"/>
  <c r="Z91" i="12"/>
  <c r="Z110" i="12"/>
  <c r="H12" i="15"/>
  <c r="F302" i="3"/>
  <c r="F285" i="3"/>
  <c r="F284" i="3"/>
  <c r="F269" i="3"/>
  <c r="F249" i="3"/>
  <c r="F248" i="3"/>
  <c r="F193" i="3"/>
  <c r="F189" i="3"/>
  <c r="F185" i="3"/>
  <c r="F181" i="3"/>
  <c r="F177" i="3"/>
  <c r="F173" i="3"/>
  <c r="F169" i="3"/>
  <c r="F165" i="3"/>
  <c r="F161" i="3"/>
  <c r="F157" i="3"/>
  <c r="F153" i="3"/>
  <c r="F149" i="3"/>
  <c r="F145" i="3"/>
  <c r="F141" i="3"/>
  <c r="F137" i="3"/>
  <c r="F301" i="3"/>
  <c r="F292" i="3"/>
  <c r="F280" i="3"/>
  <c r="F276" i="3"/>
  <c r="F264" i="3"/>
  <c r="F240" i="3"/>
  <c r="F224" i="3"/>
  <c r="F223" i="3"/>
  <c r="F216" i="3"/>
  <c r="F212" i="3"/>
  <c r="F300" i="3"/>
  <c r="F259" i="3"/>
  <c r="F251" i="3"/>
  <c r="F250" i="3"/>
  <c r="F299" i="3"/>
  <c r="F294" i="3"/>
  <c r="F293" i="3"/>
  <c r="F286" i="3"/>
  <c r="F270" i="3"/>
  <c r="F266" i="3"/>
  <c r="F265" i="3"/>
  <c r="F242" i="3"/>
  <c r="F241" i="3"/>
  <c r="F226" i="3"/>
  <c r="F225" i="3"/>
  <c r="F194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138" i="3"/>
  <c r="F298" i="3"/>
  <c r="F281" i="3"/>
  <c r="F277" i="3"/>
  <c r="F253" i="3"/>
  <c r="F252" i="3"/>
  <c r="F233" i="3"/>
  <c r="F232" i="3"/>
  <c r="F217" i="3"/>
  <c r="F213" i="3"/>
  <c r="F309" i="3"/>
  <c r="F297" i="3"/>
  <c r="F288" i="3"/>
  <c r="F287" i="3"/>
  <c r="F272" i="3"/>
  <c r="F271" i="3"/>
  <c r="F260" i="3"/>
  <c r="F208" i="3"/>
  <c r="F204" i="3"/>
  <c r="F200" i="3"/>
  <c r="F199" i="3"/>
  <c r="F307" i="3"/>
  <c r="F290" i="3"/>
  <c r="F289" i="3"/>
  <c r="F282" i="3"/>
  <c r="F278" i="3"/>
  <c r="F262" i="3"/>
  <c r="F261" i="3"/>
  <c r="F214" i="3"/>
  <c r="D196" i="3"/>
  <c r="F318" i="3"/>
  <c r="F317" i="3"/>
  <c r="F305" i="3"/>
  <c r="F268" i="3"/>
  <c r="F228" i="3"/>
  <c r="F192" i="3"/>
  <c r="F188" i="3"/>
  <c r="F184" i="3"/>
  <c r="F303" i="3"/>
  <c r="F258" i="3"/>
  <c r="F230" i="3"/>
  <c r="F229" i="3"/>
  <c r="F222" i="3"/>
  <c r="F206" i="3"/>
  <c r="F202" i="3"/>
  <c r="F156" i="3"/>
  <c r="F187" i="3"/>
  <c r="F191" i="3"/>
  <c r="N220" i="3"/>
  <c r="N244" i="3"/>
  <c r="F246" i="3"/>
  <c r="Z274" i="3"/>
  <c r="Z293" i="3"/>
  <c r="N307" i="3"/>
  <c r="J20" i="6"/>
  <c r="R49" i="9"/>
  <c r="N51" i="9"/>
  <c r="R98" i="9"/>
  <c r="T12" i="12"/>
  <c r="X13" i="12"/>
  <c r="Z15" i="12"/>
  <c r="N23" i="12"/>
  <c r="Z57" i="12"/>
  <c r="Z63" i="12"/>
  <c r="N86" i="12"/>
  <c r="Z93" i="12"/>
  <c r="N99" i="12"/>
  <c r="N106" i="12"/>
  <c r="X18" i="15"/>
  <c r="Z18" i="15" s="1"/>
  <c r="X50" i="15"/>
  <c r="Z50" i="15" s="1"/>
  <c r="Z56" i="15"/>
  <c r="L100" i="15"/>
  <c r="N100" i="15"/>
  <c r="T12" i="18"/>
  <c r="X14" i="18"/>
  <c r="Z14" i="18" s="1"/>
  <c r="F203" i="3"/>
  <c r="F244" i="3"/>
  <c r="F255" i="3"/>
  <c r="F136" i="3"/>
  <c r="F148" i="3"/>
  <c r="F201" i="3"/>
  <c r="N232" i="3"/>
  <c r="F234" i="3"/>
  <c r="Z238" i="3"/>
  <c r="F257" i="3"/>
  <c r="N289" i="3"/>
  <c r="F304" i="3"/>
  <c r="R44" i="9"/>
  <c r="Z56" i="9"/>
  <c r="Z60" i="9"/>
  <c r="Z13" i="12"/>
  <c r="Z19" i="12"/>
  <c r="N27" i="12"/>
  <c r="N50" i="12"/>
  <c r="Z61" i="12"/>
  <c r="Z67" i="12"/>
  <c r="N71" i="12"/>
  <c r="X54" i="15"/>
  <c r="Z54" i="15"/>
  <c r="D12" i="18"/>
  <c r="L13" i="18"/>
  <c r="X102" i="18"/>
  <c r="Z102" i="18" s="1"/>
  <c r="F220" i="3"/>
  <c r="X13" i="3"/>
  <c r="X17" i="3"/>
  <c r="X21" i="3"/>
  <c r="Z21" i="3" s="1"/>
  <c r="X25" i="3"/>
  <c r="Z25" i="3" s="1"/>
  <c r="X29" i="3"/>
  <c r="Z29" i="3" s="1"/>
  <c r="X33" i="3"/>
  <c r="Z33" i="3" s="1"/>
  <c r="X37" i="3"/>
  <c r="Z37" i="3" s="1"/>
  <c r="X45" i="3"/>
  <c r="Z45" i="3" s="1"/>
  <c r="X49" i="3"/>
  <c r="Z49" i="3" s="1"/>
  <c r="X53" i="3"/>
  <c r="Z53" i="3" s="1"/>
  <c r="X57" i="3"/>
  <c r="Z57" i="3" s="1"/>
  <c r="X61" i="3"/>
  <c r="Z61" i="3" s="1"/>
  <c r="X65" i="3"/>
  <c r="Z65" i="3" s="1"/>
  <c r="X69" i="3"/>
  <c r="Z69" i="3" s="1"/>
  <c r="X73" i="3"/>
  <c r="Z73" i="3" s="1"/>
  <c r="X77" i="3"/>
  <c r="Z77" i="3" s="1"/>
  <c r="X81" i="3"/>
  <c r="Z81" i="3" s="1"/>
  <c r="X85" i="3"/>
  <c r="Z85" i="3" s="1"/>
  <c r="X89" i="3"/>
  <c r="Z89" i="3" s="1"/>
  <c r="X93" i="3"/>
  <c r="Z93" i="3" s="1"/>
  <c r="X97" i="3"/>
  <c r="Z97" i="3" s="1"/>
  <c r="X101" i="3"/>
  <c r="Z101" i="3" s="1"/>
  <c r="X105" i="3"/>
  <c r="X109" i="3"/>
  <c r="Z109" i="3" s="1"/>
  <c r="X113" i="3"/>
  <c r="Z113" i="3" s="1"/>
  <c r="X117" i="3"/>
  <c r="Z117" i="3" s="1"/>
  <c r="X121" i="3"/>
  <c r="Z121" i="3" s="1"/>
  <c r="X125" i="3"/>
  <c r="Z125" i="3" s="1"/>
  <c r="F139" i="3"/>
  <c r="F163" i="3"/>
  <c r="F210" i="3"/>
  <c r="F273" i="3"/>
  <c r="F275" i="3"/>
  <c r="F283" i="3"/>
  <c r="Z297" i="3"/>
  <c r="T296" i="3"/>
  <c r="V296" i="3" s="1"/>
  <c r="Z18" i="9"/>
  <c r="R46" i="9"/>
  <c r="X86" i="15"/>
  <c r="Z86" i="15" s="1"/>
  <c r="X106" i="18"/>
  <c r="Z106" i="18" s="1"/>
  <c r="L92" i="15"/>
  <c r="N92" i="15" s="1"/>
  <c r="L30" i="21"/>
  <c r="N30" i="21" s="1"/>
  <c r="L12" i="3"/>
  <c r="N12" i="3" s="1"/>
  <c r="X41" i="3"/>
  <c r="Z41" i="3" s="1"/>
  <c r="Z13" i="3"/>
  <c r="F135" i="3"/>
  <c r="F168" i="3"/>
  <c r="F175" i="3"/>
  <c r="F180" i="3"/>
  <c r="F237" i="3"/>
  <c r="L241" i="3"/>
  <c r="N241" i="3" s="1"/>
  <c r="F254" i="3"/>
  <c r="Z289" i="3"/>
  <c r="X297" i="3"/>
  <c r="P296" i="3"/>
  <c r="F306" i="3"/>
  <c r="X58" i="9"/>
  <c r="Z58" i="9" s="1"/>
  <c r="R82" i="9"/>
  <c r="D12" i="12"/>
  <c r="L14" i="12"/>
  <c r="N14" i="12" s="1"/>
  <c r="Z21" i="12"/>
  <c r="Z27" i="12"/>
  <c r="N35" i="12"/>
  <c r="N58" i="12"/>
  <c r="Z71" i="12"/>
  <c r="X73" i="12"/>
  <c r="Z73" i="12" s="1"/>
  <c r="N94" i="12"/>
  <c r="Z97" i="12"/>
  <c r="N103" i="12"/>
  <c r="F171" i="3"/>
  <c r="F183" i="3"/>
  <c r="F196" i="3"/>
  <c r="F155" i="3"/>
  <c r="F198" i="3"/>
  <c r="F239" i="3"/>
  <c r="F243" i="3"/>
  <c r="Z287" i="3"/>
  <c r="Z302" i="3"/>
  <c r="N317" i="3"/>
  <c r="J18" i="6"/>
  <c r="N80" i="9"/>
  <c r="P12" i="12"/>
  <c r="Z203" i="15"/>
  <c r="X203" i="15"/>
  <c r="F147" i="3"/>
  <c r="F160" i="3"/>
  <c r="Z199" i="3"/>
  <c r="F215" i="3"/>
  <c r="F219" i="3"/>
  <c r="L225" i="3"/>
  <c r="Z246" i="3"/>
  <c r="F256" i="3"/>
  <c r="X287" i="3"/>
  <c r="X299" i="3"/>
  <c r="Z299" i="3" s="1"/>
  <c r="X309" i="3"/>
  <c r="Z309" i="3" s="1"/>
  <c r="L317" i="3"/>
  <c r="J14" i="6"/>
  <c r="R86" i="9"/>
  <c r="R78" i="9"/>
  <c r="R66" i="9"/>
  <c r="R51" i="9"/>
  <c r="R50" i="9"/>
  <c r="R39" i="9"/>
  <c r="R38" i="9"/>
  <c r="R34" i="9"/>
  <c r="R74" i="9"/>
  <c r="R73" i="9"/>
  <c r="R61" i="9"/>
  <c r="R29" i="9"/>
  <c r="R25" i="9"/>
  <c r="R21" i="9"/>
  <c r="R53" i="9"/>
  <c r="R52" i="9"/>
  <c r="R41" i="9"/>
  <c r="R40" i="9"/>
  <c r="R87" i="9"/>
  <c r="R80" i="9"/>
  <c r="R79" i="9"/>
  <c r="R75" i="9"/>
  <c r="R67" i="9"/>
  <c r="R35" i="9"/>
  <c r="R91" i="9"/>
  <c r="R89" i="9"/>
  <c r="R62" i="9"/>
  <c r="R54" i="9"/>
  <c r="R43" i="9"/>
  <c r="R42" i="9"/>
  <c r="R31" i="9"/>
  <c r="R30" i="9"/>
  <c r="R26" i="9"/>
  <c r="R22" i="9"/>
  <c r="R81" i="9"/>
  <c r="R93" i="9"/>
  <c r="R63" i="9"/>
  <c r="R56" i="9"/>
  <c r="R55" i="9"/>
  <c r="R27" i="9"/>
  <c r="R23" i="9"/>
  <c r="R77" i="9"/>
  <c r="R58" i="9"/>
  <c r="R57" i="9"/>
  <c r="R37" i="9"/>
  <c r="R33" i="9"/>
  <c r="R18" i="9"/>
  <c r="R16" i="9"/>
  <c r="R14" i="9"/>
  <c r="R72" i="9"/>
  <c r="R71" i="9"/>
  <c r="R60" i="9"/>
  <c r="R59" i="9"/>
  <c r="R20" i="9"/>
  <c r="R24" i="9"/>
  <c r="R28" i="9"/>
  <c r="R36" i="9"/>
  <c r="R48" i="9"/>
  <c r="Z101" i="12"/>
  <c r="Z103" i="12"/>
  <c r="Z78" i="18"/>
  <c r="X78" i="18"/>
  <c r="F152" i="3"/>
  <c r="N225" i="3"/>
  <c r="F227" i="3"/>
  <c r="F231" i="3"/>
  <c r="F236" i="3"/>
  <c r="Z241" i="3"/>
  <c r="F267" i="3"/>
  <c r="F308" i="3"/>
  <c r="J22" i="6"/>
  <c r="P95" i="9"/>
  <c r="N210" i="12"/>
  <c r="L210" i="12"/>
  <c r="H91" i="9"/>
  <c r="N16" i="9"/>
  <c r="F144" i="3"/>
  <c r="F167" i="3"/>
  <c r="F172" i="3"/>
  <c r="F179" i="3"/>
  <c r="Z210" i="3"/>
  <c r="F221" i="3"/>
  <c r="L229" i="3"/>
  <c r="N229" i="3" s="1"/>
  <c r="X241" i="3"/>
  <c r="F245" i="3"/>
  <c r="F247" i="3"/>
  <c r="X271" i="3"/>
  <c r="Z271" i="3" s="1"/>
  <c r="F274" i="3"/>
  <c r="F296" i="3"/>
  <c r="N303" i="3"/>
  <c r="P22" i="6"/>
  <c r="T16" i="9"/>
  <c r="X16" i="9" s="1"/>
  <c r="Z69" i="9"/>
  <c r="N74" i="9"/>
  <c r="N26" i="12"/>
  <c r="Z37" i="12"/>
  <c r="Z43" i="12"/>
  <c r="N51" i="12"/>
  <c r="N70" i="12"/>
  <c r="Z77" i="12"/>
  <c r="Z83" i="12"/>
  <c r="N107" i="12"/>
  <c r="X42" i="18"/>
  <c r="Z42" i="18" s="1"/>
  <c r="N299" i="3"/>
  <c r="D16" i="6"/>
  <c r="F24" i="6"/>
  <c r="N14" i="9"/>
  <c r="F23" i="9"/>
  <c r="F27" i="9"/>
  <c r="V34" i="9"/>
  <c r="V38" i="9"/>
  <c r="J46" i="9"/>
  <c r="V50" i="9"/>
  <c r="F55" i="9"/>
  <c r="J56" i="9"/>
  <c r="F63" i="9"/>
  <c r="V66" i="9"/>
  <c r="J70" i="9"/>
  <c r="V74" i="9"/>
  <c r="V78" i="9"/>
  <c r="J82" i="9"/>
  <c r="V86" i="9"/>
  <c r="F93" i="9"/>
  <c r="H12" i="12"/>
  <c r="Z14" i="12"/>
  <c r="Z18" i="12"/>
  <c r="Z22" i="12"/>
  <c r="Z26" i="12"/>
  <c r="Z30" i="12"/>
  <c r="Z34" i="12"/>
  <c r="Z38" i="12"/>
  <c r="Z42" i="12"/>
  <c r="Z46" i="12"/>
  <c r="Z50" i="12"/>
  <c r="Z54" i="12"/>
  <c r="Z58" i="12"/>
  <c r="Z62" i="12"/>
  <c r="Z66" i="12"/>
  <c r="Z70" i="12"/>
  <c r="Z74" i="12"/>
  <c r="Z78" i="12"/>
  <c r="Z82" i="12"/>
  <c r="Z86" i="12"/>
  <c r="Z90" i="12"/>
  <c r="Z94" i="12"/>
  <c r="Z98" i="12"/>
  <c r="L261" i="12"/>
  <c r="X262" i="12"/>
  <c r="Z262" i="12" s="1"/>
  <c r="N264" i="12"/>
  <c r="Z38" i="15"/>
  <c r="N48" i="15"/>
  <c r="Z59" i="15"/>
  <c r="Z61" i="15"/>
  <c r="Z74" i="15"/>
  <c r="N84" i="15"/>
  <c r="L207" i="15"/>
  <c r="N207" i="15" s="1"/>
  <c r="N247" i="15"/>
  <c r="D250" i="15"/>
  <c r="L250" i="15" s="1"/>
  <c r="Z19" i="18"/>
  <c r="Z21" i="18"/>
  <c r="Z38" i="18"/>
  <c r="X38" i="18"/>
  <c r="Z57" i="18"/>
  <c r="Z85" i="18"/>
  <c r="X98" i="18"/>
  <c r="Z98" i="18" s="1"/>
  <c r="Z113" i="18"/>
  <c r="V28" i="9"/>
  <c r="J32" i="9"/>
  <c r="J36" i="9"/>
  <c r="J44" i="9"/>
  <c r="V48" i="9"/>
  <c r="V60" i="9"/>
  <c r="V64" i="9"/>
  <c r="J68" i="9"/>
  <c r="V72" i="9"/>
  <c r="J76" i="9"/>
  <c r="F80" i="9"/>
  <c r="F81" i="9"/>
  <c r="V84" i="9"/>
  <c r="L167" i="12"/>
  <c r="N167" i="12" s="1"/>
  <c r="N208" i="12"/>
  <c r="Z250" i="12"/>
  <c r="Z252" i="12"/>
  <c r="Z27" i="15"/>
  <c r="Z29" i="15"/>
  <c r="Z48" i="15"/>
  <c r="Z67" i="15"/>
  <c r="Z69" i="15"/>
  <c r="Z99" i="15"/>
  <c r="Z161" i="15"/>
  <c r="Z213" i="15"/>
  <c r="N227" i="15"/>
  <c r="N241" i="15"/>
  <c r="N253" i="15"/>
  <c r="L255" i="15"/>
  <c r="N255" i="15" s="1"/>
  <c r="Z23" i="18"/>
  <c r="Z25" i="18"/>
  <c r="N52" i="18"/>
  <c r="Z63" i="18"/>
  <c r="Z74" i="18"/>
  <c r="X74" i="18"/>
  <c r="Z89" i="18"/>
  <c r="Z119" i="18"/>
  <c r="L228" i="18"/>
  <c r="N228" i="18" s="1"/>
  <c r="R24" i="6"/>
  <c r="V14" i="9"/>
  <c r="V16" i="9"/>
  <c r="V18" i="9"/>
  <c r="J22" i="9"/>
  <c r="J26" i="9"/>
  <c r="J30" i="9"/>
  <c r="F35" i="9"/>
  <c r="J42" i="9"/>
  <c r="V46" i="9"/>
  <c r="J54" i="9"/>
  <c r="V58" i="9"/>
  <c r="J62" i="9"/>
  <c r="F67" i="9"/>
  <c r="V70" i="9"/>
  <c r="F74" i="9"/>
  <c r="F75" i="9"/>
  <c r="F79" i="9"/>
  <c r="J80" i="9"/>
  <c r="V82" i="9"/>
  <c r="F87" i="9"/>
  <c r="Z256" i="12"/>
  <c r="Z35" i="15"/>
  <c r="Z37" i="15"/>
  <c r="Z73" i="15"/>
  <c r="Z103" i="15"/>
  <c r="Z205" i="15"/>
  <c r="Z227" i="15"/>
  <c r="Z243" i="15"/>
  <c r="Z251" i="15"/>
  <c r="Z31" i="18"/>
  <c r="Z33" i="18"/>
  <c r="X50" i="18"/>
  <c r="Z50" i="18" s="1"/>
  <c r="Z67" i="18"/>
  <c r="Z69" i="18"/>
  <c r="Z123" i="18"/>
  <c r="R223" i="18"/>
  <c r="X280" i="18"/>
  <c r="Z280" i="18" s="1"/>
  <c r="Z82" i="18"/>
  <c r="X82" i="18"/>
  <c r="Z110" i="18"/>
  <c r="X110" i="18"/>
  <c r="N275" i="18"/>
  <c r="H296" i="3"/>
  <c r="J296" i="3" s="1"/>
  <c r="J52" i="9"/>
  <c r="V56" i="9"/>
  <c r="F60" i="9"/>
  <c r="F61" i="9"/>
  <c r="V68" i="9"/>
  <c r="F72" i="9"/>
  <c r="F73" i="9"/>
  <c r="J74" i="9"/>
  <c r="V76" i="9"/>
  <c r="N186" i="12"/>
  <c r="N238" i="12"/>
  <c r="H259" i="12"/>
  <c r="Z43" i="15"/>
  <c r="X18" i="18"/>
  <c r="Z18" i="18" s="1"/>
  <c r="Z41" i="18"/>
  <c r="Z101" i="18"/>
  <c r="R14" i="6"/>
  <c r="R16" i="6"/>
  <c r="R18" i="6"/>
  <c r="R20" i="6"/>
  <c r="D16" i="9"/>
  <c r="J21" i="9"/>
  <c r="J25" i="9"/>
  <c r="J29" i="9"/>
  <c r="F34" i="9"/>
  <c r="F38" i="9"/>
  <c r="J39" i="9"/>
  <c r="V45" i="9"/>
  <c r="F49" i="9"/>
  <c r="F50" i="9"/>
  <c r="J51" i="9"/>
  <c r="J61" i="9"/>
  <c r="F65" i="9"/>
  <c r="F66" i="9"/>
  <c r="V69" i="9"/>
  <c r="J73" i="9"/>
  <c r="F78" i="9"/>
  <c r="V81" i="9"/>
  <c r="F85" i="9"/>
  <c r="F86" i="9"/>
  <c r="N214" i="12"/>
  <c r="L218" i="12"/>
  <c r="L238" i="12"/>
  <c r="Z266" i="12"/>
  <c r="L15" i="15"/>
  <c r="N15" i="15" s="1"/>
  <c r="D12" i="15"/>
  <c r="Z22" i="15"/>
  <c r="N32" i="15"/>
  <c r="Z45" i="15"/>
  <c r="Z58" i="15"/>
  <c r="N72" i="15"/>
  <c r="Z79" i="15"/>
  <c r="Z81" i="15"/>
  <c r="Z94" i="15"/>
  <c r="X173" i="15"/>
  <c r="Z173" i="15" s="1"/>
  <c r="N181" i="15"/>
  <c r="N183" i="15"/>
  <c r="H250" i="15"/>
  <c r="Z257" i="15"/>
  <c r="Z22" i="18"/>
  <c r="X22" i="18"/>
  <c r="Z43" i="18"/>
  <c r="X58" i="18"/>
  <c r="Z58" i="18" s="1"/>
  <c r="Z73" i="18"/>
  <c r="Z86" i="18"/>
  <c r="X86" i="18"/>
  <c r="Z114" i="18"/>
  <c r="X114" i="18"/>
  <c r="N125" i="18"/>
  <c r="R239" i="18"/>
  <c r="T16" i="6"/>
  <c r="X16" i="6" s="1"/>
  <c r="V22" i="9"/>
  <c r="V26" i="9"/>
  <c r="V30" i="9"/>
  <c r="J34" i="9"/>
  <c r="J38" i="9"/>
  <c r="V42" i="9"/>
  <c r="J50" i="9"/>
  <c r="V54" i="9"/>
  <c r="F58" i="9"/>
  <c r="F59" i="9"/>
  <c r="J60" i="9"/>
  <c r="V62" i="9"/>
  <c r="J66" i="9"/>
  <c r="F71" i="9"/>
  <c r="J72" i="9"/>
  <c r="J78" i="9"/>
  <c r="J86" i="9"/>
  <c r="L178" i="12"/>
  <c r="N178" i="12" s="1"/>
  <c r="Z193" i="12"/>
  <c r="N218" i="12"/>
  <c r="N220" i="12"/>
  <c r="P259" i="12"/>
  <c r="P12" i="15"/>
  <c r="N36" i="15"/>
  <c r="Z49" i="15"/>
  <c r="Z85" i="15"/>
  <c r="N191" i="15"/>
  <c r="X62" i="18"/>
  <c r="Z62" i="18" s="1"/>
  <c r="Z75" i="18"/>
  <c r="Z77" i="18"/>
  <c r="Z105" i="18"/>
  <c r="Z118" i="18"/>
  <c r="X118" i="18"/>
  <c r="X287" i="18"/>
  <c r="P275" i="18"/>
  <c r="T12" i="21"/>
  <c r="Z13" i="21"/>
  <c r="V14" i="6"/>
  <c r="V16" i="6"/>
  <c r="V18" i="6"/>
  <c r="V20" i="6"/>
  <c r="F26" i="6"/>
  <c r="F28" i="6"/>
  <c r="F29" i="6"/>
  <c r="F19" i="9"/>
  <c r="F20" i="9"/>
  <c r="F24" i="9"/>
  <c r="F28" i="9"/>
  <c r="V31" i="9"/>
  <c r="V35" i="9"/>
  <c r="V43" i="9"/>
  <c r="F47" i="9"/>
  <c r="F48" i="9"/>
  <c r="J49" i="9"/>
  <c r="J59" i="9"/>
  <c r="F64" i="9"/>
  <c r="J65" i="9"/>
  <c r="V67" i="9"/>
  <c r="J71" i="9"/>
  <c r="V75" i="9"/>
  <c r="V79" i="9"/>
  <c r="F83" i="9"/>
  <c r="F84" i="9"/>
  <c r="J85" i="9"/>
  <c r="V87" i="9"/>
  <c r="V89" i="9"/>
  <c r="V91" i="9"/>
  <c r="F95" i="9"/>
  <c r="F98" i="9"/>
  <c r="Z186" i="12"/>
  <c r="Z188" i="12"/>
  <c r="Z212" i="12"/>
  <c r="L220" i="12"/>
  <c r="Z260" i="12"/>
  <c r="T259" i="12"/>
  <c r="Z268" i="12"/>
  <c r="T12" i="15"/>
  <c r="Z89" i="15"/>
  <c r="R282" i="18"/>
  <c r="R252" i="18"/>
  <c r="R251" i="18"/>
  <c r="R232" i="18"/>
  <c r="R231" i="18"/>
  <c r="R195" i="18"/>
  <c r="R191" i="18"/>
  <c r="R280" i="18"/>
  <c r="R253" i="18"/>
  <c r="R241" i="18"/>
  <c r="R234" i="18"/>
  <c r="R233" i="18"/>
  <c r="R206" i="18"/>
  <c r="R205" i="18"/>
  <c r="R201" i="18"/>
  <c r="R186" i="18"/>
  <c r="R184" i="18"/>
  <c r="R279" i="18"/>
  <c r="R264" i="18"/>
  <c r="R248" i="18"/>
  <c r="R225" i="18"/>
  <c r="R224" i="18"/>
  <c r="R196" i="18"/>
  <c r="R192" i="18"/>
  <c r="R188" i="18"/>
  <c r="P184" i="18"/>
  <c r="R278" i="18"/>
  <c r="R272" i="18"/>
  <c r="R271" i="18"/>
  <c r="R259" i="18"/>
  <c r="R236" i="18"/>
  <c r="R235" i="18"/>
  <c r="R216" i="18"/>
  <c r="R215" i="18"/>
  <c r="R208" i="18"/>
  <c r="R207" i="18"/>
  <c r="R179" i="18"/>
  <c r="R175" i="18"/>
  <c r="R171" i="18"/>
  <c r="R167" i="18"/>
  <c r="R163" i="18"/>
  <c r="R159" i="18"/>
  <c r="R155" i="18"/>
  <c r="R151" i="18"/>
  <c r="R277" i="18"/>
  <c r="R255" i="18"/>
  <c r="R254" i="18"/>
  <c r="R243" i="18"/>
  <c r="R242" i="18"/>
  <c r="R226" i="18"/>
  <c r="R202" i="18"/>
  <c r="R276" i="18"/>
  <c r="R273" i="18"/>
  <c r="R266" i="18"/>
  <c r="R265" i="18"/>
  <c r="R249" i="18"/>
  <c r="R238" i="18"/>
  <c r="R237" i="18"/>
  <c r="R217" i="18"/>
  <c r="R209" i="18"/>
  <c r="R198" i="18"/>
  <c r="R197" i="18"/>
  <c r="R193" i="18"/>
  <c r="R189" i="18"/>
  <c r="R287" i="18"/>
  <c r="R275" i="18"/>
  <c r="R260" i="18"/>
  <c r="R256" i="18"/>
  <c r="R244" i="18"/>
  <c r="R285" i="18"/>
  <c r="R250" i="18"/>
  <c r="R219" i="18"/>
  <c r="R218" i="18"/>
  <c r="R211" i="18"/>
  <c r="R210" i="18"/>
  <c r="R194" i="18"/>
  <c r="R190" i="18"/>
  <c r="R291" i="18"/>
  <c r="R284" i="18"/>
  <c r="R269" i="18"/>
  <c r="R261" i="18"/>
  <c r="R257" i="18"/>
  <c r="R245" i="18"/>
  <c r="R230" i="18"/>
  <c r="R229" i="18"/>
  <c r="R283" i="18"/>
  <c r="R240" i="18"/>
  <c r="R221" i="18"/>
  <c r="R220" i="18"/>
  <c r="R213" i="18"/>
  <c r="R212" i="18"/>
  <c r="R204" i="18"/>
  <c r="R200" i="18"/>
  <c r="R268" i="18"/>
  <c r="R263" i="18"/>
  <c r="R227" i="18"/>
  <c r="R182" i="18"/>
  <c r="R180" i="18"/>
  <c r="R166" i="18"/>
  <c r="R157" i="18"/>
  <c r="R152" i="18"/>
  <c r="R149" i="18"/>
  <c r="R145" i="18"/>
  <c r="R141" i="18"/>
  <c r="R137" i="18"/>
  <c r="R133" i="18"/>
  <c r="R129" i="18"/>
  <c r="R214" i="18"/>
  <c r="R173" i="18"/>
  <c r="R164" i="18"/>
  <c r="R125" i="18"/>
  <c r="X12" i="18"/>
  <c r="R270" i="18"/>
  <c r="R247" i="18"/>
  <c r="R178" i="18"/>
  <c r="R281" i="18"/>
  <c r="R222" i="18"/>
  <c r="R176" i="18"/>
  <c r="R169" i="18"/>
  <c r="R162" i="18"/>
  <c r="R160" i="18"/>
  <c r="R150" i="18"/>
  <c r="R146" i="18"/>
  <c r="R142" i="18"/>
  <c r="R138" i="18"/>
  <c r="R134" i="18"/>
  <c r="R130" i="18"/>
  <c r="R126" i="18"/>
  <c r="R258" i="18"/>
  <c r="R203" i="18"/>
  <c r="R286" i="18"/>
  <c r="R267" i="18"/>
  <c r="R228" i="18"/>
  <c r="R181" i="18"/>
  <c r="R174" i="18"/>
  <c r="R158" i="18"/>
  <c r="R153" i="18"/>
  <c r="R147" i="18"/>
  <c r="R143" i="18"/>
  <c r="R139" i="18"/>
  <c r="R135" i="18"/>
  <c r="R131" i="18"/>
  <c r="R127" i="18"/>
  <c r="R262" i="18"/>
  <c r="R172" i="18"/>
  <c r="R165" i="18"/>
  <c r="R156" i="18"/>
  <c r="R246" i="18"/>
  <c r="R177" i="18"/>
  <c r="R170" i="18"/>
  <c r="R168" i="18"/>
  <c r="R161" i="18"/>
  <c r="R148" i="18"/>
  <c r="R144" i="18"/>
  <c r="R140" i="18"/>
  <c r="R136" i="18"/>
  <c r="R132" i="18"/>
  <c r="R128" i="18"/>
  <c r="R199" i="18"/>
  <c r="R154" i="18"/>
  <c r="X26" i="18"/>
  <c r="Z26" i="18" s="1"/>
  <c r="Z90" i="18"/>
  <c r="X90" i="18"/>
  <c r="N96" i="18"/>
  <c r="Z107" i="18"/>
  <c r="V80" i="9"/>
  <c r="J84" i="9"/>
  <c r="Z214" i="12"/>
  <c r="Z216" i="12"/>
  <c r="N262" i="12"/>
  <c r="Z17" i="15"/>
  <c r="Z53" i="15"/>
  <c r="Z107" i="15"/>
  <c r="Z259" i="15"/>
  <c r="X30" i="18"/>
  <c r="Z30" i="18" s="1"/>
  <c r="N40" i="18"/>
  <c r="Z53" i="18"/>
  <c r="Z66" i="18"/>
  <c r="X66" i="18"/>
  <c r="Z68" i="18"/>
  <c r="Z79" i="18"/>
  <c r="Z81" i="18"/>
  <c r="Z94" i="18"/>
  <c r="X94" i="18"/>
  <c r="N100" i="18"/>
  <c r="Z122" i="18"/>
  <c r="X122" i="18"/>
  <c r="J19" i="9"/>
  <c r="V21" i="9"/>
  <c r="V25" i="9"/>
  <c r="V29" i="9"/>
  <c r="J33" i="9"/>
  <c r="J37" i="9"/>
  <c r="V41" i="9"/>
  <c r="F45" i="9"/>
  <c r="F46" i="9"/>
  <c r="J47" i="9"/>
  <c r="V53" i="9"/>
  <c r="J57" i="9"/>
  <c r="V61" i="9"/>
  <c r="F69" i="9"/>
  <c r="F70" i="9"/>
  <c r="J77" i="9"/>
  <c r="J83" i="9"/>
  <c r="J95" i="9"/>
  <c r="Z166" i="12"/>
  <c r="Z196" i="12"/>
  <c r="Z21" i="15"/>
  <c r="Z57" i="15"/>
  <c r="Z93" i="15"/>
  <c r="N161" i="15"/>
  <c r="N211" i="15"/>
  <c r="Z34" i="18"/>
  <c r="X34" i="18"/>
  <c r="Z70" i="18"/>
  <c r="X70" i="18"/>
  <c r="N260" i="12"/>
  <c r="Z181" i="15"/>
  <c r="Z209" i="15"/>
  <c r="N243" i="15"/>
  <c r="J161" i="18"/>
  <c r="J236" i="18"/>
  <c r="N255" i="18"/>
  <c r="X285" i="18"/>
  <c r="Z285" i="18" s="1"/>
  <c r="X13" i="21"/>
  <c r="X17" i="21"/>
  <c r="Z17" i="21" s="1"/>
  <c r="X21" i="21"/>
  <c r="Z21" i="21" s="1"/>
  <c r="J127" i="18"/>
  <c r="J131" i="18"/>
  <c r="J135" i="18"/>
  <c r="J139" i="18"/>
  <c r="J143" i="18"/>
  <c r="J147" i="18"/>
  <c r="J151" i="18"/>
  <c r="J179" i="18"/>
  <c r="J181" i="18"/>
  <c r="J219" i="18"/>
  <c r="Z225" i="18"/>
  <c r="X234" i="18"/>
  <c r="Z234" i="18" s="1"/>
  <c r="J242" i="18"/>
  <c r="J269" i="18"/>
  <c r="N284" i="18"/>
  <c r="Z287" i="18"/>
  <c r="L23" i="21"/>
  <c r="N23" i="21" s="1"/>
  <c r="F48" i="21"/>
  <c r="L63" i="21"/>
  <c r="N63" i="21" s="1"/>
  <c r="T250" i="15"/>
  <c r="Z187" i="18"/>
  <c r="N211" i="18"/>
  <c r="Z219" i="18"/>
  <c r="L279" i="18"/>
  <c r="N286" i="18"/>
  <c r="L286" i="18"/>
  <c r="H12" i="21"/>
  <c r="L14" i="21"/>
  <c r="N14" i="21" s="1"/>
  <c r="L18" i="21"/>
  <c r="N18" i="21" s="1"/>
  <c r="F39" i="21"/>
  <c r="J286" i="18"/>
  <c r="J268" i="18"/>
  <c r="J250" i="18"/>
  <c r="J228" i="18"/>
  <c r="J218" i="18"/>
  <c r="J210" i="18"/>
  <c r="J194" i="18"/>
  <c r="J190" i="18"/>
  <c r="J284" i="18"/>
  <c r="J240" i="18"/>
  <c r="J230" i="18"/>
  <c r="J220" i="18"/>
  <c r="J212" i="18"/>
  <c r="J204" i="18"/>
  <c r="J200" i="18"/>
  <c r="J283" i="18"/>
  <c r="J251" i="18"/>
  <c r="J231" i="18"/>
  <c r="J221" i="18"/>
  <c r="J213" i="18"/>
  <c r="J195" i="18"/>
  <c r="J191" i="18"/>
  <c r="J282" i="18"/>
  <c r="J270" i="18"/>
  <c r="J262" i="18"/>
  <c r="J258" i="18"/>
  <c r="J252" i="18"/>
  <c r="J246" i="18"/>
  <c r="J232" i="18"/>
  <c r="J222" i="18"/>
  <c r="J214" i="18"/>
  <c r="J182" i="18"/>
  <c r="J178" i="18"/>
  <c r="J174" i="18"/>
  <c r="J170" i="18"/>
  <c r="J166" i="18"/>
  <c r="J162" i="18"/>
  <c r="J158" i="18"/>
  <c r="J154" i="18"/>
  <c r="J281" i="18"/>
  <c r="J263" i="18"/>
  <c r="J253" i="18"/>
  <c r="J247" i="18"/>
  <c r="J241" i="18"/>
  <c r="J233" i="18"/>
  <c r="J223" i="18"/>
  <c r="J205" i="18"/>
  <c r="J201" i="18"/>
  <c r="J187" i="18"/>
  <c r="J280" i="18"/>
  <c r="J264" i="18"/>
  <c r="J248" i="18"/>
  <c r="J234" i="18"/>
  <c r="J224" i="18"/>
  <c r="J206" i="18"/>
  <c r="J196" i="18"/>
  <c r="J192" i="18"/>
  <c r="J188" i="18"/>
  <c r="J186" i="18"/>
  <c r="J279" i="18"/>
  <c r="J271" i="18"/>
  <c r="J259" i="18"/>
  <c r="J235" i="18"/>
  <c r="J225" i="18"/>
  <c r="J215" i="18"/>
  <c r="J207" i="18"/>
  <c r="H184" i="18"/>
  <c r="J184" i="18" s="1"/>
  <c r="J277" i="18"/>
  <c r="J273" i="18"/>
  <c r="J265" i="18"/>
  <c r="J255" i="18"/>
  <c r="J249" i="18"/>
  <c r="J243" i="18"/>
  <c r="J237" i="18"/>
  <c r="J217" i="18"/>
  <c r="J209" i="18"/>
  <c r="J197" i="18"/>
  <c r="J193" i="18"/>
  <c r="J189" i="18"/>
  <c r="J276" i="18"/>
  <c r="J266" i="18"/>
  <c r="J260" i="18"/>
  <c r="J256" i="18"/>
  <c r="J244" i="18"/>
  <c r="J238" i="18"/>
  <c r="J287" i="18"/>
  <c r="J275" i="18"/>
  <c r="J267" i="18"/>
  <c r="J239" i="18"/>
  <c r="J227" i="18"/>
  <c r="J203" i="18"/>
  <c r="J199" i="18"/>
  <c r="J126" i="18"/>
  <c r="J130" i="18"/>
  <c r="J134" i="18"/>
  <c r="J138" i="18"/>
  <c r="J142" i="18"/>
  <c r="J146" i="18"/>
  <c r="J150" i="18"/>
  <c r="J160" i="18"/>
  <c r="J169" i="18"/>
  <c r="J176" i="18"/>
  <c r="J211" i="18"/>
  <c r="J226" i="18"/>
  <c r="J254" i="18"/>
  <c r="N279" i="18"/>
  <c r="J291" i="18"/>
  <c r="L55" i="21"/>
  <c r="N55" i="21" s="1"/>
  <c r="D259" i="12"/>
  <c r="L259" i="12" s="1"/>
  <c r="Z13" i="15"/>
  <c r="L16" i="18"/>
  <c r="N16" i="18" s="1"/>
  <c r="L20" i="18"/>
  <c r="N20" i="18" s="1"/>
  <c r="L24" i="18"/>
  <c r="N24" i="18" s="1"/>
  <c r="L28" i="18"/>
  <c r="N28" i="18" s="1"/>
  <c r="L32" i="18"/>
  <c r="N32" i="18" s="1"/>
  <c r="L36" i="18"/>
  <c r="N36" i="18" s="1"/>
  <c r="L40" i="18"/>
  <c r="L44" i="18"/>
  <c r="L48" i="18"/>
  <c r="L52" i="18"/>
  <c r="L56" i="18"/>
  <c r="L60" i="18"/>
  <c r="N60" i="18" s="1"/>
  <c r="L64" i="18"/>
  <c r="N64" i="18" s="1"/>
  <c r="L68" i="18"/>
  <c r="N68" i="18" s="1"/>
  <c r="L72" i="18"/>
  <c r="N72" i="18" s="1"/>
  <c r="L76" i="18"/>
  <c r="N76" i="18" s="1"/>
  <c r="L80" i="18"/>
  <c r="N80" i="18" s="1"/>
  <c r="L84" i="18"/>
  <c r="N84" i="18" s="1"/>
  <c r="L88" i="18"/>
  <c r="L92" i="18"/>
  <c r="N92" i="18" s="1"/>
  <c r="L96" i="18"/>
  <c r="L100" i="18"/>
  <c r="L104" i="18"/>
  <c r="N104" i="18" s="1"/>
  <c r="L108" i="18"/>
  <c r="L112" i="18"/>
  <c r="N112" i="18" s="1"/>
  <c r="L116" i="18"/>
  <c r="L120" i="18"/>
  <c r="J125" i="18"/>
  <c r="J155" i="18"/>
  <c r="J198" i="18"/>
  <c r="D275" i="18"/>
  <c r="L275" i="18" s="1"/>
  <c r="L276" i="18"/>
  <c r="N276" i="18" s="1"/>
  <c r="Z14" i="21"/>
  <c r="Z18" i="21"/>
  <c r="X48" i="21"/>
  <c r="Z48" i="21" s="1"/>
  <c r="X13" i="18"/>
  <c r="J164" i="18"/>
  <c r="J171" i="18"/>
  <c r="J173" i="18"/>
  <c r="N186" i="18"/>
  <c r="Z211" i="18"/>
  <c r="N247" i="18"/>
  <c r="X16" i="15"/>
  <c r="Z16" i="15" s="1"/>
  <c r="X20" i="15"/>
  <c r="Z20" i="15" s="1"/>
  <c r="X24" i="15"/>
  <c r="Z24" i="15" s="1"/>
  <c r="X28" i="15"/>
  <c r="Z28" i="15" s="1"/>
  <c r="X32" i="15"/>
  <c r="Z32" i="15" s="1"/>
  <c r="X36" i="15"/>
  <c r="Z36" i="15" s="1"/>
  <c r="X40" i="15"/>
  <c r="Z40" i="15" s="1"/>
  <c r="X44" i="15"/>
  <c r="Z44" i="15" s="1"/>
  <c r="X48" i="15"/>
  <c r="X52" i="15"/>
  <c r="Z52" i="15" s="1"/>
  <c r="X56" i="15"/>
  <c r="X60" i="15"/>
  <c r="Z60" i="15" s="1"/>
  <c r="X64" i="15"/>
  <c r="Z64" i="15" s="1"/>
  <c r="X68" i="15"/>
  <c r="X72" i="15"/>
  <c r="Z72" i="15" s="1"/>
  <c r="X76" i="15"/>
  <c r="Z76" i="15" s="1"/>
  <c r="X80" i="15"/>
  <c r="Z80" i="15" s="1"/>
  <c r="J129" i="18"/>
  <c r="J133" i="18"/>
  <c r="J137" i="18"/>
  <c r="J141" i="18"/>
  <c r="J145" i="18"/>
  <c r="J149" i="18"/>
  <c r="J152" i="18"/>
  <c r="J157" i="18"/>
  <c r="J180" i="18"/>
  <c r="X186" i="18"/>
  <c r="Z186" i="18" s="1"/>
  <c r="J229" i="18"/>
  <c r="J245" i="18"/>
  <c r="J272" i="18"/>
  <c r="F33" i="21"/>
  <c r="X29" i="24"/>
  <c r="Z29" i="24" s="1"/>
  <c r="L24" i="27"/>
  <c r="N24" i="27"/>
  <c r="J216" i="18"/>
  <c r="N243" i="18"/>
  <c r="J261" i="18"/>
  <c r="N268" i="18"/>
  <c r="L268" i="18"/>
  <c r="J278" i="18"/>
  <c r="F109" i="21"/>
  <c r="F106" i="21"/>
  <c r="F83" i="21"/>
  <c r="F82" i="21"/>
  <c r="F94" i="21"/>
  <c r="F93" i="21"/>
  <c r="F78" i="21"/>
  <c r="F77" i="21"/>
  <c r="F70" i="21"/>
  <c r="F69" i="21"/>
  <c r="F58" i="21"/>
  <c r="F57" i="21"/>
  <c r="F89" i="21"/>
  <c r="F85" i="21"/>
  <c r="F84" i="21"/>
  <c r="F98" i="21"/>
  <c r="F97" i="21"/>
  <c r="F90" i="21"/>
  <c r="F86" i="21"/>
  <c r="F62" i="21"/>
  <c r="F61" i="21"/>
  <c r="F104" i="21"/>
  <c r="F74" i="21"/>
  <c r="F66" i="21"/>
  <c r="F65" i="21"/>
  <c r="F54" i="21"/>
  <c r="F92" i="21"/>
  <c r="F88" i="21"/>
  <c r="F95" i="21"/>
  <c r="F64" i="21"/>
  <c r="F25" i="21"/>
  <c r="F81" i="21"/>
  <c r="F67" i="21"/>
  <c r="F79" i="21"/>
  <c r="F76" i="21"/>
  <c r="F55" i="21"/>
  <c r="F35" i="21"/>
  <c r="F31" i="21"/>
  <c r="F30" i="21"/>
  <c r="F102" i="21"/>
  <c r="F71" i="21"/>
  <c r="F52" i="21"/>
  <c r="F29" i="21"/>
  <c r="F27" i="21"/>
  <c r="F59" i="21"/>
  <c r="F53" i="21"/>
  <c r="F45" i="21"/>
  <c r="F41" i="21"/>
  <c r="D27" i="21"/>
  <c r="F96" i="21"/>
  <c r="F68" i="21"/>
  <c r="F36" i="21"/>
  <c r="F32" i="21"/>
  <c r="F91" i="21"/>
  <c r="F56" i="21"/>
  <c r="F47" i="21"/>
  <c r="F46" i="21"/>
  <c r="F87" i="21"/>
  <c r="F72" i="21"/>
  <c r="F42" i="21"/>
  <c r="F100" i="21"/>
  <c r="F63" i="21"/>
  <c r="F24" i="21"/>
  <c r="F23" i="21"/>
  <c r="F75" i="21"/>
  <c r="F43" i="21"/>
  <c r="F73" i="21"/>
  <c r="F51" i="21"/>
  <c r="F50" i="21"/>
  <c r="F38" i="21"/>
  <c r="F34" i="21"/>
  <c r="F80" i="21"/>
  <c r="X16" i="18"/>
  <c r="Z16" i="18" s="1"/>
  <c r="X20" i="18"/>
  <c r="Z20" i="18" s="1"/>
  <c r="X24" i="18"/>
  <c r="Z24" i="18" s="1"/>
  <c r="X28" i="18"/>
  <c r="Z28" i="18" s="1"/>
  <c r="X32" i="18"/>
  <c r="Z32" i="18" s="1"/>
  <c r="X36" i="18"/>
  <c r="Z36" i="18" s="1"/>
  <c r="X40" i="18"/>
  <c r="Z40" i="18" s="1"/>
  <c r="X44" i="18"/>
  <c r="Z44" i="18" s="1"/>
  <c r="X48" i="18"/>
  <c r="Z48" i="18" s="1"/>
  <c r="X52" i="18"/>
  <c r="Z52" i="18" s="1"/>
  <c r="X56" i="18"/>
  <c r="Z56" i="18" s="1"/>
  <c r="X60" i="18"/>
  <c r="Z60" i="18" s="1"/>
  <c r="X64" i="18"/>
  <c r="Z64" i="18" s="1"/>
  <c r="X68" i="18"/>
  <c r="X72" i="18"/>
  <c r="Z72" i="18" s="1"/>
  <c r="X76" i="18"/>
  <c r="Z76" i="18" s="1"/>
  <c r="X80" i="18"/>
  <c r="Z80" i="18" s="1"/>
  <c r="X84" i="18"/>
  <c r="Z84" i="18" s="1"/>
  <c r="X88" i="18"/>
  <c r="Z88" i="18" s="1"/>
  <c r="X92" i="18"/>
  <c r="Z92" i="18" s="1"/>
  <c r="X96" i="18"/>
  <c r="Z96" i="18" s="1"/>
  <c r="X100" i="18"/>
  <c r="Z100" i="18" s="1"/>
  <c r="X104" i="18"/>
  <c r="Z104" i="18" s="1"/>
  <c r="X108" i="18"/>
  <c r="Z108" i="18" s="1"/>
  <c r="X112" i="18"/>
  <c r="Z112" i="18" s="1"/>
  <c r="X116" i="18"/>
  <c r="Z116" i="18" s="1"/>
  <c r="X120" i="18"/>
  <c r="Z120" i="18" s="1"/>
  <c r="J159" i="18"/>
  <c r="J175" i="18"/>
  <c r="F60" i="21"/>
  <c r="J128" i="18"/>
  <c r="J132" i="18"/>
  <c r="J136" i="18"/>
  <c r="J140" i="18"/>
  <c r="J144" i="18"/>
  <c r="J148" i="18"/>
  <c r="J168" i="18"/>
  <c r="J177" i="18"/>
  <c r="J208" i="18"/>
  <c r="Z216" i="18"/>
  <c r="L225" i="18"/>
  <c r="N225" i="18" s="1"/>
  <c r="J257" i="18"/>
  <c r="J285" i="18"/>
  <c r="X29" i="21"/>
  <c r="Z29" i="21" s="1"/>
  <c r="P12" i="21"/>
  <c r="Z17" i="24"/>
  <c r="Z42" i="24"/>
  <c r="H12" i="27"/>
  <c r="L16" i="27"/>
  <c r="N16" i="27" s="1"/>
  <c r="Z27" i="27"/>
  <c r="L56" i="30"/>
  <c r="N56" i="30" s="1"/>
  <c r="F95" i="36"/>
  <c r="F91" i="36"/>
  <c r="F90" i="36"/>
  <c r="F75" i="36"/>
  <c r="F74" i="36"/>
  <c r="F47" i="36"/>
  <c r="F43" i="36"/>
  <c r="F114" i="36"/>
  <c r="F113" i="36"/>
  <c r="F106" i="36"/>
  <c r="F102" i="36"/>
  <c r="F66" i="36"/>
  <c r="F65" i="36"/>
  <c r="F38" i="36"/>
  <c r="F34" i="36"/>
  <c r="F97" i="36"/>
  <c r="F96" i="36"/>
  <c r="F85" i="36"/>
  <c r="F77" i="36"/>
  <c r="F76" i="36"/>
  <c r="F57" i="36"/>
  <c r="F92" i="36"/>
  <c r="F68" i="36"/>
  <c r="F67" i="36"/>
  <c r="F48" i="36"/>
  <c r="F44" i="36"/>
  <c r="L12" i="36"/>
  <c r="F115" i="36"/>
  <c r="F107" i="36"/>
  <c r="F103" i="36"/>
  <c r="F79" i="36"/>
  <c r="F78" i="36"/>
  <c r="F39" i="36"/>
  <c r="F35" i="36"/>
  <c r="F98" i="36"/>
  <c r="F86" i="36"/>
  <c r="F70" i="36"/>
  <c r="F69" i="36"/>
  <c r="F58" i="36"/>
  <c r="F50" i="36"/>
  <c r="F49" i="36"/>
  <c r="F26" i="36"/>
  <c r="F93" i="36"/>
  <c r="F81" i="36"/>
  <c r="F80" i="36"/>
  <c r="F45" i="36"/>
  <c r="F116" i="36"/>
  <c r="F108" i="36"/>
  <c r="F104" i="36"/>
  <c r="F100" i="36"/>
  <c r="F99" i="36"/>
  <c r="F88" i="36"/>
  <c r="F87" i="36"/>
  <c r="F60" i="36"/>
  <c r="F59" i="36"/>
  <c r="F52" i="36"/>
  <c r="F51" i="36"/>
  <c r="F40" i="36"/>
  <c r="F36" i="36"/>
  <c r="F32" i="36"/>
  <c r="F31" i="36"/>
  <c r="F83" i="36"/>
  <c r="F82" i="36"/>
  <c r="F71" i="36"/>
  <c r="F30" i="36"/>
  <c r="F28" i="36"/>
  <c r="F123" i="36"/>
  <c r="F118" i="36"/>
  <c r="F117" i="36"/>
  <c r="F110" i="36"/>
  <c r="F109" i="36"/>
  <c r="F94" i="36"/>
  <c r="F62" i="36"/>
  <c r="F61" i="36"/>
  <c r="F54" i="36"/>
  <c r="F53" i="36"/>
  <c r="F46" i="36"/>
  <c r="F42" i="36"/>
  <c r="F41" i="36"/>
  <c r="D28" i="36"/>
  <c r="F121" i="36"/>
  <c r="F112" i="36"/>
  <c r="F111" i="36"/>
  <c r="F84" i="36"/>
  <c r="F64" i="36"/>
  <c r="F63" i="36"/>
  <c r="F56" i="36"/>
  <c r="F55" i="36"/>
  <c r="F33" i="36"/>
  <c r="F105" i="36"/>
  <c r="F73" i="36"/>
  <c r="F25" i="36"/>
  <c r="F122" i="36"/>
  <c r="F89" i="36"/>
  <c r="F127" i="36"/>
  <c r="F101" i="36"/>
  <c r="F72" i="36"/>
  <c r="F24" i="36"/>
  <c r="F37" i="36"/>
  <c r="X52" i="21"/>
  <c r="Z52" i="21" s="1"/>
  <c r="L100" i="21"/>
  <c r="N31" i="27"/>
  <c r="Z55" i="21"/>
  <c r="X67" i="21"/>
  <c r="Z67" i="21" s="1"/>
  <c r="X71" i="21"/>
  <c r="Z71" i="21" s="1"/>
  <c r="X95" i="21"/>
  <c r="Z95" i="21" s="1"/>
  <c r="N97" i="21"/>
  <c r="N26" i="24"/>
  <c r="Z34" i="24"/>
  <c r="X37" i="24"/>
  <c r="Z37" i="24" s="1"/>
  <c r="Z39" i="24"/>
  <c r="L46" i="24"/>
  <c r="Z100" i="24"/>
  <c r="N20" i="27"/>
  <c r="L20" i="27"/>
  <c r="X230" i="18"/>
  <c r="Z230" i="18" s="1"/>
  <c r="N277" i="18"/>
  <c r="N69" i="21"/>
  <c r="N18" i="24"/>
  <c r="Z31" i="24"/>
  <c r="X97" i="24"/>
  <c r="Z97" i="24" s="1"/>
  <c r="Z104" i="24"/>
  <c r="X112" i="24"/>
  <c r="N28" i="27"/>
  <c r="L28" i="27"/>
  <c r="Z33" i="27"/>
  <c r="Z37" i="39"/>
  <c r="X37" i="39"/>
  <c r="T275" i="18"/>
  <c r="Z21" i="24"/>
  <c r="N38" i="24"/>
  <c r="Z46" i="24"/>
  <c r="Z77" i="24"/>
  <c r="L87" i="24"/>
  <c r="N87" i="24" s="1"/>
  <c r="Z112" i="24"/>
  <c r="Z35" i="27"/>
  <c r="X35" i="27"/>
  <c r="Z82" i="27"/>
  <c r="L104" i="27"/>
  <c r="N104" i="27" s="1"/>
  <c r="Z75" i="21"/>
  <c r="P12" i="27"/>
  <c r="X13" i="27"/>
  <c r="X84" i="27"/>
  <c r="Z84" i="27" s="1"/>
  <c r="N65" i="21"/>
  <c r="T12" i="24"/>
  <c r="Z13" i="24"/>
  <c r="X15" i="24"/>
  <c r="Z15" i="24" s="1"/>
  <c r="P12" i="24"/>
  <c r="N30" i="24"/>
  <c r="X41" i="24"/>
  <c r="Z41" i="24" s="1"/>
  <c r="Z43" i="24"/>
  <c r="Z114" i="24"/>
  <c r="T12" i="27"/>
  <c r="X20" i="30"/>
  <c r="P12" i="30"/>
  <c r="D12" i="24"/>
  <c r="X13" i="24"/>
  <c r="L22" i="24"/>
  <c r="N22" i="24" s="1"/>
  <c r="Z33" i="24"/>
  <c r="N78" i="24"/>
  <c r="N64" i="27"/>
  <c r="Z26" i="30"/>
  <c r="L65" i="21"/>
  <c r="N93" i="21"/>
  <c r="Z30" i="24"/>
  <c r="L42" i="24"/>
  <c r="N42" i="24" s="1"/>
  <c r="X87" i="27"/>
  <c r="Z87" i="27" s="1"/>
  <c r="N15" i="30"/>
  <c r="L19" i="30"/>
  <c r="L63" i="36"/>
  <c r="N63" i="36" s="1"/>
  <c r="Z59" i="21"/>
  <c r="L61" i="21"/>
  <c r="N61" i="21" s="1"/>
  <c r="X84" i="21"/>
  <c r="Z84" i="21" s="1"/>
  <c r="N14" i="24"/>
  <c r="H12" i="24"/>
  <c r="Z22" i="24"/>
  <c r="X25" i="24"/>
  <c r="Z25" i="24" s="1"/>
  <c r="Z27" i="24"/>
  <c r="L34" i="24"/>
  <c r="N34" i="24" s="1"/>
  <c r="Z45" i="24"/>
  <c r="N50" i="24"/>
  <c r="L102" i="24"/>
  <c r="Z126" i="24"/>
  <c r="X19" i="27"/>
  <c r="Z19" i="27" s="1"/>
  <c r="D12" i="27"/>
  <c r="L35" i="27"/>
  <c r="Z36" i="27"/>
  <c r="X82" i="27"/>
  <c r="L47" i="30"/>
  <c r="N47" i="30" s="1"/>
  <c r="L51" i="30"/>
  <c r="X110" i="30"/>
  <c r="Z110" i="30" s="1"/>
  <c r="X13" i="33"/>
  <c r="T12" i="33"/>
  <c r="Z13" i="33"/>
  <c r="X127" i="24"/>
  <c r="Z127" i="24" s="1"/>
  <c r="L13" i="27"/>
  <c r="Z89" i="27"/>
  <c r="X98" i="27"/>
  <c r="Z98" i="27" s="1"/>
  <c r="L119" i="27"/>
  <c r="N119" i="27" s="1"/>
  <c r="H12" i="30"/>
  <c r="L15" i="30"/>
  <c r="Z20" i="30"/>
  <c r="Z97" i="30"/>
  <c r="X97" i="30"/>
  <c r="Z113" i="30"/>
  <c r="N124" i="30"/>
  <c r="L124" i="30"/>
  <c r="Z16" i="27"/>
  <c r="Z24" i="27"/>
  <c r="N43" i="27"/>
  <c r="N108" i="27"/>
  <c r="Z160" i="30"/>
  <c r="X160" i="30"/>
  <c r="D98" i="33"/>
  <c r="J114" i="36"/>
  <c r="J106" i="36"/>
  <c r="J102" i="36"/>
  <c r="J96" i="36"/>
  <c r="J76" i="36"/>
  <c r="J66" i="36"/>
  <c r="J38" i="36"/>
  <c r="J34" i="36"/>
  <c r="J24" i="36"/>
  <c r="J97" i="36"/>
  <c r="J85" i="36"/>
  <c r="J77" i="36"/>
  <c r="J67" i="36"/>
  <c r="J57" i="36"/>
  <c r="J25" i="36"/>
  <c r="J92" i="36"/>
  <c r="J78" i="36"/>
  <c r="J68" i="36"/>
  <c r="J48" i="36"/>
  <c r="J44" i="36"/>
  <c r="J115" i="36"/>
  <c r="J107" i="36"/>
  <c r="J103" i="36"/>
  <c r="J79" i="36"/>
  <c r="J69" i="36"/>
  <c r="J49" i="36"/>
  <c r="J39" i="36"/>
  <c r="J35" i="36"/>
  <c r="J98" i="36"/>
  <c r="J86" i="36"/>
  <c r="J80" i="36"/>
  <c r="J70" i="36"/>
  <c r="J58" i="36"/>
  <c r="J50" i="36"/>
  <c r="J26" i="36"/>
  <c r="J99" i="36"/>
  <c r="J93" i="36"/>
  <c r="J87" i="36"/>
  <c r="J81" i="36"/>
  <c r="J59" i="36"/>
  <c r="J51" i="36"/>
  <c r="J45" i="36"/>
  <c r="J31" i="36"/>
  <c r="J116" i="36"/>
  <c r="J108" i="36"/>
  <c r="J104" i="36"/>
  <c r="J100" i="36"/>
  <c r="J88" i="36"/>
  <c r="J82" i="36"/>
  <c r="J60" i="36"/>
  <c r="J52" i="36"/>
  <c r="J40" i="36"/>
  <c r="J36" i="36"/>
  <c r="J32" i="36"/>
  <c r="J30" i="36"/>
  <c r="J28" i="36"/>
  <c r="J123" i="36"/>
  <c r="J117" i="36"/>
  <c r="J109" i="36"/>
  <c r="J83" i="36"/>
  <c r="J71" i="36"/>
  <c r="J61" i="36"/>
  <c r="J53" i="36"/>
  <c r="J41" i="36"/>
  <c r="H28" i="36"/>
  <c r="J122" i="36"/>
  <c r="J118" i="36"/>
  <c r="J110" i="36"/>
  <c r="J94" i="36"/>
  <c r="J72" i="36"/>
  <c r="J62" i="36"/>
  <c r="J54" i="36"/>
  <c r="J46" i="36"/>
  <c r="J42" i="36"/>
  <c r="J127" i="36"/>
  <c r="J121" i="36"/>
  <c r="J111" i="36"/>
  <c r="J105" i="36"/>
  <c r="J101" i="36"/>
  <c r="J89" i="36"/>
  <c r="J73" i="36"/>
  <c r="J63" i="36"/>
  <c r="J55" i="36"/>
  <c r="J37" i="36"/>
  <c r="J33" i="36"/>
  <c r="J113" i="36"/>
  <c r="J95" i="36"/>
  <c r="J91" i="36"/>
  <c r="J75" i="36"/>
  <c r="J65" i="36"/>
  <c r="J47" i="36"/>
  <c r="J43" i="36"/>
  <c r="J90" i="36"/>
  <c r="N12" i="36"/>
  <c r="J120" i="36"/>
  <c r="J64" i="36"/>
  <c r="J84" i="36"/>
  <c r="J56" i="36"/>
  <c r="N17" i="36"/>
  <c r="N21" i="36"/>
  <c r="L31" i="27"/>
  <c r="Z32" i="27"/>
  <c r="L39" i="27"/>
  <c r="Z40" i="27"/>
  <c r="N63" i="27"/>
  <c r="N23" i="30"/>
  <c r="L27" i="30"/>
  <c r="N27" i="30" s="1"/>
  <c r="Z118" i="30"/>
  <c r="X118" i="30"/>
  <c r="Z128" i="30"/>
  <c r="Z22" i="33"/>
  <c r="N113" i="27"/>
  <c r="L113" i="27"/>
  <c r="D12" i="30"/>
  <c r="Z38" i="30"/>
  <c r="N46" i="30"/>
  <c r="N50" i="30"/>
  <c r="N131" i="30"/>
  <c r="N138" i="30"/>
  <c r="L152" i="30"/>
  <c r="N152" i="30" s="1"/>
  <c r="Z15" i="27"/>
  <c r="Z23" i="27"/>
  <c r="N101" i="27"/>
  <c r="X108" i="27"/>
  <c r="Z108" i="27" s="1"/>
  <c r="N111" i="27"/>
  <c r="Z40" i="30"/>
  <c r="Z42" i="30"/>
  <c r="L104" i="30"/>
  <c r="N104" i="30" s="1"/>
  <c r="X159" i="30"/>
  <c r="Z159" i="30" s="1"/>
  <c r="T158" i="30"/>
  <c r="L123" i="24"/>
  <c r="Z39" i="27"/>
  <c r="X64" i="27"/>
  <c r="Z64" i="27" s="1"/>
  <c r="N96" i="27"/>
  <c r="Z116" i="27"/>
  <c r="N35" i="30"/>
  <c r="Z46" i="30"/>
  <c r="Z48" i="30"/>
  <c r="Z50" i="30"/>
  <c r="Z52" i="30"/>
  <c r="Z54" i="30"/>
  <c r="L115" i="30"/>
  <c r="N115" i="30" s="1"/>
  <c r="L17" i="33"/>
  <c r="N17" i="33" s="1"/>
  <c r="P122" i="42"/>
  <c r="L19" i="27"/>
  <c r="N19" i="27" s="1"/>
  <c r="Z20" i="27"/>
  <c r="L27" i="27"/>
  <c r="N27" i="27" s="1"/>
  <c r="Z28" i="27"/>
  <c r="X31" i="27"/>
  <c r="Z31" i="27" s="1"/>
  <c r="X39" i="27"/>
  <c r="L84" i="27"/>
  <c r="N84" i="27" s="1"/>
  <c r="L43" i="30"/>
  <c r="J74" i="36"/>
  <c r="J112" i="36"/>
  <c r="N15" i="33"/>
  <c r="Z18" i="33"/>
  <c r="X20" i="33"/>
  <c r="Z20" i="33" s="1"/>
  <c r="Z29" i="33"/>
  <c r="F41" i="33"/>
  <c r="F83" i="33"/>
  <c r="Z69" i="36"/>
  <c r="X69" i="36"/>
  <c r="N117" i="36"/>
  <c r="T12" i="30"/>
  <c r="N19" i="33"/>
  <c r="Z24" i="33"/>
  <c r="F52" i="33"/>
  <c r="Z63" i="33"/>
  <c r="N70" i="33"/>
  <c r="F72" i="33"/>
  <c r="Z76" i="33"/>
  <c r="Z90" i="33"/>
  <c r="L19" i="33"/>
  <c r="N21" i="33"/>
  <c r="Z26" i="33"/>
  <c r="F60" i="33"/>
  <c r="L70" i="33"/>
  <c r="Z83" i="33"/>
  <c r="V98" i="36"/>
  <c r="V86" i="36"/>
  <c r="V82" i="36"/>
  <c r="V70" i="36"/>
  <c r="V58" i="36"/>
  <c r="V50" i="36"/>
  <c r="V30" i="36"/>
  <c r="V26" i="36"/>
  <c r="V123" i="36"/>
  <c r="V117" i="36"/>
  <c r="V109" i="36"/>
  <c r="V93" i="36"/>
  <c r="V81" i="36"/>
  <c r="V61" i="36"/>
  <c r="V53" i="36"/>
  <c r="V45" i="36"/>
  <c r="V41" i="36"/>
  <c r="T28" i="36"/>
  <c r="V122" i="36"/>
  <c r="V116" i="36"/>
  <c r="V108" i="36"/>
  <c r="V104" i="36"/>
  <c r="V100" i="36"/>
  <c r="V88" i="36"/>
  <c r="V72" i="36"/>
  <c r="V60" i="36"/>
  <c r="V52" i="36"/>
  <c r="V40" i="36"/>
  <c r="V36" i="36"/>
  <c r="V121" i="36"/>
  <c r="V111" i="36"/>
  <c r="V83" i="36"/>
  <c r="V71" i="36"/>
  <c r="V63" i="36"/>
  <c r="V55" i="36"/>
  <c r="V120" i="36"/>
  <c r="V118" i="36"/>
  <c r="V110" i="36"/>
  <c r="V94" i="36"/>
  <c r="V90" i="36"/>
  <c r="V74" i="36"/>
  <c r="V62" i="36"/>
  <c r="V54" i="36"/>
  <c r="V46" i="36"/>
  <c r="V42" i="36"/>
  <c r="V127" i="36"/>
  <c r="V113" i="36"/>
  <c r="V105" i="36"/>
  <c r="V101" i="36"/>
  <c r="V89" i="36"/>
  <c r="V73" i="36"/>
  <c r="V65" i="36"/>
  <c r="V37" i="36"/>
  <c r="V33" i="36"/>
  <c r="V112" i="36"/>
  <c r="V96" i="36"/>
  <c r="V84" i="36"/>
  <c r="V76" i="36"/>
  <c r="V64" i="36"/>
  <c r="V56" i="36"/>
  <c r="V24" i="36"/>
  <c r="V95" i="36"/>
  <c r="V91" i="36"/>
  <c r="V75" i="36"/>
  <c r="V67" i="36"/>
  <c r="V47" i="36"/>
  <c r="V43" i="36"/>
  <c r="V114" i="36"/>
  <c r="V106" i="36"/>
  <c r="V102" i="36"/>
  <c r="V78" i="36"/>
  <c r="V66" i="36"/>
  <c r="V38" i="36"/>
  <c r="V34" i="36"/>
  <c r="V97" i="36"/>
  <c r="V85" i="36"/>
  <c r="V77" i="36"/>
  <c r="V69" i="36"/>
  <c r="V57" i="36"/>
  <c r="V49" i="36"/>
  <c r="V25" i="36"/>
  <c r="V115" i="36"/>
  <c r="V107" i="36"/>
  <c r="V103" i="36"/>
  <c r="V99" i="36"/>
  <c r="V87" i="36"/>
  <c r="V79" i="36"/>
  <c r="V59" i="36"/>
  <c r="V51" i="36"/>
  <c r="V39" i="36"/>
  <c r="V35" i="36"/>
  <c r="V31" i="36"/>
  <c r="Z24" i="36"/>
  <c r="N61" i="36"/>
  <c r="V68" i="36"/>
  <c r="Z17" i="33"/>
  <c r="L21" i="33"/>
  <c r="N23" i="33"/>
  <c r="F48" i="33"/>
  <c r="F64" i="33"/>
  <c r="N68" i="33"/>
  <c r="L96" i="33"/>
  <c r="L23" i="33"/>
  <c r="L25" i="33"/>
  <c r="N25" i="33" s="1"/>
  <c r="Z28" i="33"/>
  <c r="N40" i="33"/>
  <c r="F44" i="33"/>
  <c r="F46" i="33"/>
  <c r="X68" i="33"/>
  <c r="F84" i="33"/>
  <c r="Z94" i="33"/>
  <c r="X94" i="33"/>
  <c r="H90" i="33"/>
  <c r="N96" i="33"/>
  <c r="Z61" i="36"/>
  <c r="P12" i="33"/>
  <c r="F42" i="33"/>
  <c r="F57" i="33"/>
  <c r="Z68" i="33"/>
  <c r="P90" i="33"/>
  <c r="X90" i="33" s="1"/>
  <c r="V44" i="36"/>
  <c r="X118" i="39"/>
  <c r="Z118" i="39"/>
  <c r="X14" i="33"/>
  <c r="Z21" i="33"/>
  <c r="L27" i="33"/>
  <c r="X40" i="33"/>
  <c r="Z40" i="33" s="1"/>
  <c r="Z96" i="33"/>
  <c r="L14" i="36"/>
  <c r="N14" i="36" s="1"/>
  <c r="L18" i="36"/>
  <c r="N18" i="36" s="1"/>
  <c r="N22" i="36"/>
  <c r="L22" i="36"/>
  <c r="V32" i="36"/>
  <c r="Z49" i="36"/>
  <c r="X49" i="36"/>
  <c r="L111" i="36"/>
  <c r="N111" i="36" s="1"/>
  <c r="X120" i="36"/>
  <c r="Z120" i="36" s="1"/>
  <c r="Z122" i="36"/>
  <c r="N19" i="39"/>
  <c r="L19" i="39"/>
  <c r="Z25" i="39"/>
  <c r="R118" i="42"/>
  <c r="R124" i="42"/>
  <c r="R114" i="42"/>
  <c r="R113" i="42"/>
  <c r="R106" i="42"/>
  <c r="R105" i="42"/>
  <c r="R101" i="42"/>
  <c r="R97" i="42"/>
  <c r="R85" i="42"/>
  <c r="R69" i="42"/>
  <c r="R58" i="42"/>
  <c r="R57" i="42"/>
  <c r="R50" i="42"/>
  <c r="R49" i="42"/>
  <c r="R30" i="42"/>
  <c r="R25" i="42"/>
  <c r="R122" i="42"/>
  <c r="R80" i="42"/>
  <c r="R44" i="42"/>
  <c r="R29" i="42"/>
  <c r="R27" i="42"/>
  <c r="X12" i="42"/>
  <c r="Z12" i="42" s="1"/>
  <c r="R115" i="42"/>
  <c r="R108" i="42"/>
  <c r="R107" i="42"/>
  <c r="R91" i="42"/>
  <c r="R60" i="42"/>
  <c r="R59" i="42"/>
  <c r="R52" i="42"/>
  <c r="R51" i="42"/>
  <c r="R40" i="42"/>
  <c r="R39" i="42"/>
  <c r="R35" i="42"/>
  <c r="R31" i="42"/>
  <c r="R117" i="42"/>
  <c r="R102" i="42"/>
  <c r="R98" i="42"/>
  <c r="R87" i="42"/>
  <c r="R86" i="42"/>
  <c r="R71" i="42"/>
  <c r="R70" i="42"/>
  <c r="R110" i="42"/>
  <c r="R109" i="42"/>
  <c r="R81" i="42"/>
  <c r="R62" i="42"/>
  <c r="R61" i="42"/>
  <c r="R54" i="42"/>
  <c r="R53" i="42"/>
  <c r="R45" i="42"/>
  <c r="R41" i="42"/>
  <c r="R119" i="42"/>
  <c r="R93" i="42"/>
  <c r="R92" i="42"/>
  <c r="R88" i="42"/>
  <c r="R73" i="42"/>
  <c r="R72" i="42"/>
  <c r="R36" i="42"/>
  <c r="R32" i="42"/>
  <c r="R111" i="42"/>
  <c r="R103" i="42"/>
  <c r="R99" i="42"/>
  <c r="R64" i="42"/>
  <c r="R63" i="42"/>
  <c r="R55" i="42"/>
  <c r="R120" i="42"/>
  <c r="R94" i="42"/>
  <c r="R82" i="42"/>
  <c r="R75" i="42"/>
  <c r="R74" i="42"/>
  <c r="R46" i="42"/>
  <c r="R42" i="42"/>
  <c r="R23" i="42"/>
  <c r="R89" i="42"/>
  <c r="R66" i="42"/>
  <c r="R65" i="42"/>
  <c r="R37" i="42"/>
  <c r="R33" i="42"/>
  <c r="R112" i="42"/>
  <c r="R104" i="42"/>
  <c r="R100" i="42"/>
  <c r="R77" i="42"/>
  <c r="R76" i="42"/>
  <c r="R56" i="42"/>
  <c r="R24" i="42"/>
  <c r="R90" i="42"/>
  <c r="R79" i="42"/>
  <c r="R78" i="42"/>
  <c r="R38" i="42"/>
  <c r="R34" i="42"/>
  <c r="R67" i="42"/>
  <c r="R83" i="42"/>
  <c r="R95" i="42"/>
  <c r="R48" i="42"/>
  <c r="R68" i="42"/>
  <c r="R43" i="42"/>
  <c r="R84" i="42"/>
  <c r="R96" i="42"/>
  <c r="R47" i="42"/>
  <c r="L13" i="30"/>
  <c r="L17" i="30"/>
  <c r="L21" i="30"/>
  <c r="N21" i="30" s="1"/>
  <c r="L25" i="30"/>
  <c r="N25" i="30" s="1"/>
  <c r="L29" i="30"/>
  <c r="L33" i="30"/>
  <c r="L37" i="30"/>
  <c r="N37" i="30" s="1"/>
  <c r="L41" i="30"/>
  <c r="L45" i="30"/>
  <c r="N45" i="30" s="1"/>
  <c r="L49" i="30"/>
  <c r="N49" i="30" s="1"/>
  <c r="L53" i="30"/>
  <c r="N53" i="30" s="1"/>
  <c r="Z14" i="33"/>
  <c r="N29" i="33"/>
  <c r="L29" i="33"/>
  <c r="P12" i="36"/>
  <c r="Z41" i="36"/>
  <c r="V92" i="36"/>
  <c r="N13" i="30"/>
  <c r="X104" i="30"/>
  <c r="Z104" i="30" s="1"/>
  <c r="L110" i="30"/>
  <c r="N110" i="30" s="1"/>
  <c r="L118" i="30"/>
  <c r="F82" i="33"/>
  <c r="F78" i="33"/>
  <c r="F62" i="33"/>
  <c r="F61" i="33"/>
  <c r="F34" i="33"/>
  <c r="F53" i="33"/>
  <c r="F98" i="33"/>
  <c r="F96" i="33"/>
  <c r="F79" i="33"/>
  <c r="F35" i="33"/>
  <c r="F100" i="33"/>
  <c r="F95" i="33"/>
  <c r="F86" i="33"/>
  <c r="F85" i="33"/>
  <c r="F54" i="33"/>
  <c r="F94" i="33"/>
  <c r="F73" i="33"/>
  <c r="F65" i="33"/>
  <c r="F49" i="33"/>
  <c r="F45" i="33"/>
  <c r="F93" i="33"/>
  <c r="F88" i="33"/>
  <c r="F87" i="33"/>
  <c r="F80" i="33"/>
  <c r="F56" i="33"/>
  <c r="F55" i="33"/>
  <c r="F36" i="33"/>
  <c r="F32" i="33"/>
  <c r="F31" i="33"/>
  <c r="F92" i="33"/>
  <c r="F75" i="33"/>
  <c r="F74" i="33"/>
  <c r="F67" i="33"/>
  <c r="F66" i="33"/>
  <c r="F51" i="33"/>
  <c r="F50" i="33"/>
  <c r="F91" i="33"/>
  <c r="F90" i="33"/>
  <c r="F81" i="33"/>
  <c r="F77" i="33"/>
  <c r="F76" i="33"/>
  <c r="F69" i="33"/>
  <c r="F68" i="33"/>
  <c r="F40" i="33"/>
  <c r="F38" i="33"/>
  <c r="F33" i="33"/>
  <c r="F71" i="33"/>
  <c r="F70" i="33"/>
  <c r="F47" i="33"/>
  <c r="F43" i="33"/>
  <c r="Z16" i="33"/>
  <c r="F63" i="33"/>
  <c r="N55" i="36"/>
  <c r="L55" i="36"/>
  <c r="D120" i="36"/>
  <c r="L120" i="36" s="1"/>
  <c r="L123" i="36"/>
  <c r="N13" i="33"/>
  <c r="H12" i="33"/>
  <c r="L41" i="33"/>
  <c r="N41" i="33" s="1"/>
  <c r="V80" i="36"/>
  <c r="L121" i="36"/>
  <c r="N121" i="36" s="1"/>
  <c r="H120" i="36"/>
  <c r="T12" i="39"/>
  <c r="Z13" i="39"/>
  <c r="X91" i="33"/>
  <c r="Z91" i="33" s="1"/>
  <c r="Z53" i="36"/>
  <c r="Z109" i="36"/>
  <c r="Z117" i="36"/>
  <c r="Z123" i="36"/>
  <c r="X13" i="39"/>
  <c r="N17" i="39"/>
  <c r="X26" i="39"/>
  <c r="Z26" i="39" s="1"/>
  <c r="L36" i="39"/>
  <c r="N36" i="39" s="1"/>
  <c r="Z57" i="39"/>
  <c r="X57" i="39"/>
  <c r="N76" i="39"/>
  <c r="X17" i="39"/>
  <c r="Z17" i="39" s="1"/>
  <c r="N21" i="39"/>
  <c r="L30" i="39"/>
  <c r="N30" i="39" s="1"/>
  <c r="X36" i="39"/>
  <c r="Z76" i="39"/>
  <c r="Z104" i="39"/>
  <c r="Z116" i="39"/>
  <c r="X128" i="39"/>
  <c r="Z128" i="39" s="1"/>
  <c r="N23" i="42"/>
  <c r="L23" i="39"/>
  <c r="N23" i="39" s="1"/>
  <c r="N25" i="39"/>
  <c r="Z36" i="39"/>
  <c r="Z65" i="39"/>
  <c r="V38" i="42"/>
  <c r="L73" i="42"/>
  <c r="N73" i="42" s="1"/>
  <c r="X79" i="42"/>
  <c r="Z79" i="42" s="1"/>
  <c r="L122" i="36"/>
  <c r="N122" i="36" s="1"/>
  <c r="L25" i="39"/>
  <c r="N27" i="39"/>
  <c r="Z114" i="39"/>
  <c r="X114" i="39"/>
  <c r="L13" i="36"/>
  <c r="N14" i="39"/>
  <c r="X25" i="39"/>
  <c r="X27" i="39"/>
  <c r="Z27" i="39" s="1"/>
  <c r="X30" i="39"/>
  <c r="L92" i="39"/>
  <c r="N92" i="39" s="1"/>
  <c r="N20" i="42"/>
  <c r="Z23" i="42"/>
  <c r="Z87" i="42"/>
  <c r="V114" i="42"/>
  <c r="N13" i="36"/>
  <c r="X14" i="36"/>
  <c r="Z14" i="36" s="1"/>
  <c r="P12" i="39"/>
  <c r="Z30" i="39"/>
  <c r="V50" i="42"/>
  <c r="V90" i="42"/>
  <c r="D34" i="39"/>
  <c r="Z92" i="39"/>
  <c r="X20" i="42"/>
  <c r="Z20" i="42" s="1"/>
  <c r="V34" i="42"/>
  <c r="Z14" i="39"/>
  <c r="X16" i="39"/>
  <c r="N20" i="39"/>
  <c r="Z14" i="42"/>
  <c r="X16" i="42"/>
  <c r="Z16" i="42" s="1"/>
  <c r="N93" i="42"/>
  <c r="L93" i="42"/>
  <c r="L119" i="42"/>
  <c r="N119" i="42" s="1"/>
  <c r="H117" i="42"/>
  <c r="Z16" i="39"/>
  <c r="V120" i="42"/>
  <c r="V119" i="42"/>
  <c r="V124" i="42"/>
  <c r="V108" i="42"/>
  <c r="V80" i="42"/>
  <c r="V60" i="42"/>
  <c r="V52" i="42"/>
  <c r="V44" i="42"/>
  <c r="V40" i="42"/>
  <c r="T27" i="42"/>
  <c r="V115" i="42"/>
  <c r="V107" i="42"/>
  <c r="V91" i="42"/>
  <c r="V87" i="42"/>
  <c r="V71" i="42"/>
  <c r="V59" i="42"/>
  <c r="V51" i="42"/>
  <c r="V39" i="42"/>
  <c r="V35" i="42"/>
  <c r="V31" i="42"/>
  <c r="V118" i="42"/>
  <c r="V110" i="42"/>
  <c r="V102" i="42"/>
  <c r="V98" i="42"/>
  <c r="V86" i="42"/>
  <c r="V70" i="42"/>
  <c r="V62" i="42"/>
  <c r="V54" i="42"/>
  <c r="V109" i="42"/>
  <c r="V93" i="42"/>
  <c r="V81" i="42"/>
  <c r="V73" i="42"/>
  <c r="V61" i="42"/>
  <c r="V53" i="42"/>
  <c r="V45" i="42"/>
  <c r="V41" i="42"/>
  <c r="V92" i="42"/>
  <c r="V88" i="42"/>
  <c r="V72" i="42"/>
  <c r="V64" i="42"/>
  <c r="V36" i="42"/>
  <c r="V32" i="42"/>
  <c r="V111" i="42"/>
  <c r="V103" i="42"/>
  <c r="V99" i="42"/>
  <c r="V75" i="42"/>
  <c r="V63" i="42"/>
  <c r="V55" i="42"/>
  <c r="V23" i="42"/>
  <c r="V94" i="42"/>
  <c r="V82" i="42"/>
  <c r="V74" i="42"/>
  <c r="V66" i="42"/>
  <c r="V46" i="42"/>
  <c r="V42" i="42"/>
  <c r="V89" i="42"/>
  <c r="V77" i="42"/>
  <c r="V65" i="42"/>
  <c r="V37" i="42"/>
  <c r="V33" i="42"/>
  <c r="V112" i="42"/>
  <c r="V104" i="42"/>
  <c r="V100" i="42"/>
  <c r="V96" i="42"/>
  <c r="V84" i="42"/>
  <c r="V76" i="42"/>
  <c r="V68" i="42"/>
  <c r="V56" i="42"/>
  <c r="V48" i="42"/>
  <c r="V24" i="42"/>
  <c r="V95" i="42"/>
  <c r="V83" i="42"/>
  <c r="V79" i="42"/>
  <c r="V67" i="42"/>
  <c r="V47" i="42"/>
  <c r="V43" i="42"/>
  <c r="V113" i="42"/>
  <c r="V105" i="42"/>
  <c r="V101" i="42"/>
  <c r="V97" i="42"/>
  <c r="V85" i="42"/>
  <c r="V69" i="42"/>
  <c r="V57" i="42"/>
  <c r="V49" i="42"/>
  <c r="V29" i="42"/>
  <c r="V27" i="42"/>
  <c r="V25" i="42"/>
  <c r="H12" i="39"/>
  <c r="N13" i="39"/>
  <c r="Z18" i="39"/>
  <c r="X122" i="39"/>
  <c r="Z122" i="39" s="1"/>
  <c r="V58" i="42"/>
  <c r="V106" i="42"/>
  <c r="L13" i="39"/>
  <c r="N15" i="39"/>
  <c r="Z20" i="39"/>
  <c r="X22" i="39"/>
  <c r="Z22" i="39" s="1"/>
  <c r="N47" i="39"/>
  <c r="L76" i="39"/>
  <c r="N95" i="39"/>
  <c r="L104" i="39"/>
  <c r="N104" i="39" s="1"/>
  <c r="N118" i="39"/>
  <c r="T125" i="39"/>
  <c r="D12" i="42"/>
  <c r="L13" i="42"/>
  <c r="N13" i="42" s="1"/>
  <c r="D117" i="42"/>
  <c r="L117" i="42" s="1"/>
  <c r="F41" i="39"/>
  <c r="F45" i="39"/>
  <c r="F97" i="39"/>
  <c r="J23" i="42"/>
  <c r="J33" i="42"/>
  <c r="J37" i="42"/>
  <c r="J65" i="42"/>
  <c r="Z71" i="42"/>
  <c r="J75" i="42"/>
  <c r="J89" i="42"/>
  <c r="N15" i="45"/>
  <c r="L60" i="45"/>
  <c r="N60" i="45" s="1"/>
  <c r="N62" i="45"/>
  <c r="F30" i="39"/>
  <c r="F31" i="39"/>
  <c r="F63" i="39"/>
  <c r="F107" i="39"/>
  <c r="F111" i="39"/>
  <c r="F118" i="39"/>
  <c r="F119" i="39"/>
  <c r="D125" i="39"/>
  <c r="L125" i="39" s="1"/>
  <c r="N125" i="39" s="1"/>
  <c r="Z126" i="39"/>
  <c r="J55" i="42"/>
  <c r="J63" i="42"/>
  <c r="J73" i="42"/>
  <c r="J93" i="42"/>
  <c r="J99" i="42"/>
  <c r="J103" i="42"/>
  <c r="J111" i="42"/>
  <c r="J119" i="42"/>
  <c r="V71" i="45"/>
  <c r="V55" i="45"/>
  <c r="V43" i="45"/>
  <c r="V39" i="45"/>
  <c r="V92" i="45"/>
  <c r="V90" i="45"/>
  <c r="V82" i="45"/>
  <c r="V78" i="45"/>
  <c r="V66" i="45"/>
  <c r="V58" i="45"/>
  <c r="V46" i="45"/>
  <c r="V34" i="45"/>
  <c r="V30" i="45"/>
  <c r="V26" i="45"/>
  <c r="V72" i="45"/>
  <c r="V68" i="45"/>
  <c r="V60" i="45"/>
  <c r="V48" i="45"/>
  <c r="V40" i="45"/>
  <c r="V36" i="45"/>
  <c r="T23" i="45"/>
  <c r="V83" i="45"/>
  <c r="V79" i="45"/>
  <c r="V75" i="45"/>
  <c r="V67" i="45"/>
  <c r="V59" i="45"/>
  <c r="V47" i="45"/>
  <c r="V35" i="45"/>
  <c r="V31" i="45"/>
  <c r="V27" i="45"/>
  <c r="V96" i="45"/>
  <c r="V74" i="45"/>
  <c r="V62" i="45"/>
  <c r="V50" i="45"/>
  <c r="V85" i="45"/>
  <c r="V69" i="45"/>
  <c r="V61" i="45"/>
  <c r="V49" i="45"/>
  <c r="V41" i="45"/>
  <c r="V37" i="45"/>
  <c r="V84" i="45"/>
  <c r="V80" i="45"/>
  <c r="V76" i="45"/>
  <c r="V64" i="45"/>
  <c r="V52" i="45"/>
  <c r="V32" i="45"/>
  <c r="V28" i="45"/>
  <c r="V87" i="45"/>
  <c r="V63" i="45"/>
  <c r="V51" i="45"/>
  <c r="V19" i="45"/>
  <c r="V86" i="45"/>
  <c r="V70" i="45"/>
  <c r="V54" i="45"/>
  <c r="V42" i="45"/>
  <c r="V38" i="45"/>
  <c r="V88" i="45"/>
  <c r="V56" i="45"/>
  <c r="V44" i="45"/>
  <c r="V20" i="45"/>
  <c r="Z15" i="45"/>
  <c r="Z17" i="45"/>
  <c r="V21" i="45"/>
  <c r="Z60" i="45"/>
  <c r="L49" i="48"/>
  <c r="N49" i="48" s="1"/>
  <c r="J58" i="48"/>
  <c r="F100" i="39"/>
  <c r="F125" i="39"/>
  <c r="J54" i="42"/>
  <c r="J62" i="42"/>
  <c r="J72" i="42"/>
  <c r="J88" i="42"/>
  <c r="J92" i="42"/>
  <c r="J110" i="42"/>
  <c r="N36" i="45"/>
  <c r="L36" i="45"/>
  <c r="P12" i="48"/>
  <c r="X13" i="48"/>
  <c r="Z13" i="48" s="1"/>
  <c r="X19" i="48"/>
  <c r="Z19" i="48" s="1"/>
  <c r="Z38" i="48"/>
  <c r="F89" i="39"/>
  <c r="F116" i="39"/>
  <c r="F117" i="39"/>
  <c r="F126" i="39"/>
  <c r="X14" i="42"/>
  <c r="X18" i="42"/>
  <c r="Z18" i="42" s="1"/>
  <c r="J41" i="42"/>
  <c r="J45" i="42"/>
  <c r="J53" i="42"/>
  <c r="J61" i="42"/>
  <c r="J71" i="42"/>
  <c r="J81" i="42"/>
  <c r="J87" i="42"/>
  <c r="J109" i="42"/>
  <c r="J117" i="42"/>
  <c r="J118" i="42"/>
  <c r="N19" i="45"/>
  <c r="N52" i="45"/>
  <c r="L16" i="51"/>
  <c r="N16" i="51" s="1"/>
  <c r="D12" i="51"/>
  <c r="F61" i="39"/>
  <c r="F62" i="39"/>
  <c r="F69" i="39"/>
  <c r="F70" i="39"/>
  <c r="F78" i="39"/>
  <c r="F94" i="39"/>
  <c r="F106" i="39"/>
  <c r="F110" i="39"/>
  <c r="F127" i="39"/>
  <c r="F132" i="39"/>
  <c r="H27" i="42"/>
  <c r="J40" i="42"/>
  <c r="J52" i="42"/>
  <c r="J60" i="42"/>
  <c r="J70" i="42"/>
  <c r="J86" i="42"/>
  <c r="J98" i="42"/>
  <c r="J102" i="42"/>
  <c r="J108" i="42"/>
  <c r="N16" i="45"/>
  <c r="X26" i="45"/>
  <c r="Z26" i="45" s="1"/>
  <c r="L48" i="45"/>
  <c r="N48" i="45" s="1"/>
  <c r="Z56" i="45"/>
  <c r="Z58" i="45"/>
  <c r="V65" i="45"/>
  <c r="V73" i="45"/>
  <c r="V77" i="45"/>
  <c r="X92" i="45"/>
  <c r="Z92" i="45"/>
  <c r="N45" i="48"/>
  <c r="N47" i="48"/>
  <c r="F39" i="39"/>
  <c r="F43" i="39"/>
  <c r="F99" i="39"/>
  <c r="F114" i="39"/>
  <c r="F115" i="39"/>
  <c r="F122" i="39"/>
  <c r="F123" i="39"/>
  <c r="F128" i="39"/>
  <c r="J27" i="42"/>
  <c r="J29" i="42"/>
  <c r="J31" i="42"/>
  <c r="J35" i="42"/>
  <c r="J39" i="42"/>
  <c r="J51" i="42"/>
  <c r="L52" i="42"/>
  <c r="N52" i="42" s="1"/>
  <c r="J59" i="42"/>
  <c r="L60" i="42"/>
  <c r="X66" i="42"/>
  <c r="J91" i="42"/>
  <c r="J107" i="42"/>
  <c r="J115" i="42"/>
  <c r="D12" i="45"/>
  <c r="V23" i="45"/>
  <c r="V29" i="45"/>
  <c r="Z52" i="45"/>
  <c r="Z51" i="48"/>
  <c r="F47" i="39"/>
  <c r="F48" i="39"/>
  <c r="F52" i="39"/>
  <c r="F59" i="39"/>
  <c r="F60" i="39"/>
  <c r="F67" i="39"/>
  <c r="F68" i="39"/>
  <c r="F87" i="39"/>
  <c r="F88" i="39"/>
  <c r="X13" i="42"/>
  <c r="Z13" i="42" s="1"/>
  <c r="J30" i="42"/>
  <c r="J44" i="42"/>
  <c r="J50" i="42"/>
  <c r="J58" i="42"/>
  <c r="J80" i="42"/>
  <c r="J106" i="42"/>
  <c r="J114" i="42"/>
  <c r="X118" i="42"/>
  <c r="Z48" i="45"/>
  <c r="Z54" i="45"/>
  <c r="X54" i="45"/>
  <c r="Z45" i="48"/>
  <c r="L65" i="48"/>
  <c r="D64" i="48"/>
  <c r="V94" i="51"/>
  <c r="V86" i="51"/>
  <c r="V74" i="51"/>
  <c r="V50" i="51"/>
  <c r="V46" i="51"/>
  <c r="V42" i="51"/>
  <c r="V93" i="51"/>
  <c r="V85" i="51"/>
  <c r="V77" i="51"/>
  <c r="V69" i="51"/>
  <c r="V96" i="51"/>
  <c r="V88" i="51"/>
  <c r="V76" i="51"/>
  <c r="V64" i="51"/>
  <c r="V60" i="51"/>
  <c r="V105" i="51"/>
  <c r="V95" i="51"/>
  <c r="V87" i="51"/>
  <c r="V79" i="51"/>
  <c r="V51" i="51"/>
  <c r="V47" i="51"/>
  <c r="V43" i="51"/>
  <c r="V39" i="51"/>
  <c r="V104" i="51"/>
  <c r="V98" i="51"/>
  <c r="V90" i="51"/>
  <c r="V78" i="51"/>
  <c r="V70" i="51"/>
  <c r="V103" i="51"/>
  <c r="V97" i="51"/>
  <c r="V89" i="51"/>
  <c r="V65" i="51"/>
  <c r="V61" i="51"/>
  <c r="V57" i="51"/>
  <c r="V102" i="51"/>
  <c r="V80" i="51"/>
  <c r="V56" i="51"/>
  <c r="V54" i="51"/>
  <c r="V52" i="51"/>
  <c r="V48" i="51"/>
  <c r="V44" i="51"/>
  <c r="V40" i="51"/>
  <c r="V109" i="51"/>
  <c r="V99" i="51"/>
  <c r="V91" i="51"/>
  <c r="V71" i="51"/>
  <c r="V67" i="51"/>
  <c r="T54" i="51"/>
  <c r="V82" i="51"/>
  <c r="V66" i="51"/>
  <c r="V62" i="51"/>
  <c r="V58" i="51"/>
  <c r="V81" i="51"/>
  <c r="V73" i="51"/>
  <c r="V49" i="51"/>
  <c r="V45" i="51"/>
  <c r="V41" i="51"/>
  <c r="V92" i="51"/>
  <c r="V84" i="51"/>
  <c r="V72" i="51"/>
  <c r="V68" i="51"/>
  <c r="V83" i="51"/>
  <c r="V75" i="51"/>
  <c r="V63" i="51"/>
  <c r="V59" i="51"/>
  <c r="F34" i="39"/>
  <c r="F36" i="39"/>
  <c r="F76" i="39"/>
  <c r="F77" i="39"/>
  <c r="F92" i="39"/>
  <c r="F93" i="39"/>
  <c r="F104" i="39"/>
  <c r="F105" i="39"/>
  <c r="F109" i="39"/>
  <c r="F113" i="39"/>
  <c r="F121" i="39"/>
  <c r="J25" i="42"/>
  <c r="J49" i="42"/>
  <c r="J57" i="42"/>
  <c r="J69" i="42"/>
  <c r="J79" i="42"/>
  <c r="J85" i="42"/>
  <c r="J97" i="42"/>
  <c r="J101" i="42"/>
  <c r="J105" i="42"/>
  <c r="J113" i="42"/>
  <c r="Z118" i="42"/>
  <c r="T117" i="42"/>
  <c r="V117" i="42" s="1"/>
  <c r="Z14" i="45"/>
  <c r="N68" i="45"/>
  <c r="L68" i="45"/>
  <c r="N65" i="48"/>
  <c r="Z15" i="48"/>
  <c r="X15" i="48"/>
  <c r="N57" i="48"/>
  <c r="L57" i="48"/>
  <c r="F51" i="39"/>
  <c r="F75" i="39"/>
  <c r="F91" i="39"/>
  <c r="F103" i="39"/>
  <c r="J43" i="42"/>
  <c r="J47" i="42"/>
  <c r="J67" i="42"/>
  <c r="J77" i="42"/>
  <c r="J83" i="42"/>
  <c r="J95" i="42"/>
  <c r="Z44" i="45"/>
  <c r="Z46" i="45"/>
  <c r="V57" i="45"/>
  <c r="J52" i="48"/>
  <c r="J42" i="48"/>
  <c r="J28" i="48"/>
  <c r="J24" i="48"/>
  <c r="J59" i="48"/>
  <c r="J43" i="48"/>
  <c r="J34" i="48"/>
  <c r="J20" i="48"/>
  <c r="J53" i="48"/>
  <c r="J29" i="48"/>
  <c r="J25" i="48"/>
  <c r="J21" i="48"/>
  <c r="J19" i="48"/>
  <c r="J17" i="48"/>
  <c r="J15" i="48"/>
  <c r="J60" i="48"/>
  <c r="J44" i="48"/>
  <c r="J30" i="48"/>
  <c r="H17" i="48"/>
  <c r="J61" i="48"/>
  <c r="J45" i="48"/>
  <c r="J35" i="48"/>
  <c r="J31" i="48"/>
  <c r="J62" i="48"/>
  <c r="J54" i="48"/>
  <c r="J46" i="48"/>
  <c r="J36" i="48"/>
  <c r="J26" i="48"/>
  <c r="J22" i="48"/>
  <c r="J65" i="48"/>
  <c r="J55" i="48"/>
  <c r="J47" i="48"/>
  <c r="J37" i="48"/>
  <c r="J64" i="48"/>
  <c r="J56" i="48"/>
  <c r="J48" i="48"/>
  <c r="J38" i="48"/>
  <c r="J32" i="48"/>
  <c r="J69" i="48"/>
  <c r="J57" i="48"/>
  <c r="J49" i="48"/>
  <c r="J39" i="48"/>
  <c r="J27" i="48"/>
  <c r="J23" i="48"/>
  <c r="J51" i="48"/>
  <c r="J41" i="48"/>
  <c r="J33" i="48"/>
  <c r="T17" i="48"/>
  <c r="Z64" i="48"/>
  <c r="V64" i="48"/>
  <c r="F32" i="39"/>
  <c r="F55" i="39"/>
  <c r="F56" i="39"/>
  <c r="F64" i="39"/>
  <c r="F83" i="39"/>
  <c r="F84" i="39"/>
  <c r="F108" i="39"/>
  <c r="F112" i="39"/>
  <c r="J24" i="42"/>
  <c r="J56" i="42"/>
  <c r="J66" i="42"/>
  <c r="J76" i="42"/>
  <c r="J100" i="42"/>
  <c r="J104" i="42"/>
  <c r="J112" i="42"/>
  <c r="Z25" i="45"/>
  <c r="V53" i="45"/>
  <c r="V81" i="45"/>
  <c r="R29" i="45"/>
  <c r="R33" i="45"/>
  <c r="R53" i="45"/>
  <c r="R54" i="45"/>
  <c r="R65" i="45"/>
  <c r="R77" i="45"/>
  <c r="R81" i="45"/>
  <c r="D12" i="48"/>
  <c r="V21" i="48"/>
  <c r="V25" i="48"/>
  <c r="V29" i="48"/>
  <c r="V45" i="48"/>
  <c r="Z47" i="48"/>
  <c r="V53" i="48"/>
  <c r="Z55" i="48"/>
  <c r="V61" i="48"/>
  <c r="Z65" i="48"/>
  <c r="P12" i="51"/>
  <c r="N101" i="51"/>
  <c r="H12" i="45"/>
  <c r="R51" i="45"/>
  <c r="R52" i="45"/>
  <c r="R63" i="45"/>
  <c r="R64" i="45"/>
  <c r="V15" i="48"/>
  <c r="V17" i="48"/>
  <c r="V19" i="48"/>
  <c r="V43" i="48"/>
  <c r="V59" i="48"/>
  <c r="H64" i="48"/>
  <c r="X14" i="51"/>
  <c r="Z14" i="51" s="1"/>
  <c r="L18" i="51"/>
  <c r="Z104" i="51"/>
  <c r="Z23" i="55"/>
  <c r="N54" i="57"/>
  <c r="R28" i="45"/>
  <c r="R32" i="45"/>
  <c r="R76" i="45"/>
  <c r="R80" i="45"/>
  <c r="R84" i="45"/>
  <c r="R85" i="45"/>
  <c r="V52" i="48"/>
  <c r="P50" i="60"/>
  <c r="X16" i="60"/>
  <c r="R37" i="45"/>
  <c r="R41" i="45"/>
  <c r="R49" i="45"/>
  <c r="R50" i="45"/>
  <c r="R61" i="45"/>
  <c r="R62" i="45"/>
  <c r="R69" i="45"/>
  <c r="V33" i="48"/>
  <c r="V41" i="48"/>
  <c r="H12" i="51"/>
  <c r="Z26" i="51"/>
  <c r="Z13" i="45"/>
  <c r="R74" i="45"/>
  <c r="R75" i="45"/>
  <c r="R96" i="45"/>
  <c r="V42" i="48"/>
  <c r="V50" i="48"/>
  <c r="V58" i="48"/>
  <c r="N13" i="51"/>
  <c r="X16" i="51"/>
  <c r="Z16" i="51" s="1"/>
  <c r="L15" i="45"/>
  <c r="P23" i="45"/>
  <c r="R27" i="45"/>
  <c r="R31" i="45"/>
  <c r="R35" i="45"/>
  <c r="R36" i="45"/>
  <c r="R47" i="45"/>
  <c r="R48" i="45"/>
  <c r="R59" i="45"/>
  <c r="R60" i="45"/>
  <c r="R67" i="45"/>
  <c r="R68" i="45"/>
  <c r="R79" i="45"/>
  <c r="R83" i="45"/>
  <c r="X85" i="45"/>
  <c r="Z85" i="45" s="1"/>
  <c r="V23" i="48"/>
  <c r="V27" i="48"/>
  <c r="V39" i="48"/>
  <c r="V51" i="48"/>
  <c r="P64" i="48"/>
  <c r="X64" i="48" s="1"/>
  <c r="V69" i="48"/>
  <c r="Z18" i="51"/>
  <c r="L25" i="51"/>
  <c r="N25" i="51" s="1"/>
  <c r="X12" i="45"/>
  <c r="Z12" i="45" s="1"/>
  <c r="R23" i="45"/>
  <c r="R25" i="45"/>
  <c r="R40" i="45"/>
  <c r="R72" i="45"/>
  <c r="R73" i="45"/>
  <c r="V32" i="48"/>
  <c r="V40" i="48"/>
  <c r="V48" i="48"/>
  <c r="V56" i="48"/>
  <c r="Z13" i="51"/>
  <c r="X13" i="51"/>
  <c r="L22" i="51"/>
  <c r="N22" i="51" s="1"/>
  <c r="Z30" i="51"/>
  <c r="X101" i="51"/>
  <c r="N18" i="57"/>
  <c r="R21" i="45"/>
  <c r="R26" i="45"/>
  <c r="R45" i="45"/>
  <c r="R46" i="45"/>
  <c r="R57" i="45"/>
  <c r="R58" i="45"/>
  <c r="R92" i="45"/>
  <c r="V37" i="48"/>
  <c r="V49" i="48"/>
  <c r="V57" i="48"/>
  <c r="L17" i="51"/>
  <c r="R39" i="45"/>
  <c r="R43" i="45"/>
  <c r="R44" i="45"/>
  <c r="R55" i="45"/>
  <c r="R56" i="45"/>
  <c r="R71" i="45"/>
  <c r="V31" i="48"/>
  <c r="V35" i="48"/>
  <c r="X38" i="48"/>
  <c r="V47" i="48"/>
  <c r="V55" i="48"/>
  <c r="V65" i="48"/>
  <c r="Z34" i="51"/>
  <c r="Z57" i="51"/>
  <c r="N34" i="56"/>
  <c r="N56" i="56"/>
  <c r="N46" i="57"/>
  <c r="R20" i="45"/>
  <c r="R88" i="45"/>
  <c r="V36" i="48"/>
  <c r="V44" i="48"/>
  <c r="Z22" i="51"/>
  <c r="N21" i="55"/>
  <c r="Z18" i="56"/>
  <c r="J24" i="55"/>
  <c r="P16" i="56"/>
  <c r="V39" i="56"/>
  <c r="J47" i="56"/>
  <c r="R48" i="56"/>
  <c r="F52" i="56"/>
  <c r="V55" i="56"/>
  <c r="J59" i="56"/>
  <c r="R60" i="56"/>
  <c r="R61" i="56"/>
  <c r="V63" i="56"/>
  <c r="T16" i="57"/>
  <c r="R19" i="57"/>
  <c r="V29" i="57"/>
  <c r="R34" i="57"/>
  <c r="R35" i="57"/>
  <c r="V37" i="57"/>
  <c r="J41" i="57"/>
  <c r="V45" i="57"/>
  <c r="J49" i="57"/>
  <c r="V53" i="57"/>
  <c r="J57" i="57"/>
  <c r="V61" i="57"/>
  <c r="J71" i="57"/>
  <c r="R72" i="58"/>
  <c r="R70" i="58"/>
  <c r="R44" i="58"/>
  <c r="R43" i="58"/>
  <c r="R54" i="58"/>
  <c r="R74" i="58"/>
  <c r="R79" i="58"/>
  <c r="R76" i="58"/>
  <c r="R56" i="58"/>
  <c r="R55" i="58"/>
  <c r="R48" i="58"/>
  <c r="R47" i="58"/>
  <c r="R36" i="58"/>
  <c r="R35" i="58"/>
  <c r="R31" i="58"/>
  <c r="R63" i="58"/>
  <c r="R62" i="58"/>
  <c r="R26" i="58"/>
  <c r="R22" i="58"/>
  <c r="R58" i="58"/>
  <c r="R57" i="58"/>
  <c r="R50" i="58"/>
  <c r="R49" i="58"/>
  <c r="R38" i="58"/>
  <c r="R37" i="58"/>
  <c r="R65" i="58"/>
  <c r="R64" i="58"/>
  <c r="R59" i="58"/>
  <c r="R51" i="58"/>
  <c r="R67" i="58"/>
  <c r="R66" i="58"/>
  <c r="R68" i="58"/>
  <c r="R60" i="58"/>
  <c r="R53" i="58"/>
  <c r="R52" i="58"/>
  <c r="R28" i="58"/>
  <c r="R24" i="58"/>
  <c r="R20" i="58"/>
  <c r="J19" i="58"/>
  <c r="R27" i="58"/>
  <c r="R29" i="58"/>
  <c r="J36" i="58"/>
  <c r="Z42" i="58"/>
  <c r="V44" i="58"/>
  <c r="V48" i="58"/>
  <c r="Z67" i="58"/>
  <c r="F79" i="58"/>
  <c r="N38" i="59"/>
  <c r="N53" i="63"/>
  <c r="L53" i="63"/>
  <c r="J66" i="63"/>
  <c r="X87" i="63"/>
  <c r="Z87" i="63" s="1"/>
  <c r="L12" i="54"/>
  <c r="P16" i="54"/>
  <c r="D16" i="55"/>
  <c r="J23" i="55"/>
  <c r="J35" i="55"/>
  <c r="F33" i="56"/>
  <c r="V40" i="56"/>
  <c r="F44" i="56"/>
  <c r="F45" i="56"/>
  <c r="J46" i="56"/>
  <c r="V48" i="56"/>
  <c r="J52" i="56"/>
  <c r="R53" i="56"/>
  <c r="R54" i="56"/>
  <c r="V56" i="56"/>
  <c r="V60" i="56"/>
  <c r="J68" i="56"/>
  <c r="J70" i="56"/>
  <c r="R74" i="56"/>
  <c r="R77" i="56"/>
  <c r="V14" i="57"/>
  <c r="V16" i="57"/>
  <c r="V18" i="57"/>
  <c r="R23" i="57"/>
  <c r="R27" i="57"/>
  <c r="R28" i="57"/>
  <c r="V34" i="57"/>
  <c r="R43" i="57"/>
  <c r="R44" i="57"/>
  <c r="V46" i="57"/>
  <c r="R51" i="57"/>
  <c r="R52" i="57"/>
  <c r="V54" i="57"/>
  <c r="R59" i="57"/>
  <c r="R60" i="57"/>
  <c r="V62" i="57"/>
  <c r="F69" i="57"/>
  <c r="V54" i="58"/>
  <c r="V46" i="58"/>
  <c r="V34" i="58"/>
  <c r="V30" i="58"/>
  <c r="V61" i="58"/>
  <c r="V45" i="58"/>
  <c r="V63" i="58"/>
  <c r="V55" i="58"/>
  <c r="V47" i="58"/>
  <c r="V35" i="58"/>
  <c r="V31" i="58"/>
  <c r="V62" i="58"/>
  <c r="V58" i="58"/>
  <c r="V50" i="58"/>
  <c r="V38" i="58"/>
  <c r="V26" i="58"/>
  <c r="V22" i="58"/>
  <c r="V65" i="58"/>
  <c r="V57" i="58"/>
  <c r="V49" i="58"/>
  <c r="V37" i="58"/>
  <c r="V64" i="58"/>
  <c r="V40" i="58"/>
  <c r="V32" i="58"/>
  <c r="Z12" i="58"/>
  <c r="V67" i="58"/>
  <c r="V59" i="58"/>
  <c r="V51" i="58"/>
  <c r="V66" i="58"/>
  <c r="V42" i="58"/>
  <c r="V53" i="58"/>
  <c r="V41" i="58"/>
  <c r="V33" i="58"/>
  <c r="V43" i="58"/>
  <c r="D76" i="58"/>
  <c r="V27" i="58"/>
  <c r="V29" i="58"/>
  <c r="J31" i="58"/>
  <c r="J33" i="58"/>
  <c r="R41" i="58"/>
  <c r="N63" i="58"/>
  <c r="L63" i="58"/>
  <c r="V70" i="58"/>
  <c r="V79" i="58"/>
  <c r="D101" i="63"/>
  <c r="L16" i="63"/>
  <c r="X59" i="63"/>
  <c r="Z59" i="63" s="1"/>
  <c r="N12" i="54"/>
  <c r="R14" i="54"/>
  <c r="R16" i="54"/>
  <c r="R18" i="54"/>
  <c r="R20" i="54"/>
  <c r="R22" i="54"/>
  <c r="J22" i="55"/>
  <c r="V26" i="55"/>
  <c r="T16" i="56"/>
  <c r="R19" i="56"/>
  <c r="F22" i="56"/>
  <c r="F26" i="56"/>
  <c r="V29" i="56"/>
  <c r="J33" i="56"/>
  <c r="V37" i="56"/>
  <c r="J45" i="56"/>
  <c r="V53" i="56"/>
  <c r="F58" i="56"/>
  <c r="V61" i="56"/>
  <c r="F65" i="56"/>
  <c r="F66" i="56"/>
  <c r="R72" i="56"/>
  <c r="X12" i="57"/>
  <c r="V19" i="57"/>
  <c r="V23" i="57"/>
  <c r="V27" i="57"/>
  <c r="J31" i="57"/>
  <c r="R32" i="57"/>
  <c r="R33" i="57"/>
  <c r="V35" i="57"/>
  <c r="F39" i="57"/>
  <c r="F40" i="57"/>
  <c r="V43" i="57"/>
  <c r="F48" i="57"/>
  <c r="V51" i="57"/>
  <c r="F56" i="57"/>
  <c r="V59" i="57"/>
  <c r="F65" i="57"/>
  <c r="F67" i="57"/>
  <c r="J69" i="57"/>
  <c r="X12" i="58"/>
  <c r="H16" i="58"/>
  <c r="R19" i="58"/>
  <c r="R21" i="58"/>
  <c r="R23" i="58"/>
  <c r="R25" i="58"/>
  <c r="F35" i="58"/>
  <c r="J68" i="58"/>
  <c r="T50" i="60"/>
  <c r="Z16" i="60"/>
  <c r="Z18" i="63"/>
  <c r="Z57" i="63"/>
  <c r="X73" i="51"/>
  <c r="Z73" i="51" s="1"/>
  <c r="L79" i="51"/>
  <c r="T101" i="51"/>
  <c r="V101" i="51" s="1"/>
  <c r="N104" i="51"/>
  <c r="T16" i="54"/>
  <c r="H16" i="55"/>
  <c r="J21" i="55"/>
  <c r="R24" i="55"/>
  <c r="R25" i="55"/>
  <c r="V27" i="55"/>
  <c r="J31" i="55"/>
  <c r="J33" i="55"/>
  <c r="R37" i="55"/>
  <c r="R40" i="55"/>
  <c r="V14" i="56"/>
  <c r="V16" i="56"/>
  <c r="V18" i="56"/>
  <c r="F31" i="56"/>
  <c r="J32" i="56"/>
  <c r="R35" i="56"/>
  <c r="R36" i="56"/>
  <c r="V38" i="56"/>
  <c r="F42" i="56"/>
  <c r="F43" i="56"/>
  <c r="J44" i="56"/>
  <c r="R47" i="56"/>
  <c r="F50" i="56"/>
  <c r="F51" i="56"/>
  <c r="V54" i="56"/>
  <c r="J58" i="56"/>
  <c r="R59" i="56"/>
  <c r="X61" i="56"/>
  <c r="Z61" i="56" s="1"/>
  <c r="J66" i="56"/>
  <c r="V72" i="56"/>
  <c r="V74" i="56"/>
  <c r="V77" i="56"/>
  <c r="Z12" i="57"/>
  <c r="X19" i="57"/>
  <c r="Z19" i="57" s="1"/>
  <c r="V28" i="57"/>
  <c r="V32" i="57"/>
  <c r="X35" i="57"/>
  <c r="Z35" i="57" s="1"/>
  <c r="J40" i="57"/>
  <c r="R41" i="57"/>
  <c r="R42" i="57"/>
  <c r="V44" i="57"/>
  <c r="J48" i="57"/>
  <c r="R49" i="57"/>
  <c r="R50" i="57"/>
  <c r="V52" i="57"/>
  <c r="J56" i="57"/>
  <c r="R57" i="57"/>
  <c r="R58" i="57"/>
  <c r="V60" i="57"/>
  <c r="R74" i="57"/>
  <c r="J16" i="58"/>
  <c r="Z19" i="58"/>
  <c r="V21" i="58"/>
  <c r="V23" i="58"/>
  <c r="V25" i="58"/>
  <c r="J35" i="58"/>
  <c r="J38" i="58"/>
  <c r="F49" i="58"/>
  <c r="F57" i="58"/>
  <c r="L19" i="59"/>
  <c r="N19" i="59" s="1"/>
  <c r="Z53" i="59"/>
  <c r="X53" i="59"/>
  <c r="X14" i="60"/>
  <c r="V14" i="54"/>
  <c r="V16" i="54"/>
  <c r="V18" i="54"/>
  <c r="V20" i="54"/>
  <c r="J14" i="55"/>
  <c r="J16" i="55"/>
  <c r="J18" i="55"/>
  <c r="J20" i="55"/>
  <c r="V27" i="56"/>
  <c r="V35" i="56"/>
  <c r="J43" i="56"/>
  <c r="V47" i="56"/>
  <c r="J51" i="56"/>
  <c r="R52" i="56"/>
  <c r="V59" i="56"/>
  <c r="F63" i="56"/>
  <c r="F64" i="56"/>
  <c r="J65" i="56"/>
  <c r="D16" i="57"/>
  <c r="J21" i="57"/>
  <c r="R22" i="57"/>
  <c r="J25" i="57"/>
  <c r="R26" i="57"/>
  <c r="V33" i="57"/>
  <c r="F37" i="57"/>
  <c r="F38" i="57"/>
  <c r="J39" i="57"/>
  <c r="V41" i="57"/>
  <c r="V49" i="57"/>
  <c r="V57" i="57"/>
  <c r="J65" i="57"/>
  <c r="J67" i="57"/>
  <c r="R71" i="57"/>
  <c r="V19" i="58"/>
  <c r="J28" i="58"/>
  <c r="L30" i="58"/>
  <c r="N30" i="58" s="1"/>
  <c r="R33" i="58"/>
  <c r="V36" i="58"/>
  <c r="F40" i="58"/>
  <c r="R45" i="58"/>
  <c r="V72" i="58"/>
  <c r="N28" i="61"/>
  <c r="L28" i="61"/>
  <c r="Z51" i="63"/>
  <c r="X12" i="54"/>
  <c r="J19" i="55"/>
  <c r="R22" i="55"/>
  <c r="R23" i="55"/>
  <c r="V25" i="55"/>
  <c r="J29" i="55"/>
  <c r="V35" i="55"/>
  <c r="V37" i="55"/>
  <c r="V40" i="55"/>
  <c r="Z12" i="56"/>
  <c r="F21" i="56"/>
  <c r="F25" i="56"/>
  <c r="V28" i="56"/>
  <c r="R33" i="56"/>
  <c r="R34" i="56"/>
  <c r="V36" i="56"/>
  <c r="F40" i="56"/>
  <c r="F41" i="56"/>
  <c r="J42" i="56"/>
  <c r="R45" i="56"/>
  <c r="R46" i="56"/>
  <c r="F49" i="56"/>
  <c r="J50" i="56"/>
  <c r="V52" i="56"/>
  <c r="F56" i="56"/>
  <c r="F57" i="56"/>
  <c r="J64" i="56"/>
  <c r="R68" i="56"/>
  <c r="R70" i="56"/>
  <c r="V22" i="57"/>
  <c r="V26" i="57"/>
  <c r="J30" i="57"/>
  <c r="R31" i="57"/>
  <c r="J38" i="57"/>
  <c r="V42" i="57"/>
  <c r="F46" i="57"/>
  <c r="F47" i="57"/>
  <c r="V50" i="57"/>
  <c r="F54" i="57"/>
  <c r="F55" i="57"/>
  <c r="V58" i="57"/>
  <c r="F62" i="57"/>
  <c r="F63" i="57"/>
  <c r="R69" i="57"/>
  <c r="J14" i="58"/>
  <c r="R18" i="58"/>
  <c r="F30" i="58"/>
  <c r="R61" i="58"/>
  <c r="V68" i="58"/>
  <c r="N44" i="61"/>
  <c r="L44" i="61"/>
  <c r="N45" i="63"/>
  <c r="L45" i="63"/>
  <c r="J54" i="63"/>
  <c r="N99" i="63"/>
  <c r="L99" i="63"/>
  <c r="D16" i="56"/>
  <c r="F61" i="56"/>
  <c r="F62" i="56"/>
  <c r="H16" i="57"/>
  <c r="R40" i="57"/>
  <c r="R48" i="57"/>
  <c r="J55" i="57"/>
  <c r="R56" i="57"/>
  <c r="J63" i="57"/>
  <c r="V69" i="57"/>
  <c r="V71" i="57"/>
  <c r="P76" i="58"/>
  <c r="Z18" i="58"/>
  <c r="J20" i="58"/>
  <c r="J24" i="58"/>
  <c r="J26" i="58"/>
  <c r="V28" i="58"/>
  <c r="J32" i="58"/>
  <c r="J64" i="58"/>
  <c r="X28" i="60"/>
  <c r="Z28" i="60" s="1"/>
  <c r="J72" i="63"/>
  <c r="D16" i="54"/>
  <c r="L12" i="55"/>
  <c r="P16" i="55"/>
  <c r="R20" i="55"/>
  <c r="R21" i="55"/>
  <c r="V23" i="55"/>
  <c r="F27" i="55"/>
  <c r="F28" i="55"/>
  <c r="R31" i="55"/>
  <c r="R33" i="55"/>
  <c r="F14" i="56"/>
  <c r="F16" i="56"/>
  <c r="F18" i="56"/>
  <c r="V22" i="56"/>
  <c r="V26" i="56"/>
  <c r="J30" i="56"/>
  <c r="R31" i="56"/>
  <c r="R32" i="56"/>
  <c r="V34" i="56"/>
  <c r="F38" i="56"/>
  <c r="F39" i="56"/>
  <c r="J40" i="56"/>
  <c r="R43" i="56"/>
  <c r="R44" i="56"/>
  <c r="V46" i="56"/>
  <c r="R51" i="56"/>
  <c r="F54" i="56"/>
  <c r="F55" i="56"/>
  <c r="J56" i="56"/>
  <c r="V58" i="56"/>
  <c r="J62" i="56"/>
  <c r="V66" i="56"/>
  <c r="V68" i="56"/>
  <c r="V70" i="56"/>
  <c r="F74" i="56"/>
  <c r="F77" i="56"/>
  <c r="J14" i="57"/>
  <c r="J16" i="57"/>
  <c r="J18" i="57"/>
  <c r="J20" i="57"/>
  <c r="R21" i="57"/>
  <c r="J24" i="57"/>
  <c r="R25" i="57"/>
  <c r="F28" i="57"/>
  <c r="F29" i="57"/>
  <c r="J36" i="57"/>
  <c r="V40" i="57"/>
  <c r="F44" i="57"/>
  <c r="F45" i="57"/>
  <c r="J46" i="57"/>
  <c r="V48" i="57"/>
  <c r="F52" i="57"/>
  <c r="F53" i="57"/>
  <c r="J54" i="57"/>
  <c r="V56" i="57"/>
  <c r="F60" i="57"/>
  <c r="F61" i="57"/>
  <c r="J62" i="57"/>
  <c r="R16" i="58"/>
  <c r="V18" i="58"/>
  <c r="J22" i="58"/>
  <c r="F37" i="58"/>
  <c r="X40" i="58"/>
  <c r="F48" i="58"/>
  <c r="Z53" i="58"/>
  <c r="X53" i="58"/>
  <c r="V74" i="58"/>
  <c r="N32" i="60"/>
  <c r="N43" i="63"/>
  <c r="L65" i="63"/>
  <c r="N65" i="63" s="1"/>
  <c r="J24" i="54"/>
  <c r="N12" i="55"/>
  <c r="R14" i="55"/>
  <c r="R16" i="55"/>
  <c r="R18" i="55"/>
  <c r="V20" i="55"/>
  <c r="J28" i="55"/>
  <c r="R29" i="55"/>
  <c r="H16" i="56"/>
  <c r="F19" i="56"/>
  <c r="F20" i="56"/>
  <c r="F24" i="56"/>
  <c r="V31" i="56"/>
  <c r="J39" i="56"/>
  <c r="V43" i="56"/>
  <c r="F48" i="56"/>
  <c r="V51" i="56"/>
  <c r="J55" i="56"/>
  <c r="F60" i="56"/>
  <c r="J61" i="56"/>
  <c r="R64" i="56"/>
  <c r="R65" i="56"/>
  <c r="J19" i="57"/>
  <c r="V21" i="57"/>
  <c r="V25" i="57"/>
  <c r="J29" i="57"/>
  <c r="R30" i="57"/>
  <c r="F33" i="57"/>
  <c r="F34" i="57"/>
  <c r="J35" i="57"/>
  <c r="R38" i="57"/>
  <c r="R39" i="57"/>
  <c r="J45" i="57"/>
  <c r="J53" i="57"/>
  <c r="J61" i="57"/>
  <c r="R65" i="57"/>
  <c r="R67" i="57"/>
  <c r="F59" i="58"/>
  <c r="F58" i="58"/>
  <c r="F51" i="58"/>
  <c r="F50" i="58"/>
  <c r="F39" i="58"/>
  <c r="F38" i="58"/>
  <c r="F27" i="58"/>
  <c r="F23" i="58"/>
  <c r="F66" i="58"/>
  <c r="F65" i="58"/>
  <c r="F68" i="58"/>
  <c r="F67" i="58"/>
  <c r="F60" i="58"/>
  <c r="F52" i="58"/>
  <c r="F28" i="58"/>
  <c r="F24" i="58"/>
  <c r="F20" i="58"/>
  <c r="F19" i="58"/>
  <c r="F43" i="58"/>
  <c r="F42" i="58"/>
  <c r="F18" i="58"/>
  <c r="F16" i="58"/>
  <c r="F14" i="58"/>
  <c r="F54" i="58"/>
  <c r="F53" i="58"/>
  <c r="F34" i="58"/>
  <c r="F72" i="58"/>
  <c r="F70" i="58"/>
  <c r="F61" i="58"/>
  <c r="F45" i="58"/>
  <c r="F44" i="58"/>
  <c r="F29" i="58"/>
  <c r="F25" i="58"/>
  <c r="F21" i="58"/>
  <c r="F74" i="58"/>
  <c r="F55" i="58"/>
  <c r="F47" i="58"/>
  <c r="F46" i="58"/>
  <c r="F62" i="58"/>
  <c r="F26" i="58"/>
  <c r="F64" i="58"/>
  <c r="F63" i="58"/>
  <c r="F32" i="58"/>
  <c r="T16" i="58"/>
  <c r="X18" i="58"/>
  <c r="V20" i="58"/>
  <c r="V24" i="58"/>
  <c r="R30" i="58"/>
  <c r="R40" i="58"/>
  <c r="T65" i="59"/>
  <c r="N42" i="61"/>
  <c r="Z19" i="63"/>
  <c r="X17" i="51"/>
  <c r="Z17" i="51" s="1"/>
  <c r="X21" i="51"/>
  <c r="Z21" i="51" s="1"/>
  <c r="X25" i="51"/>
  <c r="Z25" i="51" s="1"/>
  <c r="H16" i="54"/>
  <c r="T16" i="55"/>
  <c r="R19" i="55"/>
  <c r="V21" i="55"/>
  <c r="F25" i="55"/>
  <c r="F26" i="55"/>
  <c r="J27" i="55"/>
  <c r="V29" i="55"/>
  <c r="V31" i="55"/>
  <c r="V33" i="55"/>
  <c r="F37" i="55"/>
  <c r="J14" i="56"/>
  <c r="J16" i="56"/>
  <c r="J18" i="56"/>
  <c r="J20" i="56"/>
  <c r="R21" i="56"/>
  <c r="J24" i="56"/>
  <c r="R25" i="56"/>
  <c r="F28" i="56"/>
  <c r="F29" i="56"/>
  <c r="V32" i="56"/>
  <c r="F36" i="56"/>
  <c r="F37" i="56"/>
  <c r="J38" i="56"/>
  <c r="R41" i="56"/>
  <c r="R42" i="56"/>
  <c r="V44" i="56"/>
  <c r="J48" i="56"/>
  <c r="R49" i="56"/>
  <c r="R50" i="56"/>
  <c r="F53" i="56"/>
  <c r="J54" i="56"/>
  <c r="R57" i="56"/>
  <c r="J60" i="56"/>
  <c r="V64" i="56"/>
  <c r="J74" i="56"/>
  <c r="J77" i="56"/>
  <c r="J28" i="57"/>
  <c r="V30" i="57"/>
  <c r="J34" i="57"/>
  <c r="V38" i="57"/>
  <c r="F42" i="57"/>
  <c r="F43" i="57"/>
  <c r="J44" i="57"/>
  <c r="R47" i="57"/>
  <c r="F50" i="57"/>
  <c r="F51" i="57"/>
  <c r="J52" i="57"/>
  <c r="R55" i="57"/>
  <c r="F58" i="57"/>
  <c r="F59" i="57"/>
  <c r="J60" i="57"/>
  <c r="R63" i="57"/>
  <c r="F74" i="57"/>
  <c r="J66" i="58"/>
  <c r="J40" i="58"/>
  <c r="J67" i="58"/>
  <c r="J41" i="58"/>
  <c r="J53" i="58"/>
  <c r="J43" i="58"/>
  <c r="J72" i="58"/>
  <c r="J70" i="58"/>
  <c r="J54" i="58"/>
  <c r="J44" i="58"/>
  <c r="J34" i="58"/>
  <c r="J61" i="58"/>
  <c r="J45" i="58"/>
  <c r="J29" i="58"/>
  <c r="J25" i="58"/>
  <c r="J21" i="58"/>
  <c r="J74" i="58"/>
  <c r="J46" i="58"/>
  <c r="J30" i="58"/>
  <c r="J55" i="58"/>
  <c r="J47" i="58"/>
  <c r="J79" i="58"/>
  <c r="J76" i="58"/>
  <c r="J62" i="58"/>
  <c r="J56" i="58"/>
  <c r="J48" i="58"/>
  <c r="J63" i="58"/>
  <c r="J57" i="58"/>
  <c r="J49" i="58"/>
  <c r="J37" i="58"/>
  <c r="J65" i="58"/>
  <c r="J59" i="58"/>
  <c r="J51" i="58"/>
  <c r="J39" i="58"/>
  <c r="J27" i="58"/>
  <c r="J23" i="58"/>
  <c r="V16" i="58"/>
  <c r="R32" i="58"/>
  <c r="Z40" i="58"/>
  <c r="J52" i="58"/>
  <c r="J60" i="58"/>
  <c r="N34" i="60"/>
  <c r="L34" i="60"/>
  <c r="J101" i="63"/>
  <c r="J99" i="63"/>
  <c r="J93" i="63"/>
  <c r="J96" i="63"/>
  <c r="J108" i="63"/>
  <c r="J105" i="63"/>
  <c r="J89" i="63"/>
  <c r="J90" i="63"/>
  <c r="J84" i="63"/>
  <c r="J80" i="63"/>
  <c r="J68" i="63"/>
  <c r="J56" i="63"/>
  <c r="J38" i="63"/>
  <c r="J28" i="63"/>
  <c r="J24" i="63"/>
  <c r="J20" i="63"/>
  <c r="J18" i="63"/>
  <c r="J16" i="63"/>
  <c r="J14" i="63"/>
  <c r="J85" i="63"/>
  <c r="J57" i="63"/>
  <c r="J47" i="63"/>
  <c r="J39" i="63"/>
  <c r="H16" i="63"/>
  <c r="J86" i="63"/>
  <c r="J74" i="63"/>
  <c r="J58" i="63"/>
  <c r="J48" i="63"/>
  <c r="J40" i="63"/>
  <c r="J34" i="63"/>
  <c r="J87" i="63"/>
  <c r="J81" i="63"/>
  <c r="J69" i="63"/>
  <c r="J59" i="63"/>
  <c r="J49" i="63"/>
  <c r="J41" i="63"/>
  <c r="J29" i="63"/>
  <c r="J25" i="63"/>
  <c r="J21" i="63"/>
  <c r="J92" i="63"/>
  <c r="J88" i="63"/>
  <c r="J60" i="63"/>
  <c r="J30" i="63"/>
  <c r="J75" i="63"/>
  <c r="J61" i="63"/>
  <c r="J35" i="63"/>
  <c r="J31" i="63"/>
  <c r="J97" i="63"/>
  <c r="J82" i="63"/>
  <c r="J76" i="63"/>
  <c r="J70" i="63"/>
  <c r="J62" i="63"/>
  <c r="J50" i="63"/>
  <c r="J42" i="63"/>
  <c r="J26" i="63"/>
  <c r="J22" i="63"/>
  <c r="J77" i="63"/>
  <c r="J63" i="63"/>
  <c r="J51" i="63"/>
  <c r="J43" i="63"/>
  <c r="J98" i="63"/>
  <c r="J78" i="63"/>
  <c r="J64" i="63"/>
  <c r="J52" i="63"/>
  <c r="J44" i="63"/>
  <c r="J36" i="63"/>
  <c r="J32" i="63"/>
  <c r="N12" i="63"/>
  <c r="J103" i="63"/>
  <c r="J83" i="63"/>
  <c r="J79" i="63"/>
  <c r="J71" i="63"/>
  <c r="J65" i="63"/>
  <c r="J53" i="63"/>
  <c r="J45" i="63"/>
  <c r="J27" i="63"/>
  <c r="J23" i="63"/>
  <c r="L12" i="63"/>
  <c r="J91" i="63"/>
  <c r="J73" i="63"/>
  <c r="J67" i="63"/>
  <c r="J55" i="63"/>
  <c r="J37" i="63"/>
  <c r="J33" i="63"/>
  <c r="J19" i="63"/>
  <c r="J14" i="54"/>
  <c r="J16" i="54"/>
  <c r="J18" i="54"/>
  <c r="J20" i="54"/>
  <c r="R26" i="54"/>
  <c r="R28" i="54"/>
  <c r="R29" i="54"/>
  <c r="R31" i="54"/>
  <c r="V14" i="55"/>
  <c r="V16" i="55"/>
  <c r="V18" i="55"/>
  <c r="J26" i="55"/>
  <c r="V21" i="56"/>
  <c r="V25" i="56"/>
  <c r="J29" i="56"/>
  <c r="R30" i="56"/>
  <c r="J37" i="56"/>
  <c r="V41" i="56"/>
  <c r="V49" i="56"/>
  <c r="J53" i="56"/>
  <c r="V57" i="56"/>
  <c r="R62" i="56"/>
  <c r="R63" i="56"/>
  <c r="V65" i="56"/>
  <c r="F72" i="56"/>
  <c r="P16" i="57"/>
  <c r="R20" i="57"/>
  <c r="J23" i="57"/>
  <c r="R24" i="57"/>
  <c r="J27" i="57"/>
  <c r="F32" i="57"/>
  <c r="J33" i="57"/>
  <c r="R36" i="57"/>
  <c r="R37" i="57"/>
  <c r="V39" i="57"/>
  <c r="J43" i="57"/>
  <c r="V47" i="57"/>
  <c r="J51" i="57"/>
  <c r="V55" i="57"/>
  <c r="J59" i="57"/>
  <c r="V63" i="57"/>
  <c r="V65" i="57"/>
  <c r="V67" i="57"/>
  <c r="F71" i="57"/>
  <c r="L12" i="58"/>
  <c r="X16" i="58"/>
  <c r="Z30" i="58"/>
  <c r="R34" i="58"/>
  <c r="F36" i="58"/>
  <c r="R39" i="58"/>
  <c r="R46" i="58"/>
  <c r="L67" i="58"/>
  <c r="N67" i="58"/>
  <c r="F76" i="58"/>
  <c r="L16" i="59"/>
  <c r="X32" i="60"/>
  <c r="Z32" i="60" s="1"/>
  <c r="Z42" i="61"/>
  <c r="J46" i="63"/>
  <c r="X12" i="55"/>
  <c r="J25" i="55"/>
  <c r="J37" i="55"/>
  <c r="F23" i="56"/>
  <c r="F27" i="56"/>
  <c r="J28" i="56"/>
  <c r="V30" i="56"/>
  <c r="F34" i="56"/>
  <c r="F35" i="56"/>
  <c r="J36" i="56"/>
  <c r="R39" i="56"/>
  <c r="R40" i="56"/>
  <c r="V42" i="56"/>
  <c r="F46" i="56"/>
  <c r="F47" i="56"/>
  <c r="V50" i="56"/>
  <c r="R55" i="56"/>
  <c r="F59" i="56"/>
  <c r="F68" i="56"/>
  <c r="R14" i="57"/>
  <c r="R16" i="57"/>
  <c r="R18" i="57"/>
  <c r="V20" i="57"/>
  <c r="V24" i="57"/>
  <c r="R29" i="57"/>
  <c r="J32" i="57"/>
  <c r="V36" i="57"/>
  <c r="F41" i="57"/>
  <c r="J42" i="57"/>
  <c r="R45" i="57"/>
  <c r="R46" i="57"/>
  <c r="F49" i="57"/>
  <c r="J50" i="57"/>
  <c r="R53" i="57"/>
  <c r="R54" i="57"/>
  <c r="J58" i="57"/>
  <c r="R61" i="57"/>
  <c r="L19" i="58"/>
  <c r="N19" i="58" s="1"/>
  <c r="N36" i="58"/>
  <c r="V39" i="58"/>
  <c r="R42" i="58"/>
  <c r="J50" i="58"/>
  <c r="V52" i="58"/>
  <c r="J58" i="58"/>
  <c r="V60" i="58"/>
  <c r="V76" i="58"/>
  <c r="F36" i="61"/>
  <c r="F35" i="61"/>
  <c r="F24" i="61"/>
  <c r="F20" i="61"/>
  <c r="F19" i="61"/>
  <c r="F18" i="61"/>
  <c r="F16" i="61"/>
  <c r="F14" i="61"/>
  <c r="F49" i="61"/>
  <c r="F47" i="61"/>
  <c r="F38" i="61"/>
  <c r="F37" i="61"/>
  <c r="F30" i="61"/>
  <c r="D16" i="61"/>
  <c r="F51" i="61"/>
  <c r="F25" i="61"/>
  <c r="F21" i="61"/>
  <c r="F40" i="61"/>
  <c r="F39" i="61"/>
  <c r="F31" i="61"/>
  <c r="F56" i="61"/>
  <c r="F53" i="61"/>
  <c r="F26" i="61"/>
  <c r="F22" i="61"/>
  <c r="F41" i="61"/>
  <c r="F32" i="61"/>
  <c r="L12" i="61"/>
  <c r="F43" i="61"/>
  <c r="F42" i="61"/>
  <c r="F27" i="61"/>
  <c r="F23" i="61"/>
  <c r="F45" i="61"/>
  <c r="F44" i="61"/>
  <c r="F29" i="61"/>
  <c r="F28" i="61"/>
  <c r="F33" i="61"/>
  <c r="H16" i="59"/>
  <c r="F19" i="59"/>
  <c r="F20" i="59"/>
  <c r="F24" i="59"/>
  <c r="F28" i="59"/>
  <c r="V31" i="59"/>
  <c r="V35" i="59"/>
  <c r="J43" i="59"/>
  <c r="J51" i="59"/>
  <c r="R52" i="59"/>
  <c r="R53" i="59"/>
  <c r="V55" i="59"/>
  <c r="J59" i="59"/>
  <c r="J61" i="59"/>
  <c r="R65" i="59"/>
  <c r="R68" i="59"/>
  <c r="V14" i="60"/>
  <c r="V16" i="60"/>
  <c r="V18" i="60"/>
  <c r="J22" i="60"/>
  <c r="R23" i="60"/>
  <c r="J26" i="60"/>
  <c r="R27" i="60"/>
  <c r="R28" i="60"/>
  <c r="V30" i="60"/>
  <c r="F34" i="60"/>
  <c r="F35" i="60"/>
  <c r="V38" i="60"/>
  <c r="J42" i="60"/>
  <c r="V46" i="60"/>
  <c r="V48" i="60"/>
  <c r="V50" i="60"/>
  <c r="F54" i="60"/>
  <c r="F57" i="60"/>
  <c r="J14" i="61"/>
  <c r="J16" i="61"/>
  <c r="J18" i="61"/>
  <c r="J20" i="61"/>
  <c r="R21" i="61"/>
  <c r="J24" i="61"/>
  <c r="R25" i="61"/>
  <c r="J36" i="61"/>
  <c r="V40" i="61"/>
  <c r="R51" i="61"/>
  <c r="F103" i="63"/>
  <c r="F98" i="63"/>
  <c r="F97" i="63"/>
  <c r="F96" i="63"/>
  <c r="L14" i="63"/>
  <c r="V21" i="63"/>
  <c r="V25" i="63"/>
  <c r="V29" i="63"/>
  <c r="R34" i="63"/>
  <c r="V41" i="63"/>
  <c r="F45" i="63"/>
  <c r="F46" i="63"/>
  <c r="V49" i="63"/>
  <c r="F53" i="63"/>
  <c r="F54" i="63"/>
  <c r="R58" i="63"/>
  <c r="R59" i="63"/>
  <c r="V61" i="63"/>
  <c r="F65" i="63"/>
  <c r="F66" i="63"/>
  <c r="V69" i="63"/>
  <c r="R74" i="63"/>
  <c r="V81" i="63"/>
  <c r="R86" i="63"/>
  <c r="R87" i="63"/>
  <c r="F94" i="63"/>
  <c r="F99" i="63"/>
  <c r="Z88" i="68"/>
  <c r="Z24" i="70"/>
  <c r="L14" i="59"/>
  <c r="J19" i="59"/>
  <c r="J33" i="59"/>
  <c r="R34" i="59"/>
  <c r="J41" i="59"/>
  <c r="V45" i="59"/>
  <c r="J49" i="59"/>
  <c r="V53" i="59"/>
  <c r="J57" i="59"/>
  <c r="V63" i="59"/>
  <c r="V65" i="59"/>
  <c r="V68" i="59"/>
  <c r="J34" i="60"/>
  <c r="F41" i="60"/>
  <c r="J54" i="60"/>
  <c r="J57" i="60"/>
  <c r="J28" i="61"/>
  <c r="J34" i="61"/>
  <c r="J44" i="61"/>
  <c r="P16" i="63"/>
  <c r="R20" i="63"/>
  <c r="R24" i="63"/>
  <c r="R28" i="63"/>
  <c r="F51" i="63"/>
  <c r="F52" i="63"/>
  <c r="R56" i="63"/>
  <c r="R57" i="63"/>
  <c r="V59" i="63"/>
  <c r="F63" i="63"/>
  <c r="F64" i="63"/>
  <c r="R68" i="63"/>
  <c r="R80" i="63"/>
  <c r="R84" i="63"/>
  <c r="R85" i="63"/>
  <c r="V87" i="63"/>
  <c r="X14" i="67"/>
  <c r="Z18" i="67"/>
  <c r="Z27" i="68"/>
  <c r="Z86" i="68"/>
  <c r="Z20" i="70"/>
  <c r="F38" i="59"/>
  <c r="F39" i="59"/>
  <c r="J40" i="59"/>
  <c r="F47" i="59"/>
  <c r="J48" i="59"/>
  <c r="D16" i="60"/>
  <c r="J41" i="60"/>
  <c r="R42" i="60"/>
  <c r="R43" i="60"/>
  <c r="F52" i="60"/>
  <c r="P16" i="61"/>
  <c r="J23" i="61"/>
  <c r="J27" i="61"/>
  <c r="J33" i="61"/>
  <c r="J43" i="61"/>
  <c r="R49" i="61"/>
  <c r="R14" i="63"/>
  <c r="R16" i="63"/>
  <c r="R18" i="63"/>
  <c r="R33" i="63"/>
  <c r="R37" i="63"/>
  <c r="R38" i="63"/>
  <c r="V56" i="63"/>
  <c r="V68" i="63"/>
  <c r="F76" i="63"/>
  <c r="F77" i="63"/>
  <c r="V80" i="63"/>
  <c r="V84" i="63"/>
  <c r="F90" i="63"/>
  <c r="F93" i="63"/>
  <c r="F108" i="63"/>
  <c r="L12" i="59"/>
  <c r="P16" i="59"/>
  <c r="J23" i="59"/>
  <c r="J27" i="59"/>
  <c r="F32" i="59"/>
  <c r="J39" i="59"/>
  <c r="J47" i="59"/>
  <c r="V51" i="59"/>
  <c r="F55" i="59"/>
  <c r="F56" i="59"/>
  <c r="R59" i="59"/>
  <c r="R61" i="59"/>
  <c r="R35" i="60"/>
  <c r="X45" i="60"/>
  <c r="Z45" i="60" s="1"/>
  <c r="F48" i="60"/>
  <c r="F50" i="60"/>
  <c r="J52" i="60"/>
  <c r="N12" i="61"/>
  <c r="J32" i="61"/>
  <c r="L33" i="61"/>
  <c r="N33" i="61" s="1"/>
  <c r="X39" i="61"/>
  <c r="Z39" i="61" s="1"/>
  <c r="J42" i="61"/>
  <c r="R108" i="63"/>
  <c r="R105" i="63"/>
  <c r="R91" i="63"/>
  <c r="R97" i="63"/>
  <c r="R94" i="63"/>
  <c r="T16" i="63"/>
  <c r="R19" i="63"/>
  <c r="V33" i="63"/>
  <c r="V37" i="63"/>
  <c r="X40" i="63"/>
  <c r="Z40" i="63" s="1"/>
  <c r="F42" i="63"/>
  <c r="R46" i="63"/>
  <c r="X48" i="63"/>
  <c r="Z48" i="63" s="1"/>
  <c r="F50" i="63"/>
  <c r="R54" i="63"/>
  <c r="R55" i="63"/>
  <c r="V57" i="63"/>
  <c r="F61" i="63"/>
  <c r="F62" i="63"/>
  <c r="R66" i="63"/>
  <c r="R67" i="63"/>
  <c r="F70" i="63"/>
  <c r="V73" i="63"/>
  <c r="L78" i="63"/>
  <c r="N78" i="63" s="1"/>
  <c r="F82" i="63"/>
  <c r="V85" i="63"/>
  <c r="F89" i="63"/>
  <c r="H96" i="63"/>
  <c r="N98" i="63"/>
  <c r="R99" i="63"/>
  <c r="F60" i="67"/>
  <c r="F49" i="67"/>
  <c r="F41" i="67"/>
  <c r="F40" i="67"/>
  <c r="F33" i="67"/>
  <c r="F28" i="67"/>
  <c r="F24" i="67"/>
  <c r="F20" i="67"/>
  <c r="F19" i="67"/>
  <c r="F65" i="67"/>
  <c r="F62" i="67"/>
  <c r="F43" i="67"/>
  <c r="F42" i="67"/>
  <c r="F18" i="67"/>
  <c r="F16" i="67"/>
  <c r="F14" i="67"/>
  <c r="F50" i="67"/>
  <c r="F34" i="67"/>
  <c r="F30" i="67"/>
  <c r="F29" i="67"/>
  <c r="D16" i="67"/>
  <c r="F45" i="67"/>
  <c r="F44" i="67"/>
  <c r="F25" i="67"/>
  <c r="F21" i="67"/>
  <c r="F52" i="67"/>
  <c r="F51" i="67"/>
  <c r="F35" i="67"/>
  <c r="F31" i="67"/>
  <c r="F54" i="67"/>
  <c r="F53" i="67"/>
  <c r="F46" i="67"/>
  <c r="F37" i="67"/>
  <c r="F36" i="67"/>
  <c r="F48" i="67"/>
  <c r="F47" i="67"/>
  <c r="F32" i="67"/>
  <c r="F58" i="67"/>
  <c r="F56" i="67"/>
  <c r="F39" i="67"/>
  <c r="F38" i="67"/>
  <c r="F27" i="67"/>
  <c r="F23" i="67"/>
  <c r="H16" i="67"/>
  <c r="Z19" i="68"/>
  <c r="Z25" i="68"/>
  <c r="Z29" i="68"/>
  <c r="Z35" i="68"/>
  <c r="Z70" i="68"/>
  <c r="N40" i="69"/>
  <c r="Z46" i="69"/>
  <c r="Z16" i="70"/>
  <c r="Z40" i="70"/>
  <c r="N12" i="59"/>
  <c r="R14" i="59"/>
  <c r="R16" i="59"/>
  <c r="R18" i="59"/>
  <c r="V20" i="59"/>
  <c r="V24" i="59"/>
  <c r="V28" i="59"/>
  <c r="J32" i="59"/>
  <c r="R33" i="59"/>
  <c r="F36" i="59"/>
  <c r="F37" i="59"/>
  <c r="J38" i="59"/>
  <c r="R41" i="59"/>
  <c r="R42" i="59"/>
  <c r="V44" i="59"/>
  <c r="R49" i="59"/>
  <c r="R50" i="59"/>
  <c r="J56" i="59"/>
  <c r="R57" i="59"/>
  <c r="H16" i="60"/>
  <c r="F19" i="60"/>
  <c r="F20" i="60"/>
  <c r="F24" i="60"/>
  <c r="J31" i="60"/>
  <c r="V35" i="60"/>
  <c r="F39" i="60"/>
  <c r="F40" i="60"/>
  <c r="V43" i="60"/>
  <c r="T16" i="61"/>
  <c r="R19" i="61"/>
  <c r="V29" i="61"/>
  <c r="R34" i="61"/>
  <c r="R35" i="61"/>
  <c r="V37" i="61"/>
  <c r="J41" i="61"/>
  <c r="V45" i="61"/>
  <c r="V47" i="61"/>
  <c r="V49" i="61"/>
  <c r="V91" i="63"/>
  <c r="V108" i="63"/>
  <c r="V105" i="63"/>
  <c r="V103" i="63"/>
  <c r="V14" i="63"/>
  <c r="V16" i="63"/>
  <c r="V18" i="63"/>
  <c r="R23" i="63"/>
  <c r="R27" i="63"/>
  <c r="F30" i="63"/>
  <c r="F31" i="63"/>
  <c r="F35" i="63"/>
  <c r="V38" i="63"/>
  <c r="V46" i="63"/>
  <c r="V54" i="63"/>
  <c r="V66" i="63"/>
  <c r="R71" i="63"/>
  <c r="R72" i="63"/>
  <c r="F75" i="63"/>
  <c r="R79" i="63"/>
  <c r="R83" i="63"/>
  <c r="L93" i="63"/>
  <c r="N93" i="63" s="1"/>
  <c r="Z99" i="63"/>
  <c r="R103" i="63"/>
  <c r="N36" i="67"/>
  <c r="N40" i="67"/>
  <c r="Z15" i="68"/>
  <c r="Z21" i="68"/>
  <c r="Z33" i="68"/>
  <c r="R19" i="59"/>
  <c r="F22" i="59"/>
  <c r="F26" i="59"/>
  <c r="V33" i="59"/>
  <c r="J37" i="59"/>
  <c r="V41" i="59"/>
  <c r="F46" i="59"/>
  <c r="V49" i="59"/>
  <c r="F53" i="59"/>
  <c r="F54" i="59"/>
  <c r="J55" i="59"/>
  <c r="V57" i="59"/>
  <c r="V59" i="59"/>
  <c r="V61" i="59"/>
  <c r="F65" i="59"/>
  <c r="F68" i="59"/>
  <c r="J14" i="60"/>
  <c r="J16" i="60"/>
  <c r="J18" i="60"/>
  <c r="J20" i="60"/>
  <c r="R21" i="60"/>
  <c r="J24" i="60"/>
  <c r="R25" i="60"/>
  <c r="F28" i="60"/>
  <c r="F29" i="60"/>
  <c r="J30" i="60"/>
  <c r="R33" i="60"/>
  <c r="R34" i="60"/>
  <c r="J40" i="60"/>
  <c r="R41" i="60"/>
  <c r="J48" i="60"/>
  <c r="J50" i="60"/>
  <c r="R54" i="60"/>
  <c r="R57" i="60"/>
  <c r="V14" i="61"/>
  <c r="V16" i="61"/>
  <c r="V18" i="61"/>
  <c r="J22" i="61"/>
  <c r="R23" i="61"/>
  <c r="J26" i="61"/>
  <c r="R27" i="61"/>
  <c r="R28" i="61"/>
  <c r="V34" i="61"/>
  <c r="R43" i="61"/>
  <c r="R44" i="61"/>
  <c r="X12" i="63"/>
  <c r="R32" i="63"/>
  <c r="R36" i="63"/>
  <c r="R44" i="63"/>
  <c r="R45" i="63"/>
  <c r="R52" i="63"/>
  <c r="R53" i="63"/>
  <c r="V55" i="63"/>
  <c r="F59" i="63"/>
  <c r="F60" i="63"/>
  <c r="R64" i="63"/>
  <c r="R65" i="63"/>
  <c r="V67" i="63"/>
  <c r="V71" i="63"/>
  <c r="V79" i="63"/>
  <c r="V83" i="63"/>
  <c r="F87" i="63"/>
  <c r="F88" i="63"/>
  <c r="R90" i="63"/>
  <c r="F92" i="63"/>
  <c r="R98" i="63"/>
  <c r="V99" i="63"/>
  <c r="Z14" i="69"/>
  <c r="V14" i="59"/>
  <c r="V16" i="59"/>
  <c r="V18" i="59"/>
  <c r="J22" i="59"/>
  <c r="R23" i="59"/>
  <c r="J26" i="59"/>
  <c r="R27" i="59"/>
  <c r="F30" i="59"/>
  <c r="F31" i="59"/>
  <c r="F35" i="59"/>
  <c r="J36" i="59"/>
  <c r="R39" i="59"/>
  <c r="R40" i="59"/>
  <c r="V42" i="59"/>
  <c r="J46" i="59"/>
  <c r="R47" i="59"/>
  <c r="R48" i="59"/>
  <c r="V50" i="59"/>
  <c r="J54" i="59"/>
  <c r="J19" i="60"/>
  <c r="J29" i="60"/>
  <c r="F37" i="60"/>
  <c r="F38" i="60"/>
  <c r="J39" i="60"/>
  <c r="V41" i="60"/>
  <c r="F45" i="60"/>
  <c r="F46" i="60"/>
  <c r="R52" i="60"/>
  <c r="J31" i="61"/>
  <c r="R32" i="61"/>
  <c r="R33" i="61"/>
  <c r="V35" i="61"/>
  <c r="V43" i="61"/>
  <c r="J53" i="61"/>
  <c r="J56" i="61"/>
  <c r="F40" i="63"/>
  <c r="F41" i="63"/>
  <c r="V44" i="63"/>
  <c r="F48" i="63"/>
  <c r="F49" i="63"/>
  <c r="V52" i="63"/>
  <c r="V64" i="63"/>
  <c r="F69" i="63"/>
  <c r="V72" i="63"/>
  <c r="R77" i="63"/>
  <c r="R78" i="63"/>
  <c r="F81" i="63"/>
  <c r="V90" i="63"/>
  <c r="X93" i="63"/>
  <c r="P96" i="63"/>
  <c r="Z98" i="63"/>
  <c r="F101" i="63"/>
  <c r="P58" i="67"/>
  <c r="V99" i="68"/>
  <c r="V91" i="68"/>
  <c r="V63" i="68"/>
  <c r="V59" i="68"/>
  <c r="V55" i="68"/>
  <c r="V51" i="68"/>
  <c r="V47" i="68"/>
  <c r="V106" i="68"/>
  <c r="V90" i="68"/>
  <c r="V82" i="68"/>
  <c r="V105" i="68"/>
  <c r="V101" i="68"/>
  <c r="V93" i="68"/>
  <c r="V77" i="68"/>
  <c r="V73" i="68"/>
  <c r="V108" i="68"/>
  <c r="V100" i="68"/>
  <c r="V92" i="68"/>
  <c r="V84" i="68"/>
  <c r="V64" i="68"/>
  <c r="V60" i="68"/>
  <c r="V56" i="68"/>
  <c r="V52" i="68"/>
  <c r="V48" i="68"/>
  <c r="V107" i="68"/>
  <c r="V95" i="68"/>
  <c r="V83" i="68"/>
  <c r="V79" i="68"/>
  <c r="V112" i="68"/>
  <c r="V102" i="68"/>
  <c r="V94" i="68"/>
  <c r="V86" i="68"/>
  <c r="V78" i="68"/>
  <c r="V74" i="68"/>
  <c r="V70" i="68"/>
  <c r="V111" i="68"/>
  <c r="V109" i="68"/>
  <c r="V85" i="68"/>
  <c r="V69" i="68"/>
  <c r="V65" i="68"/>
  <c r="V61" i="68"/>
  <c r="V57" i="68"/>
  <c r="V53" i="68"/>
  <c r="V49" i="68"/>
  <c r="V45" i="68"/>
  <c r="V96" i="68"/>
  <c r="V88" i="68"/>
  <c r="V80" i="68"/>
  <c r="T67" i="68"/>
  <c r="V67" i="68" s="1"/>
  <c r="V103" i="68"/>
  <c r="V87" i="68"/>
  <c r="V75" i="68"/>
  <c r="V71" i="68"/>
  <c r="V116" i="68"/>
  <c r="V98" i="68"/>
  <c r="V62" i="68"/>
  <c r="V58" i="68"/>
  <c r="V54" i="68"/>
  <c r="V50" i="68"/>
  <c r="V46" i="68"/>
  <c r="V97" i="68"/>
  <c r="V89" i="68"/>
  <c r="V81" i="68"/>
  <c r="V104" i="68"/>
  <c r="V76" i="68"/>
  <c r="V72" i="68"/>
  <c r="J115" i="70"/>
  <c r="J99" i="70"/>
  <c r="J91" i="70"/>
  <c r="J81" i="70"/>
  <c r="J71" i="70"/>
  <c r="J67" i="70"/>
  <c r="J107" i="70"/>
  <c r="J101" i="70"/>
  <c r="J83" i="70"/>
  <c r="J77" i="70"/>
  <c r="J63" i="70"/>
  <c r="J108" i="70"/>
  <c r="J92" i="70"/>
  <c r="J84" i="70"/>
  <c r="J72" i="70"/>
  <c r="J68" i="70"/>
  <c r="J64" i="70"/>
  <c r="J62" i="70"/>
  <c r="J93" i="70"/>
  <c r="J73" i="70"/>
  <c r="J102" i="70"/>
  <c r="J94" i="70"/>
  <c r="J78" i="70"/>
  <c r="J74" i="70"/>
  <c r="J109" i="70"/>
  <c r="J103" i="70"/>
  <c r="J95" i="70"/>
  <c r="J85" i="70"/>
  <c r="J110" i="70"/>
  <c r="J104" i="70"/>
  <c r="J96" i="70"/>
  <c r="J86" i="70"/>
  <c r="J56" i="70"/>
  <c r="J52" i="70"/>
  <c r="J48" i="70"/>
  <c r="J118" i="70"/>
  <c r="J112" i="70"/>
  <c r="J98" i="70"/>
  <c r="J88" i="70"/>
  <c r="J70" i="70"/>
  <c r="J66" i="70"/>
  <c r="J117" i="70"/>
  <c r="J113" i="70"/>
  <c r="J122" i="70"/>
  <c r="J116" i="70"/>
  <c r="J90" i="70"/>
  <c r="J80" i="70"/>
  <c r="J76" i="70"/>
  <c r="J100" i="70"/>
  <c r="J79" i="70"/>
  <c r="J89" i="70"/>
  <c r="J87" i="70"/>
  <c r="J42" i="70"/>
  <c r="J55" i="70"/>
  <c r="J53" i="70"/>
  <c r="J106" i="70"/>
  <c r="J46" i="70"/>
  <c r="J43" i="70"/>
  <c r="J58" i="70"/>
  <c r="J82" i="70"/>
  <c r="J51" i="70"/>
  <c r="J49" i="70"/>
  <c r="J54" i="70"/>
  <c r="J44" i="70"/>
  <c r="J105" i="70"/>
  <c r="J97" i="70"/>
  <c r="J75" i="70"/>
  <c r="J65" i="70"/>
  <c r="J47" i="70"/>
  <c r="N12" i="70"/>
  <c r="H60" i="70"/>
  <c r="L12" i="70"/>
  <c r="J111" i="70"/>
  <c r="J69" i="70"/>
  <c r="J57" i="70"/>
  <c r="J50" i="70"/>
  <c r="J45" i="70"/>
  <c r="V27" i="59"/>
  <c r="J31" i="59"/>
  <c r="R32" i="59"/>
  <c r="J35" i="59"/>
  <c r="V39" i="59"/>
  <c r="V47" i="59"/>
  <c r="F52" i="59"/>
  <c r="J53" i="59"/>
  <c r="R56" i="59"/>
  <c r="J65" i="59"/>
  <c r="J68" i="59"/>
  <c r="F23" i="60"/>
  <c r="F27" i="60"/>
  <c r="J28" i="60"/>
  <c r="R31" i="60"/>
  <c r="R32" i="60"/>
  <c r="J38" i="60"/>
  <c r="J46" i="60"/>
  <c r="V52" i="60"/>
  <c r="V54" i="60"/>
  <c r="J40" i="61"/>
  <c r="R41" i="61"/>
  <c r="R42" i="61"/>
  <c r="V44" i="61"/>
  <c r="R22" i="63"/>
  <c r="R26" i="63"/>
  <c r="F34" i="63"/>
  <c r="R42" i="63"/>
  <c r="R43" i="63"/>
  <c r="V45" i="63"/>
  <c r="R50" i="63"/>
  <c r="R51" i="63"/>
  <c r="V53" i="63"/>
  <c r="F57" i="63"/>
  <c r="F58" i="63"/>
  <c r="R62" i="63"/>
  <c r="R63" i="63"/>
  <c r="V65" i="63"/>
  <c r="R70" i="63"/>
  <c r="F74" i="63"/>
  <c r="V77" i="63"/>
  <c r="R82" i="63"/>
  <c r="F85" i="63"/>
  <c r="F86" i="63"/>
  <c r="R93" i="63"/>
  <c r="T96" i="63"/>
  <c r="V98" i="63"/>
  <c r="R51" i="67"/>
  <c r="R50" i="67"/>
  <c r="R34" i="67"/>
  <c r="R30" i="67"/>
  <c r="R45" i="67"/>
  <c r="R25" i="67"/>
  <c r="R21" i="67"/>
  <c r="R53" i="67"/>
  <c r="R52" i="67"/>
  <c r="R36" i="67"/>
  <c r="R35" i="67"/>
  <c r="R31" i="67"/>
  <c r="R54" i="67"/>
  <c r="R47" i="67"/>
  <c r="R46" i="67"/>
  <c r="R26" i="67"/>
  <c r="R22" i="67"/>
  <c r="R58" i="67"/>
  <c r="R56" i="67"/>
  <c r="R38" i="67"/>
  <c r="R37" i="67"/>
  <c r="R48" i="67"/>
  <c r="R32" i="67"/>
  <c r="X12" i="67"/>
  <c r="R40" i="67"/>
  <c r="R39" i="67"/>
  <c r="R27" i="67"/>
  <c r="R23" i="67"/>
  <c r="R60" i="67"/>
  <c r="R65" i="67"/>
  <c r="R62" i="67"/>
  <c r="R49" i="67"/>
  <c r="R42" i="67"/>
  <c r="R41" i="67"/>
  <c r="R33" i="67"/>
  <c r="R18" i="67"/>
  <c r="R16" i="67"/>
  <c r="R14" i="67"/>
  <c r="R29" i="67"/>
  <c r="R28" i="67"/>
  <c r="R24" i="67"/>
  <c r="R20" i="67"/>
  <c r="R44" i="67"/>
  <c r="R43" i="67"/>
  <c r="T16" i="67"/>
  <c r="X16" i="67" s="1"/>
  <c r="R19" i="67"/>
  <c r="F22" i="67"/>
  <c r="N22" i="68"/>
  <c r="N34" i="68"/>
  <c r="Z41" i="68"/>
  <c r="N106" i="68"/>
  <c r="F54" i="69"/>
  <c r="F30" i="69"/>
  <c r="F26" i="69"/>
  <c r="F75" i="69"/>
  <c r="F72" i="69"/>
  <c r="F61" i="69"/>
  <c r="F45" i="69"/>
  <c r="F44" i="69"/>
  <c r="F17" i="69"/>
  <c r="F16" i="69"/>
  <c r="F56" i="69"/>
  <c r="F55" i="69"/>
  <c r="F36" i="69"/>
  <c r="L12" i="69"/>
  <c r="F47" i="69"/>
  <c r="F46" i="69"/>
  <c r="F31" i="69"/>
  <c r="F27" i="69"/>
  <c r="F62" i="69"/>
  <c r="F18" i="69"/>
  <c r="F57" i="69"/>
  <c r="F49" i="69"/>
  <c r="F48" i="69"/>
  <c r="F37" i="69"/>
  <c r="F33" i="69"/>
  <c r="F32" i="69"/>
  <c r="F64" i="69"/>
  <c r="F63" i="69"/>
  <c r="F28" i="69"/>
  <c r="F24" i="69"/>
  <c r="F23" i="69"/>
  <c r="F51" i="69"/>
  <c r="F50" i="69"/>
  <c r="F39" i="69"/>
  <c r="F38" i="69"/>
  <c r="F22" i="69"/>
  <c r="F20" i="69"/>
  <c r="F58" i="69"/>
  <c r="F34" i="69"/>
  <c r="D20" i="69"/>
  <c r="F68" i="69"/>
  <c r="F66" i="69"/>
  <c r="F53" i="69"/>
  <c r="F52" i="69"/>
  <c r="F41" i="69"/>
  <c r="F40" i="69"/>
  <c r="F29" i="69"/>
  <c r="F25" i="69"/>
  <c r="F70" i="69"/>
  <c r="F60" i="69"/>
  <c r="F59" i="69"/>
  <c r="F43" i="69"/>
  <c r="F42" i="69"/>
  <c r="F35" i="69"/>
  <c r="Z32" i="70"/>
  <c r="R75" i="63"/>
  <c r="R76" i="63"/>
  <c r="R89" i="63"/>
  <c r="Z93" i="63"/>
  <c r="V97" i="63"/>
  <c r="F105" i="63"/>
  <c r="F96" i="68"/>
  <c r="F95" i="68"/>
  <c r="F80" i="68"/>
  <c r="F79" i="68"/>
  <c r="L12" i="68"/>
  <c r="F114" i="68"/>
  <c r="F112" i="68"/>
  <c r="F103" i="68"/>
  <c r="F87" i="68"/>
  <c r="F86" i="68"/>
  <c r="F75" i="68"/>
  <c r="F71" i="68"/>
  <c r="F70" i="68"/>
  <c r="F116" i="68"/>
  <c r="F111" i="68"/>
  <c r="F69" i="68"/>
  <c r="F67" i="68"/>
  <c r="F62" i="68"/>
  <c r="F58" i="68"/>
  <c r="F54" i="68"/>
  <c r="F50" i="68"/>
  <c r="F46" i="68"/>
  <c r="F45" i="68"/>
  <c r="F97" i="68"/>
  <c r="F89" i="68"/>
  <c r="F88" i="68"/>
  <c r="F81" i="68"/>
  <c r="D67" i="68"/>
  <c r="F104" i="68"/>
  <c r="F76" i="68"/>
  <c r="F72" i="68"/>
  <c r="F121" i="68"/>
  <c r="F118" i="68"/>
  <c r="F99" i="68"/>
  <c r="F98" i="68"/>
  <c r="F63" i="68"/>
  <c r="F59" i="68"/>
  <c r="F55" i="68"/>
  <c r="F51" i="68"/>
  <c r="F47" i="68"/>
  <c r="F90" i="68"/>
  <c r="F82" i="68"/>
  <c r="F105" i="68"/>
  <c r="F77" i="68"/>
  <c r="F73" i="68"/>
  <c r="F100" i="68"/>
  <c r="F92" i="68"/>
  <c r="F91" i="68"/>
  <c r="F64" i="68"/>
  <c r="F60" i="68"/>
  <c r="F56" i="68"/>
  <c r="F52" i="68"/>
  <c r="F48" i="68"/>
  <c r="F107" i="68"/>
  <c r="F106" i="68"/>
  <c r="F83" i="68"/>
  <c r="F102" i="68"/>
  <c r="F101" i="68"/>
  <c r="F94" i="68"/>
  <c r="F93" i="68"/>
  <c r="F78" i="68"/>
  <c r="F74" i="68"/>
  <c r="F109" i="68"/>
  <c r="F108" i="68"/>
  <c r="F85" i="68"/>
  <c r="F84" i="68"/>
  <c r="F65" i="68"/>
  <c r="F61" i="68"/>
  <c r="F57" i="68"/>
  <c r="F53" i="68"/>
  <c r="F49" i="68"/>
  <c r="J61" i="69"/>
  <c r="J55" i="69"/>
  <c r="J45" i="69"/>
  <c r="J17" i="69"/>
  <c r="J56" i="69"/>
  <c r="J46" i="69"/>
  <c r="J36" i="69"/>
  <c r="N12" i="69"/>
  <c r="J47" i="69"/>
  <c r="J31" i="69"/>
  <c r="J27" i="69"/>
  <c r="J62" i="69"/>
  <c r="J48" i="69"/>
  <c r="J32" i="69"/>
  <c r="J18" i="69"/>
  <c r="J63" i="69"/>
  <c r="J57" i="69"/>
  <c r="J49" i="69"/>
  <c r="J37" i="69"/>
  <c r="J33" i="69"/>
  <c r="J23" i="69"/>
  <c r="J64" i="69"/>
  <c r="J50" i="69"/>
  <c r="J38" i="69"/>
  <c r="J28" i="69"/>
  <c r="J24" i="69"/>
  <c r="J22" i="69"/>
  <c r="J51" i="69"/>
  <c r="J39" i="69"/>
  <c r="H20" i="69"/>
  <c r="J66" i="69"/>
  <c r="J58" i="69"/>
  <c r="J52" i="69"/>
  <c r="J40" i="69"/>
  <c r="J34" i="69"/>
  <c r="J59" i="69"/>
  <c r="J53" i="69"/>
  <c r="J41" i="69"/>
  <c r="J29" i="69"/>
  <c r="J25" i="69"/>
  <c r="J70" i="69"/>
  <c r="J60" i="69"/>
  <c r="J42" i="69"/>
  <c r="J43" i="69"/>
  <c r="J35" i="69"/>
  <c r="J54" i="69"/>
  <c r="J44" i="69"/>
  <c r="J30" i="69"/>
  <c r="J26" i="69"/>
  <c r="J16" i="69"/>
  <c r="J21" i="59"/>
  <c r="J25" i="59"/>
  <c r="J29" i="59"/>
  <c r="F34" i="59"/>
  <c r="J45" i="59"/>
  <c r="R46" i="59"/>
  <c r="R54" i="59"/>
  <c r="R55" i="59"/>
  <c r="F59" i="59"/>
  <c r="F61" i="59"/>
  <c r="J63" i="59"/>
  <c r="R14" i="60"/>
  <c r="R16" i="60"/>
  <c r="R18" i="60"/>
  <c r="R29" i="60"/>
  <c r="R30" i="60"/>
  <c r="J36" i="60"/>
  <c r="J44" i="60"/>
  <c r="R48" i="60"/>
  <c r="R50" i="60"/>
  <c r="J30" i="61"/>
  <c r="J38" i="61"/>
  <c r="V42" i="61"/>
  <c r="F19" i="63"/>
  <c r="F20" i="63"/>
  <c r="F24" i="63"/>
  <c r="F28" i="63"/>
  <c r="V31" i="63"/>
  <c r="V35" i="63"/>
  <c r="V43" i="63"/>
  <c r="V51" i="63"/>
  <c r="F55" i="63"/>
  <c r="F56" i="63"/>
  <c r="R60" i="63"/>
  <c r="R61" i="63"/>
  <c r="V63" i="63"/>
  <c r="F67" i="63"/>
  <c r="F68" i="63"/>
  <c r="V75" i="63"/>
  <c r="F80" i="63"/>
  <c r="F84" i="63"/>
  <c r="R88" i="63"/>
  <c r="R92" i="63"/>
  <c r="V93" i="63"/>
  <c r="R96" i="63"/>
  <c r="X97" i="63"/>
  <c r="Z97" i="63" s="1"/>
  <c r="N18" i="67"/>
  <c r="J111" i="68"/>
  <c r="J103" i="68"/>
  <c r="J87" i="68"/>
  <c r="J75" i="68"/>
  <c r="J71" i="68"/>
  <c r="J69" i="68"/>
  <c r="J67" i="68"/>
  <c r="J45" i="68"/>
  <c r="J116" i="68"/>
  <c r="J88" i="68"/>
  <c r="H67" i="68"/>
  <c r="J62" i="68"/>
  <c r="J58" i="68"/>
  <c r="J54" i="68"/>
  <c r="J50" i="68"/>
  <c r="J46" i="68"/>
  <c r="J97" i="68"/>
  <c r="J89" i="68"/>
  <c r="J81" i="68"/>
  <c r="J104" i="68"/>
  <c r="J98" i="68"/>
  <c r="J76" i="68"/>
  <c r="J72" i="68"/>
  <c r="J99" i="68"/>
  <c r="J63" i="68"/>
  <c r="J59" i="68"/>
  <c r="J55" i="68"/>
  <c r="J51" i="68"/>
  <c r="J47" i="68"/>
  <c r="J90" i="68"/>
  <c r="J82" i="68"/>
  <c r="J105" i="68"/>
  <c r="J91" i="68"/>
  <c r="J77" i="68"/>
  <c r="J73" i="68"/>
  <c r="J106" i="68"/>
  <c r="J100" i="68"/>
  <c r="J92" i="68"/>
  <c r="J64" i="68"/>
  <c r="J60" i="68"/>
  <c r="J56" i="68"/>
  <c r="J52" i="68"/>
  <c r="J48" i="68"/>
  <c r="J107" i="68"/>
  <c r="J101" i="68"/>
  <c r="J93" i="68"/>
  <c r="J83" i="68"/>
  <c r="J108" i="68"/>
  <c r="J102" i="68"/>
  <c r="J94" i="68"/>
  <c r="J84" i="68"/>
  <c r="J78" i="68"/>
  <c r="J74" i="68"/>
  <c r="J109" i="68"/>
  <c r="J95" i="68"/>
  <c r="J85" i="68"/>
  <c r="J79" i="68"/>
  <c r="J65" i="68"/>
  <c r="J61" i="68"/>
  <c r="J57" i="68"/>
  <c r="J53" i="68"/>
  <c r="J49" i="68"/>
  <c r="J112" i="68"/>
  <c r="J96" i="68"/>
  <c r="J86" i="68"/>
  <c r="J80" i="68"/>
  <c r="J70" i="68"/>
  <c r="N12" i="68"/>
  <c r="Z69" i="68"/>
  <c r="Z15" i="70"/>
  <c r="Z28" i="70"/>
  <c r="F14" i="59"/>
  <c r="F16" i="59"/>
  <c r="F18" i="59"/>
  <c r="R31" i="59"/>
  <c r="J34" i="59"/>
  <c r="R35" i="59"/>
  <c r="V38" i="59"/>
  <c r="F42" i="59"/>
  <c r="F43" i="59"/>
  <c r="V46" i="59"/>
  <c r="F50" i="59"/>
  <c r="R19" i="60"/>
  <c r="F22" i="60"/>
  <c r="F26" i="60"/>
  <c r="R38" i="60"/>
  <c r="R39" i="60"/>
  <c r="H16" i="61"/>
  <c r="J37" i="61"/>
  <c r="R40" i="61"/>
  <c r="J47" i="61"/>
  <c r="R53" i="61"/>
  <c r="R21" i="63"/>
  <c r="R25" i="63"/>
  <c r="R29" i="63"/>
  <c r="R30" i="63"/>
  <c r="F33" i="63"/>
  <c r="F37" i="63"/>
  <c r="R41" i="63"/>
  <c r="R49" i="63"/>
  <c r="V60" i="63"/>
  <c r="R69" i="63"/>
  <c r="F72" i="63"/>
  <c r="F73" i="63"/>
  <c r="V76" i="63"/>
  <c r="R81" i="63"/>
  <c r="V88" i="63"/>
  <c r="V89" i="63"/>
  <c r="F91" i="63"/>
  <c r="V92" i="63"/>
  <c r="V96" i="63"/>
  <c r="R101" i="63"/>
  <c r="V103" i="70"/>
  <c r="V95" i="70"/>
  <c r="V109" i="70"/>
  <c r="V97" i="70"/>
  <c r="V85" i="70"/>
  <c r="V69" i="70"/>
  <c r="V65" i="70"/>
  <c r="V118" i="70"/>
  <c r="V112" i="70"/>
  <c r="V104" i="70"/>
  <c r="V96" i="70"/>
  <c r="V88" i="70"/>
  <c r="V117" i="70"/>
  <c r="V111" i="70"/>
  <c r="V87" i="70"/>
  <c r="V79" i="70"/>
  <c r="V75" i="70"/>
  <c r="V116" i="70"/>
  <c r="V98" i="70"/>
  <c r="V90" i="70"/>
  <c r="V70" i="70"/>
  <c r="V66" i="70"/>
  <c r="V113" i="70"/>
  <c r="V105" i="70"/>
  <c r="V89" i="70"/>
  <c r="V122" i="70"/>
  <c r="V100" i="70"/>
  <c r="V80" i="70"/>
  <c r="V76" i="70"/>
  <c r="V106" i="70"/>
  <c r="V82" i="70"/>
  <c r="V62" i="70"/>
  <c r="V58" i="70"/>
  <c r="V54" i="70"/>
  <c r="V50" i="70"/>
  <c r="V46" i="70"/>
  <c r="V108" i="70"/>
  <c r="V92" i="70"/>
  <c r="V84" i="70"/>
  <c r="V72" i="70"/>
  <c r="V68" i="70"/>
  <c r="V64" i="70"/>
  <c r="V43" i="70"/>
  <c r="V110" i="70"/>
  <c r="V102" i="70"/>
  <c r="V74" i="70"/>
  <c r="V51" i="70"/>
  <c r="V107" i="70"/>
  <c r="V94" i="70"/>
  <c r="V56" i="70"/>
  <c r="V49" i="70"/>
  <c r="V86" i="70"/>
  <c r="V78" i="70"/>
  <c r="V63" i="70"/>
  <c r="V44" i="70"/>
  <c r="V99" i="70"/>
  <c r="V83" i="70"/>
  <c r="V47" i="70"/>
  <c r="V101" i="70"/>
  <c r="V81" i="70"/>
  <c r="V73" i="70"/>
  <c r="V67" i="70"/>
  <c r="T60" i="70"/>
  <c r="V52" i="70"/>
  <c r="V45" i="70"/>
  <c r="V93" i="70"/>
  <c r="V57" i="70"/>
  <c r="V42" i="70"/>
  <c r="V91" i="70"/>
  <c r="V71" i="70"/>
  <c r="V77" i="70"/>
  <c r="V55" i="70"/>
  <c r="V53" i="70"/>
  <c r="V48" i="70"/>
  <c r="V30" i="67"/>
  <c r="V34" i="67"/>
  <c r="J40" i="67"/>
  <c r="V50" i="67"/>
  <c r="J60" i="67"/>
  <c r="T12" i="69"/>
  <c r="R27" i="69"/>
  <c r="R31" i="69"/>
  <c r="R32" i="69"/>
  <c r="R47" i="69"/>
  <c r="R48" i="69"/>
  <c r="Z14" i="70"/>
  <c r="Z18" i="70"/>
  <c r="Z22" i="70"/>
  <c r="Z26" i="70"/>
  <c r="Z30" i="70"/>
  <c r="Z34" i="70"/>
  <c r="Z38" i="70"/>
  <c r="D60" i="70"/>
  <c r="N83" i="70"/>
  <c r="F95" i="70"/>
  <c r="F97" i="70"/>
  <c r="X100" i="70"/>
  <c r="Z116" i="70"/>
  <c r="D12" i="72"/>
  <c r="L60" i="72"/>
  <c r="R62" i="72"/>
  <c r="R54" i="73"/>
  <c r="R49" i="73"/>
  <c r="R45" i="73"/>
  <c r="R41" i="73"/>
  <c r="R37" i="73"/>
  <c r="R64" i="73"/>
  <c r="R53" i="73"/>
  <c r="R51" i="73"/>
  <c r="R85" i="73"/>
  <c r="R72" i="73"/>
  <c r="R71" i="73"/>
  <c r="R59" i="73"/>
  <c r="R55" i="73"/>
  <c r="P51" i="73"/>
  <c r="R90" i="73"/>
  <c r="R87" i="73"/>
  <c r="R46" i="73"/>
  <c r="R42" i="73"/>
  <c r="R38" i="73"/>
  <c r="R74" i="73"/>
  <c r="R73" i="73"/>
  <c r="R65" i="73"/>
  <c r="R34" i="73"/>
  <c r="R60" i="73"/>
  <c r="R56" i="73"/>
  <c r="R76" i="73"/>
  <c r="R75" i="73"/>
  <c r="R47" i="73"/>
  <c r="R43" i="73"/>
  <c r="R39" i="73"/>
  <c r="R35" i="73"/>
  <c r="R67" i="73"/>
  <c r="R66" i="73"/>
  <c r="R69" i="73"/>
  <c r="R68" i="73"/>
  <c r="R48" i="73"/>
  <c r="R44" i="73"/>
  <c r="R40" i="73"/>
  <c r="R36" i="73"/>
  <c r="R79" i="73"/>
  <c r="R83" i="73"/>
  <c r="R81" i="73"/>
  <c r="R70" i="73"/>
  <c r="R63" i="73"/>
  <c r="R62" i="73"/>
  <c r="R58" i="73"/>
  <c r="D51" i="73"/>
  <c r="F65" i="73"/>
  <c r="L98" i="74"/>
  <c r="N98" i="74" s="1"/>
  <c r="R118" i="74"/>
  <c r="J39" i="67"/>
  <c r="V43" i="67"/>
  <c r="V51" i="67"/>
  <c r="P12" i="68"/>
  <c r="Z13" i="68"/>
  <c r="R36" i="69"/>
  <c r="R56" i="69"/>
  <c r="R42" i="70"/>
  <c r="F52" i="70"/>
  <c r="F67" i="70"/>
  <c r="Z100" i="70"/>
  <c r="N60" i="72"/>
  <c r="V69" i="72"/>
  <c r="R57" i="73"/>
  <c r="D12" i="74"/>
  <c r="V20" i="67"/>
  <c r="V24" i="67"/>
  <c r="V28" i="67"/>
  <c r="J32" i="67"/>
  <c r="J38" i="67"/>
  <c r="V44" i="67"/>
  <c r="J48" i="67"/>
  <c r="J56" i="67"/>
  <c r="J58" i="67"/>
  <c r="P111" i="68"/>
  <c r="X111" i="68" s="1"/>
  <c r="Z111" i="68" s="1"/>
  <c r="R17" i="69"/>
  <c r="R45" i="69"/>
  <c r="R46" i="69"/>
  <c r="R61" i="69"/>
  <c r="N63" i="70"/>
  <c r="X95" i="70"/>
  <c r="Z95" i="70" s="1"/>
  <c r="F99" i="70"/>
  <c r="D115" i="70"/>
  <c r="L115" i="70" s="1"/>
  <c r="L117" i="70"/>
  <c r="N50" i="72"/>
  <c r="N53" i="73"/>
  <c r="Z22" i="74"/>
  <c r="Z52" i="74"/>
  <c r="V41" i="67"/>
  <c r="V49" i="67"/>
  <c r="R54" i="69"/>
  <c r="R55" i="69"/>
  <c r="R108" i="70"/>
  <c r="R93" i="70"/>
  <c r="R92" i="70"/>
  <c r="R84" i="70"/>
  <c r="R73" i="70"/>
  <c r="R72" i="70"/>
  <c r="R68" i="70"/>
  <c r="R64" i="70"/>
  <c r="R103" i="70"/>
  <c r="R102" i="70"/>
  <c r="R95" i="70"/>
  <c r="R94" i="70"/>
  <c r="R78" i="70"/>
  <c r="R74" i="70"/>
  <c r="R110" i="70"/>
  <c r="R109" i="70"/>
  <c r="R86" i="70"/>
  <c r="R85" i="70"/>
  <c r="R69" i="70"/>
  <c r="R65" i="70"/>
  <c r="R104" i="70"/>
  <c r="R97" i="70"/>
  <c r="R96" i="70"/>
  <c r="R118" i="70"/>
  <c r="R112" i="70"/>
  <c r="R111" i="70"/>
  <c r="R88" i="70"/>
  <c r="R87" i="70"/>
  <c r="R79" i="70"/>
  <c r="R75" i="70"/>
  <c r="R117" i="70"/>
  <c r="R98" i="70"/>
  <c r="R116" i="70"/>
  <c r="R113" i="70"/>
  <c r="R105" i="70"/>
  <c r="R90" i="70"/>
  <c r="R89" i="70"/>
  <c r="R57" i="70"/>
  <c r="R53" i="70"/>
  <c r="R49" i="70"/>
  <c r="R100" i="70"/>
  <c r="R99" i="70"/>
  <c r="R91" i="70"/>
  <c r="R71" i="70"/>
  <c r="R67" i="70"/>
  <c r="R101" i="70"/>
  <c r="R77" i="70"/>
  <c r="R62" i="70"/>
  <c r="R45" i="70"/>
  <c r="R50" i="70"/>
  <c r="R52" i="70"/>
  <c r="P60" i="70"/>
  <c r="R60" i="70" s="1"/>
  <c r="R83" i="70"/>
  <c r="F103" i="70"/>
  <c r="J69" i="72"/>
  <c r="J45" i="72"/>
  <c r="J33" i="72"/>
  <c r="J29" i="72"/>
  <c r="J56" i="72"/>
  <c r="J46" i="72"/>
  <c r="J71" i="72"/>
  <c r="J63" i="72"/>
  <c r="J47" i="72"/>
  <c r="J39" i="72"/>
  <c r="J48" i="72"/>
  <c r="J34" i="72"/>
  <c r="J30" i="72"/>
  <c r="J20" i="72"/>
  <c r="J75" i="72"/>
  <c r="J57" i="72"/>
  <c r="J49" i="72"/>
  <c r="J21" i="72"/>
  <c r="J64" i="72"/>
  <c r="J58" i="72"/>
  <c r="J50" i="72"/>
  <c r="J40" i="72"/>
  <c r="J59" i="72"/>
  <c r="J51" i="72"/>
  <c r="J35" i="72"/>
  <c r="J31" i="72"/>
  <c r="J60" i="72"/>
  <c r="J52" i="72"/>
  <c r="J36" i="72"/>
  <c r="J22" i="72"/>
  <c r="J66" i="72"/>
  <c r="J54" i="72"/>
  <c r="J42" i="72"/>
  <c r="J32" i="72"/>
  <c r="J28" i="72"/>
  <c r="J26" i="72"/>
  <c r="J67" i="72"/>
  <c r="J55" i="72"/>
  <c r="J43" i="72"/>
  <c r="H24" i="72"/>
  <c r="J68" i="72"/>
  <c r="J62" i="72"/>
  <c r="J44" i="72"/>
  <c r="J38" i="72"/>
  <c r="J41" i="72"/>
  <c r="J53" i="72"/>
  <c r="X69" i="73"/>
  <c r="Z69" i="73" s="1"/>
  <c r="J74" i="75"/>
  <c r="J62" i="75"/>
  <c r="J54" i="75"/>
  <c r="J75" i="75"/>
  <c r="J69" i="75"/>
  <c r="J55" i="75"/>
  <c r="J45" i="75"/>
  <c r="J76" i="75"/>
  <c r="J56" i="75"/>
  <c r="J40" i="75"/>
  <c r="J36" i="75"/>
  <c r="J77" i="75"/>
  <c r="J63" i="75"/>
  <c r="J78" i="75"/>
  <c r="J70" i="75"/>
  <c r="J64" i="75"/>
  <c r="J46" i="75"/>
  <c r="J81" i="75"/>
  <c r="J65" i="75"/>
  <c r="J57" i="75"/>
  <c r="J47" i="75"/>
  <c r="J41" i="75"/>
  <c r="J37" i="75"/>
  <c r="J80" i="75"/>
  <c r="J66" i="75"/>
  <c r="J58" i="75"/>
  <c r="J48" i="75"/>
  <c r="J42" i="75"/>
  <c r="J85" i="75"/>
  <c r="J71" i="75"/>
  <c r="J67" i="75"/>
  <c r="J59" i="75"/>
  <c r="J49" i="75"/>
  <c r="J43" i="75"/>
  <c r="J33" i="75"/>
  <c r="J60" i="75"/>
  <c r="J50" i="75"/>
  <c r="J38" i="75"/>
  <c r="J34" i="75"/>
  <c r="J32" i="75"/>
  <c r="J30" i="75"/>
  <c r="J28" i="75"/>
  <c r="J61" i="75"/>
  <c r="J51" i="75"/>
  <c r="H30" i="75"/>
  <c r="J72" i="75"/>
  <c r="J68" i="75"/>
  <c r="J52" i="75"/>
  <c r="J44" i="75"/>
  <c r="J73" i="75"/>
  <c r="J53" i="75"/>
  <c r="J39" i="75"/>
  <c r="J35" i="75"/>
  <c r="V14" i="67"/>
  <c r="V16" i="67"/>
  <c r="V18" i="67"/>
  <c r="V42" i="67"/>
  <c r="J54" i="67"/>
  <c r="V60" i="67"/>
  <c r="V62" i="67"/>
  <c r="V65" i="67"/>
  <c r="R35" i="69"/>
  <c r="R43" i="69"/>
  <c r="R44" i="69"/>
  <c r="R72" i="69"/>
  <c r="R75" i="69"/>
  <c r="L15" i="70"/>
  <c r="N15" i="70" s="1"/>
  <c r="L19" i="70"/>
  <c r="N19" i="70" s="1"/>
  <c r="L23" i="70"/>
  <c r="N23" i="70" s="1"/>
  <c r="L27" i="70"/>
  <c r="L31" i="70"/>
  <c r="L35" i="70"/>
  <c r="N35" i="70" s="1"/>
  <c r="L39" i="70"/>
  <c r="N39" i="70" s="1"/>
  <c r="R47" i="70"/>
  <c r="F49" i="70"/>
  <c r="F56" i="70"/>
  <c r="F78" i="70"/>
  <c r="N115" i="70"/>
  <c r="R122" i="70"/>
  <c r="N36" i="72"/>
  <c r="N58" i="72"/>
  <c r="N16" i="73"/>
  <c r="N20" i="73"/>
  <c r="N28" i="73"/>
  <c r="J120" i="74"/>
  <c r="J108" i="74"/>
  <c r="J121" i="74"/>
  <c r="J109" i="74"/>
  <c r="J93" i="74"/>
  <c r="J122" i="74"/>
  <c r="J116" i="74"/>
  <c r="J123" i="74"/>
  <c r="J101" i="74"/>
  <c r="J124" i="74"/>
  <c r="J110" i="74"/>
  <c r="J102" i="74"/>
  <c r="J94" i="74"/>
  <c r="J90" i="74"/>
  <c r="J80" i="74"/>
  <c r="J112" i="74"/>
  <c r="J104" i="74"/>
  <c r="H77" i="74"/>
  <c r="J95" i="74"/>
  <c r="J91" i="74"/>
  <c r="J129" i="74"/>
  <c r="J113" i="74"/>
  <c r="J105" i="74"/>
  <c r="J134" i="74"/>
  <c r="J128" i="74"/>
  <c r="J114" i="74"/>
  <c r="J106" i="74"/>
  <c r="J98" i="74"/>
  <c r="J70" i="74"/>
  <c r="J63" i="74"/>
  <c r="J99" i="74"/>
  <c r="J87" i="74"/>
  <c r="J82" i="74"/>
  <c r="J77" i="74"/>
  <c r="J60" i="74"/>
  <c r="J56" i="74"/>
  <c r="J67" i="74"/>
  <c r="J130" i="74"/>
  <c r="J97" i="74"/>
  <c r="J85" i="74"/>
  <c r="J79" i="74"/>
  <c r="J64" i="74"/>
  <c r="J52" i="74"/>
  <c r="J119" i="74"/>
  <c r="J117" i="74"/>
  <c r="J115" i="74"/>
  <c r="J111" i="74"/>
  <c r="J74" i="74"/>
  <c r="J71" i="74"/>
  <c r="J57" i="74"/>
  <c r="J53" i="74"/>
  <c r="J125" i="74"/>
  <c r="J88" i="74"/>
  <c r="J68" i="74"/>
  <c r="J61" i="74"/>
  <c r="J103" i="74"/>
  <c r="J100" i="74"/>
  <c r="J89" i="74"/>
  <c r="J86" i="74"/>
  <c r="J83" i="74"/>
  <c r="J65" i="74"/>
  <c r="J58" i="74"/>
  <c r="J54" i="74"/>
  <c r="J81" i="74"/>
  <c r="J75" i="74"/>
  <c r="J118" i="74"/>
  <c r="J92" i="74"/>
  <c r="J84" i="74"/>
  <c r="J66" i="74"/>
  <c r="J59" i="74"/>
  <c r="J55" i="74"/>
  <c r="J126" i="74"/>
  <c r="J73" i="74"/>
  <c r="V19" i="67"/>
  <c r="V23" i="67"/>
  <c r="V27" i="67"/>
  <c r="J31" i="67"/>
  <c r="J35" i="67"/>
  <c r="V39" i="67"/>
  <c r="J53" i="67"/>
  <c r="L14" i="68"/>
  <c r="R60" i="69"/>
  <c r="R70" i="69"/>
  <c r="X12" i="70"/>
  <c r="Z12" i="70" s="1"/>
  <c r="R63" i="70"/>
  <c r="F70" i="70"/>
  <c r="L88" i="70"/>
  <c r="N88" i="70" s="1"/>
  <c r="F90" i="70"/>
  <c r="Z97" i="70"/>
  <c r="X103" i="70"/>
  <c r="Z103" i="70" s="1"/>
  <c r="R34" i="72"/>
  <c r="R30" i="72"/>
  <c r="R75" i="72"/>
  <c r="R58" i="72"/>
  <c r="R57" i="72"/>
  <c r="R50" i="72"/>
  <c r="R49" i="72"/>
  <c r="R21" i="72"/>
  <c r="R80" i="72"/>
  <c r="R77" i="72"/>
  <c r="R64" i="72"/>
  <c r="R40" i="72"/>
  <c r="X12" i="72"/>
  <c r="R60" i="72"/>
  <c r="R59" i="72"/>
  <c r="R52" i="72"/>
  <c r="R51" i="72"/>
  <c r="R36" i="72"/>
  <c r="R35" i="72"/>
  <c r="R31" i="72"/>
  <c r="R27" i="72"/>
  <c r="R22" i="72"/>
  <c r="R66" i="72"/>
  <c r="R65" i="72"/>
  <c r="R61" i="72"/>
  <c r="R54" i="72"/>
  <c r="R53" i="72"/>
  <c r="R42" i="72"/>
  <c r="R41" i="72"/>
  <c r="R37" i="72"/>
  <c r="R26" i="72"/>
  <c r="R24" i="72"/>
  <c r="R32" i="72"/>
  <c r="R28" i="72"/>
  <c r="P24" i="72"/>
  <c r="R68" i="72"/>
  <c r="R67" i="72"/>
  <c r="R55" i="72"/>
  <c r="R44" i="72"/>
  <c r="R43" i="72"/>
  <c r="R69" i="72"/>
  <c r="R46" i="72"/>
  <c r="R45" i="72"/>
  <c r="R33" i="72"/>
  <c r="R29" i="72"/>
  <c r="R73" i="72"/>
  <c r="R71" i="72"/>
  <c r="R56" i="72"/>
  <c r="R63" i="72"/>
  <c r="R48" i="72"/>
  <c r="R47" i="72"/>
  <c r="R39" i="72"/>
  <c r="R20" i="72"/>
  <c r="Z17" i="72"/>
  <c r="J61" i="72"/>
  <c r="Z63" i="73"/>
  <c r="R78" i="73"/>
  <c r="Z12" i="67"/>
  <c r="V32" i="67"/>
  <c r="V40" i="67"/>
  <c r="V48" i="67"/>
  <c r="J52" i="67"/>
  <c r="N14" i="68"/>
  <c r="L13" i="69"/>
  <c r="R25" i="69"/>
  <c r="R29" i="69"/>
  <c r="R41" i="69"/>
  <c r="R42" i="69"/>
  <c r="R53" i="69"/>
  <c r="X55" i="69"/>
  <c r="Z55" i="69" s="1"/>
  <c r="R44" i="70"/>
  <c r="R54" i="70"/>
  <c r="R80" i="70"/>
  <c r="F96" i="70"/>
  <c r="R107" i="70"/>
  <c r="V75" i="72"/>
  <c r="V57" i="72"/>
  <c r="V49" i="72"/>
  <c r="V21" i="72"/>
  <c r="V64" i="72"/>
  <c r="V60" i="72"/>
  <c r="V52" i="72"/>
  <c r="V40" i="72"/>
  <c r="V36" i="72"/>
  <c r="Z12" i="72"/>
  <c r="V59" i="72"/>
  <c r="V51" i="72"/>
  <c r="V35" i="72"/>
  <c r="V31" i="72"/>
  <c r="V27" i="72"/>
  <c r="V66" i="72"/>
  <c r="V54" i="72"/>
  <c r="V42" i="72"/>
  <c r="V26" i="72"/>
  <c r="V22" i="72"/>
  <c r="V65" i="72"/>
  <c r="V61" i="72"/>
  <c r="V53" i="72"/>
  <c r="V41" i="72"/>
  <c r="V37" i="72"/>
  <c r="T24" i="72"/>
  <c r="V68" i="72"/>
  <c r="V44" i="72"/>
  <c r="V32" i="72"/>
  <c r="V28" i="72"/>
  <c r="V67" i="72"/>
  <c r="V55" i="72"/>
  <c r="V43" i="72"/>
  <c r="V62" i="72"/>
  <c r="V46" i="72"/>
  <c r="V38" i="72"/>
  <c r="V56" i="72"/>
  <c r="V48" i="72"/>
  <c r="V20" i="72"/>
  <c r="V63" i="72"/>
  <c r="V47" i="72"/>
  <c r="V39" i="72"/>
  <c r="V58" i="72"/>
  <c r="V50" i="72"/>
  <c r="V34" i="72"/>
  <c r="V30" i="72"/>
  <c r="X18" i="73"/>
  <c r="Z18" i="73" s="1"/>
  <c r="X22" i="73"/>
  <c r="Z22" i="73" s="1"/>
  <c r="Z26" i="73"/>
  <c r="X26" i="73"/>
  <c r="X30" i="73"/>
  <c r="Z30" i="73" s="1"/>
  <c r="Z78" i="73"/>
  <c r="R124" i="74"/>
  <c r="R123" i="74"/>
  <c r="R80" i="74"/>
  <c r="R111" i="74"/>
  <c r="R110" i="74"/>
  <c r="R103" i="74"/>
  <c r="R102" i="74"/>
  <c r="R94" i="74"/>
  <c r="R90" i="74"/>
  <c r="R79" i="74"/>
  <c r="R77" i="74"/>
  <c r="R125" i="74"/>
  <c r="R117" i="74"/>
  <c r="R112" i="74"/>
  <c r="R104" i="74"/>
  <c r="R130" i="74"/>
  <c r="R96" i="74"/>
  <c r="R95" i="74"/>
  <c r="R91" i="74"/>
  <c r="R114" i="74"/>
  <c r="R113" i="74"/>
  <c r="R106" i="74"/>
  <c r="R105" i="74"/>
  <c r="R98" i="74"/>
  <c r="R97" i="74"/>
  <c r="R73" i="74"/>
  <c r="R134" i="74"/>
  <c r="R92" i="74"/>
  <c r="R122" i="74"/>
  <c r="R121" i="74"/>
  <c r="R109" i="74"/>
  <c r="R85" i="74"/>
  <c r="R74" i="74"/>
  <c r="R64" i="74"/>
  <c r="R57" i="74"/>
  <c r="R53" i="74"/>
  <c r="R119" i="74"/>
  <c r="R115" i="74"/>
  <c r="R93" i="74"/>
  <c r="R71" i="74"/>
  <c r="R68" i="74"/>
  <c r="R61" i="74"/>
  <c r="X12" i="74"/>
  <c r="R100" i="74"/>
  <c r="R88" i="74"/>
  <c r="R89" i="74"/>
  <c r="R83" i="74"/>
  <c r="R65" i="74"/>
  <c r="R58" i="74"/>
  <c r="R54" i="74"/>
  <c r="R107" i="74"/>
  <c r="R101" i="74"/>
  <c r="R86" i="74"/>
  <c r="R72" i="74"/>
  <c r="R69" i="74"/>
  <c r="R62" i="74"/>
  <c r="R120" i="74"/>
  <c r="R81" i="74"/>
  <c r="R75" i="74"/>
  <c r="R66" i="74"/>
  <c r="R59" i="74"/>
  <c r="R55" i="74"/>
  <c r="R129" i="74"/>
  <c r="R126" i="74"/>
  <c r="R70" i="74"/>
  <c r="R63" i="74"/>
  <c r="R99" i="74"/>
  <c r="R87" i="74"/>
  <c r="R56" i="74"/>
  <c r="R82" i="74"/>
  <c r="P77" i="74"/>
  <c r="R67" i="74"/>
  <c r="R60" i="74"/>
  <c r="R52" i="74"/>
  <c r="J21" i="67"/>
  <c r="J25" i="67"/>
  <c r="V37" i="67"/>
  <c r="J45" i="67"/>
  <c r="J51" i="67"/>
  <c r="N13" i="69"/>
  <c r="R34" i="69"/>
  <c r="R58" i="69"/>
  <c r="R59" i="69"/>
  <c r="L14" i="70"/>
  <c r="N14" i="70" s="1"/>
  <c r="L18" i="70"/>
  <c r="L22" i="70"/>
  <c r="N22" i="70" s="1"/>
  <c r="L26" i="70"/>
  <c r="N26" i="70" s="1"/>
  <c r="L30" i="70"/>
  <c r="N30" i="70" s="1"/>
  <c r="L34" i="70"/>
  <c r="L38" i="70"/>
  <c r="L42" i="70"/>
  <c r="N42" i="70" s="1"/>
  <c r="F43" i="70"/>
  <c r="R56" i="70"/>
  <c r="F66" i="70"/>
  <c r="R70" i="70"/>
  <c r="F74" i="70"/>
  <c r="N110" i="70"/>
  <c r="T12" i="73"/>
  <c r="Z14" i="73"/>
  <c r="X14" i="73"/>
  <c r="R61" i="73"/>
  <c r="V110" i="74"/>
  <c r="V102" i="74"/>
  <c r="V94" i="74"/>
  <c r="V90" i="74"/>
  <c r="V125" i="74"/>
  <c r="V117" i="74"/>
  <c r="V85" i="74"/>
  <c r="V81" i="74"/>
  <c r="V130" i="74"/>
  <c r="V129" i="74"/>
  <c r="V95" i="74"/>
  <c r="V128" i="74"/>
  <c r="V126" i="74"/>
  <c r="V118" i="74"/>
  <c r="V114" i="74"/>
  <c r="V106" i="74"/>
  <c r="V98" i="74"/>
  <c r="V86" i="74"/>
  <c r="V82" i="74"/>
  <c r="V134" i="74"/>
  <c r="V120" i="74"/>
  <c r="V108" i="74"/>
  <c r="V92" i="74"/>
  <c r="V119" i="74"/>
  <c r="V115" i="74"/>
  <c r="V107" i="74"/>
  <c r="V99" i="74"/>
  <c r="V87" i="74"/>
  <c r="V121" i="74"/>
  <c r="V109" i="74"/>
  <c r="V101" i="74"/>
  <c r="V124" i="74"/>
  <c r="V116" i="74"/>
  <c r="V100" i="74"/>
  <c r="V111" i="74"/>
  <c r="V104" i="74"/>
  <c r="V74" i="74"/>
  <c r="V64" i="74"/>
  <c r="V57" i="74"/>
  <c r="V53" i="74"/>
  <c r="V97" i="74"/>
  <c r="V93" i="74"/>
  <c r="V80" i="74"/>
  <c r="V71" i="74"/>
  <c r="V68" i="74"/>
  <c r="V61" i="74"/>
  <c r="Z12" i="74"/>
  <c r="V123" i="74"/>
  <c r="V113" i="74"/>
  <c r="V91" i="74"/>
  <c r="V89" i="74"/>
  <c r="V88" i="74"/>
  <c r="V103" i="74"/>
  <c r="V83" i="74"/>
  <c r="V65" i="74"/>
  <c r="V58" i="74"/>
  <c r="V54" i="74"/>
  <c r="V72" i="74"/>
  <c r="V69" i="74"/>
  <c r="V62" i="74"/>
  <c r="V96" i="74"/>
  <c r="V122" i="74"/>
  <c r="V75" i="74"/>
  <c r="V66" i="74"/>
  <c r="V59" i="74"/>
  <c r="V55" i="74"/>
  <c r="V105" i="74"/>
  <c r="V84" i="74"/>
  <c r="V56" i="74"/>
  <c r="V52" i="74"/>
  <c r="T77" i="74"/>
  <c r="V77" i="74" s="1"/>
  <c r="V67" i="74"/>
  <c r="V60" i="74"/>
  <c r="V79" i="74"/>
  <c r="Z34" i="74"/>
  <c r="V70" i="74"/>
  <c r="X124" i="74"/>
  <c r="Z124" i="74" s="1"/>
  <c r="V22" i="67"/>
  <c r="V26" i="67"/>
  <c r="V38" i="67"/>
  <c r="J44" i="67"/>
  <c r="V46" i="67"/>
  <c r="J50" i="67"/>
  <c r="V54" i="67"/>
  <c r="V56" i="67"/>
  <c r="V58" i="67"/>
  <c r="R39" i="69"/>
  <c r="R40" i="69"/>
  <c r="R51" i="69"/>
  <c r="R52" i="69"/>
  <c r="R66" i="69"/>
  <c r="R68" i="69"/>
  <c r="F42" i="70"/>
  <c r="R51" i="70"/>
  <c r="F53" i="70"/>
  <c r="R76" i="70"/>
  <c r="R82" i="70"/>
  <c r="F98" i="70"/>
  <c r="F116" i="70"/>
  <c r="J37" i="72"/>
  <c r="V63" i="74"/>
  <c r="V31" i="67"/>
  <c r="V35" i="67"/>
  <c r="J43" i="67"/>
  <c r="V47" i="67"/>
  <c r="X14" i="68"/>
  <c r="Z14" i="68" s="1"/>
  <c r="X18" i="68"/>
  <c r="Z18" i="68" s="1"/>
  <c r="X22" i="68"/>
  <c r="Z22" i="68" s="1"/>
  <c r="X26" i="68"/>
  <c r="Z26" i="68" s="1"/>
  <c r="P20" i="69"/>
  <c r="R24" i="69"/>
  <c r="R28" i="69"/>
  <c r="R64" i="69"/>
  <c r="F48" i="70"/>
  <c r="R66" i="70"/>
  <c r="Z90" i="70"/>
  <c r="N14" i="72"/>
  <c r="N16" i="72"/>
  <c r="N42" i="72"/>
  <c r="X46" i="72"/>
  <c r="Z46" i="72" s="1"/>
  <c r="Z68" i="72"/>
  <c r="V71" i="72"/>
  <c r="F77" i="73"/>
  <c r="F76" i="73"/>
  <c r="F61" i="73"/>
  <c r="F57" i="73"/>
  <c r="F68" i="73"/>
  <c r="F67" i="73"/>
  <c r="F48" i="73"/>
  <c r="F44" i="73"/>
  <c r="F40" i="73"/>
  <c r="F36" i="73"/>
  <c r="F79" i="73"/>
  <c r="F78" i="73"/>
  <c r="F70" i="73"/>
  <c r="F69" i="73"/>
  <c r="F62" i="73"/>
  <c r="F58" i="73"/>
  <c r="F49" i="73"/>
  <c r="F45" i="73"/>
  <c r="F41" i="73"/>
  <c r="F37" i="73"/>
  <c r="F83" i="73"/>
  <c r="F81" i="73"/>
  <c r="F64" i="73"/>
  <c r="F63" i="73"/>
  <c r="L12" i="73"/>
  <c r="F85" i="73"/>
  <c r="F71" i="73"/>
  <c r="F59" i="73"/>
  <c r="F55" i="73"/>
  <c r="F54" i="73"/>
  <c r="F53" i="73"/>
  <c r="F51" i="73"/>
  <c r="F46" i="73"/>
  <c r="F42" i="73"/>
  <c r="F38" i="73"/>
  <c r="F90" i="73"/>
  <c r="F87" i="73"/>
  <c r="F60" i="73"/>
  <c r="F56" i="73"/>
  <c r="F75" i="73"/>
  <c r="F74" i="73"/>
  <c r="F47" i="73"/>
  <c r="F43" i="73"/>
  <c r="F39" i="73"/>
  <c r="F35" i="73"/>
  <c r="F34" i="73"/>
  <c r="F66" i="73"/>
  <c r="Z50" i="74"/>
  <c r="R84" i="74"/>
  <c r="R108" i="74"/>
  <c r="J20" i="67"/>
  <c r="J24" i="67"/>
  <c r="J28" i="67"/>
  <c r="V36" i="67"/>
  <c r="J42" i="67"/>
  <c r="V52" i="67"/>
  <c r="J62" i="67"/>
  <c r="R22" i="69"/>
  <c r="R33" i="69"/>
  <c r="R37" i="69"/>
  <c r="R38" i="69"/>
  <c r="R49" i="69"/>
  <c r="R50" i="69"/>
  <c r="R57" i="69"/>
  <c r="R43" i="70"/>
  <c r="R58" i="70"/>
  <c r="L81" i="70"/>
  <c r="N81" i="70" s="1"/>
  <c r="N118" i="70"/>
  <c r="V29" i="72"/>
  <c r="L52" i="72"/>
  <c r="V45" i="67"/>
  <c r="R18" i="69"/>
  <c r="R23" i="69"/>
  <c r="R62" i="69"/>
  <c r="F122" i="70"/>
  <c r="F117" i="70"/>
  <c r="F80" i="70"/>
  <c r="F76" i="70"/>
  <c r="F115" i="70"/>
  <c r="F106" i="70"/>
  <c r="F82" i="70"/>
  <c r="F81" i="70"/>
  <c r="F58" i="70"/>
  <c r="F54" i="70"/>
  <c r="F50" i="70"/>
  <c r="F46" i="70"/>
  <c r="F101" i="70"/>
  <c r="F100" i="70"/>
  <c r="F77" i="70"/>
  <c r="F108" i="70"/>
  <c r="F107" i="70"/>
  <c r="F92" i="70"/>
  <c r="F84" i="70"/>
  <c r="F83" i="70"/>
  <c r="F72" i="70"/>
  <c r="F68" i="70"/>
  <c r="F64" i="70"/>
  <c r="F63" i="70"/>
  <c r="F62" i="70"/>
  <c r="F60" i="70"/>
  <c r="F55" i="70"/>
  <c r="F51" i="70"/>
  <c r="F47" i="70"/>
  <c r="F102" i="70"/>
  <c r="F94" i="70"/>
  <c r="F93" i="70"/>
  <c r="F109" i="70"/>
  <c r="F85" i="70"/>
  <c r="F69" i="70"/>
  <c r="F65" i="70"/>
  <c r="F111" i="70"/>
  <c r="F110" i="70"/>
  <c r="F87" i="70"/>
  <c r="F86" i="70"/>
  <c r="F79" i="70"/>
  <c r="F75" i="70"/>
  <c r="F118" i="70"/>
  <c r="F113" i="70"/>
  <c r="F112" i="70"/>
  <c r="F105" i="70"/>
  <c r="F89" i="70"/>
  <c r="F88" i="70"/>
  <c r="F57" i="70"/>
  <c r="F45" i="70"/>
  <c r="R46" i="70"/>
  <c r="R48" i="70"/>
  <c r="R55" i="70"/>
  <c r="X62" i="70"/>
  <c r="Z62" i="70" s="1"/>
  <c r="F71" i="70"/>
  <c r="F73" i="70"/>
  <c r="F91" i="70"/>
  <c r="R106" i="70"/>
  <c r="X116" i="70"/>
  <c r="P115" i="70"/>
  <c r="X115" i="70" s="1"/>
  <c r="J27" i="72"/>
  <c r="N52" i="72"/>
  <c r="R77" i="73"/>
  <c r="Z42" i="74"/>
  <c r="J69" i="74"/>
  <c r="V73" i="74"/>
  <c r="J107" i="74"/>
  <c r="J57" i="73"/>
  <c r="J61" i="73"/>
  <c r="J67" i="73"/>
  <c r="J77" i="73"/>
  <c r="N14" i="74"/>
  <c r="N18" i="74"/>
  <c r="N22" i="74"/>
  <c r="N26" i="74"/>
  <c r="N30" i="74"/>
  <c r="N34" i="74"/>
  <c r="N38" i="74"/>
  <c r="N42" i="74"/>
  <c r="N46" i="74"/>
  <c r="N50" i="74"/>
  <c r="X101" i="76"/>
  <c r="Z101" i="76" s="1"/>
  <c r="J66" i="73"/>
  <c r="J76" i="73"/>
  <c r="L124" i="74"/>
  <c r="N124" i="74" s="1"/>
  <c r="F70" i="78"/>
  <c r="F67" i="78"/>
  <c r="F61" i="78"/>
  <c r="F60" i="78"/>
  <c r="F31" i="78"/>
  <c r="F59" i="78"/>
  <c r="F54" i="78"/>
  <c r="F53" i="78"/>
  <c r="F22" i="78"/>
  <c r="F18" i="78"/>
  <c r="F17" i="78"/>
  <c r="F58" i="78"/>
  <c r="F45" i="78"/>
  <c r="F37" i="78"/>
  <c r="F63" i="78"/>
  <c r="F57" i="78"/>
  <c r="F32" i="78"/>
  <c r="F28" i="78"/>
  <c r="F27" i="78"/>
  <c r="F56" i="78"/>
  <c r="F47" i="78"/>
  <c r="F46" i="78"/>
  <c r="F26" i="78"/>
  <c r="F24" i="78"/>
  <c r="F19" i="78"/>
  <c r="F38" i="78"/>
  <c r="D24" i="78"/>
  <c r="F49" i="78"/>
  <c r="F48" i="78"/>
  <c r="F33" i="78"/>
  <c r="F29" i="78"/>
  <c r="F65" i="78"/>
  <c r="F40" i="78"/>
  <c r="F39" i="78"/>
  <c r="F20" i="78"/>
  <c r="F51" i="78"/>
  <c r="F50" i="78"/>
  <c r="F42" i="78"/>
  <c r="F41" i="78"/>
  <c r="F34" i="78"/>
  <c r="F30" i="78"/>
  <c r="F21" i="78"/>
  <c r="F52" i="78"/>
  <c r="F44" i="78"/>
  <c r="F43" i="78"/>
  <c r="F36" i="78"/>
  <c r="F35" i="78"/>
  <c r="L12" i="78"/>
  <c r="V60" i="79"/>
  <c r="V56" i="79"/>
  <c r="V48" i="79"/>
  <c r="V40" i="79"/>
  <c r="V63" i="79"/>
  <c r="V55" i="79"/>
  <c r="V39" i="79"/>
  <c r="V62" i="79"/>
  <c r="V50" i="79"/>
  <c r="V42" i="79"/>
  <c r="V34" i="79"/>
  <c r="V57" i="79"/>
  <c r="V49" i="79"/>
  <c r="V41" i="79"/>
  <c r="V29" i="79"/>
  <c r="V25" i="79"/>
  <c r="V66" i="79"/>
  <c r="V64" i="79"/>
  <c r="V52" i="79"/>
  <c r="V44" i="79"/>
  <c r="V16" i="79"/>
  <c r="V51" i="79"/>
  <c r="V43" i="79"/>
  <c r="V35" i="79"/>
  <c r="V58" i="79"/>
  <c r="V46" i="79"/>
  <c r="V30" i="79"/>
  <c r="V26" i="79"/>
  <c r="V53" i="79"/>
  <c r="V45" i="79"/>
  <c r="V70" i="79"/>
  <c r="V36" i="79"/>
  <c r="V32" i="79"/>
  <c r="V59" i="79"/>
  <c r="V47" i="79"/>
  <c r="V31" i="79"/>
  <c r="V27" i="79"/>
  <c r="V23" i="79"/>
  <c r="V54" i="79"/>
  <c r="V61" i="79"/>
  <c r="T20" i="79"/>
  <c r="V17" i="79"/>
  <c r="V38" i="79"/>
  <c r="V33" i="79"/>
  <c r="V22" i="79"/>
  <c r="V24" i="79"/>
  <c r="V18" i="79"/>
  <c r="V28" i="79"/>
  <c r="V37" i="79"/>
  <c r="J35" i="73"/>
  <c r="J39" i="73"/>
  <c r="J43" i="73"/>
  <c r="J47" i="73"/>
  <c r="J75" i="73"/>
  <c r="L13" i="74"/>
  <c r="N96" i="74"/>
  <c r="Z26" i="75"/>
  <c r="N39" i="76"/>
  <c r="Z26" i="78"/>
  <c r="T115" i="70"/>
  <c r="J65" i="73"/>
  <c r="J73" i="73"/>
  <c r="Z108" i="74"/>
  <c r="Z122" i="74"/>
  <c r="N49" i="75"/>
  <c r="Z39" i="76"/>
  <c r="Z79" i="76"/>
  <c r="J38" i="73"/>
  <c r="J42" i="73"/>
  <c r="J46" i="73"/>
  <c r="H51" i="73"/>
  <c r="J72" i="73"/>
  <c r="Z114" i="74"/>
  <c r="X114" i="74"/>
  <c r="Z14" i="76"/>
  <c r="X13" i="72"/>
  <c r="J51" i="73"/>
  <c r="J53" i="73"/>
  <c r="J55" i="73"/>
  <c r="J59" i="73"/>
  <c r="J71" i="73"/>
  <c r="J85" i="73"/>
  <c r="X13" i="74"/>
  <c r="X17" i="74"/>
  <c r="X21" i="74"/>
  <c r="Z21" i="74" s="1"/>
  <c r="X25" i="74"/>
  <c r="X29" i="74"/>
  <c r="X33" i="74"/>
  <c r="Z33" i="74" s="1"/>
  <c r="X37" i="74"/>
  <c r="Z37" i="74" s="1"/>
  <c r="X41" i="74"/>
  <c r="X45" i="74"/>
  <c r="Z45" i="74" s="1"/>
  <c r="X49" i="74"/>
  <c r="Z49" i="74" s="1"/>
  <c r="L80" i="74"/>
  <c r="N80" i="74" s="1"/>
  <c r="T12" i="75"/>
  <c r="Z13" i="75"/>
  <c r="X13" i="75"/>
  <c r="X17" i="75"/>
  <c r="Z17" i="75" s="1"/>
  <c r="X21" i="75"/>
  <c r="Z21" i="75" s="1"/>
  <c r="Z18" i="76"/>
  <c r="Z20" i="76"/>
  <c r="Z24" i="76"/>
  <c r="Z28" i="76"/>
  <c r="Z32" i="76"/>
  <c r="Z36" i="76"/>
  <c r="N67" i="76"/>
  <c r="Z13" i="72"/>
  <c r="N12" i="73"/>
  <c r="X13" i="73"/>
  <c r="Z13" i="73" s="1"/>
  <c r="J54" i="73"/>
  <c r="J64" i="73"/>
  <c r="Z13" i="74"/>
  <c r="Z101" i="74"/>
  <c r="X80" i="75"/>
  <c r="Z77" i="76"/>
  <c r="J37" i="73"/>
  <c r="J41" i="73"/>
  <c r="J45" i="73"/>
  <c r="J49" i="73"/>
  <c r="J63" i="73"/>
  <c r="J81" i="73"/>
  <c r="Z89" i="74"/>
  <c r="F39" i="75"/>
  <c r="F35" i="75"/>
  <c r="F74" i="75"/>
  <c r="F73" i="75"/>
  <c r="F62" i="75"/>
  <c r="F54" i="75"/>
  <c r="F53" i="75"/>
  <c r="F69" i="75"/>
  <c r="F45" i="75"/>
  <c r="F76" i="75"/>
  <c r="F75" i="75"/>
  <c r="F56" i="75"/>
  <c r="F55" i="75"/>
  <c r="F40" i="75"/>
  <c r="F36" i="75"/>
  <c r="F63" i="75"/>
  <c r="F78" i="75"/>
  <c r="F77" i="75"/>
  <c r="F70" i="75"/>
  <c r="F46" i="75"/>
  <c r="F65" i="75"/>
  <c r="F64" i="75"/>
  <c r="F57" i="75"/>
  <c r="F41" i="75"/>
  <c r="F37" i="75"/>
  <c r="F81" i="75"/>
  <c r="F48" i="75"/>
  <c r="F47" i="75"/>
  <c r="F85" i="75"/>
  <c r="F71" i="75"/>
  <c r="F67" i="75"/>
  <c r="F66" i="75"/>
  <c r="F59" i="75"/>
  <c r="F58" i="75"/>
  <c r="F43" i="75"/>
  <c r="F42" i="75"/>
  <c r="F50" i="75"/>
  <c r="F49" i="75"/>
  <c r="F38" i="75"/>
  <c r="F34" i="75"/>
  <c r="F33" i="75"/>
  <c r="F61" i="75"/>
  <c r="F60" i="75"/>
  <c r="F32" i="75"/>
  <c r="F28" i="75"/>
  <c r="F72" i="75"/>
  <c r="F68" i="75"/>
  <c r="F52" i="75"/>
  <c r="F51" i="75"/>
  <c r="F44" i="75"/>
  <c r="D30" i="75"/>
  <c r="Z80" i="75"/>
  <c r="Z98" i="76"/>
  <c r="J58" i="73"/>
  <c r="J62" i="73"/>
  <c r="J70" i="73"/>
  <c r="D128" i="74"/>
  <c r="L128" i="74" s="1"/>
  <c r="X130" i="74"/>
  <c r="P128" i="74"/>
  <c r="X128" i="74" s="1"/>
  <c r="Z128" i="74" s="1"/>
  <c r="J58" i="78"/>
  <c r="J54" i="78"/>
  <c r="J22" i="78"/>
  <c r="J18" i="78"/>
  <c r="J57" i="78"/>
  <c r="J45" i="78"/>
  <c r="J37" i="78"/>
  <c r="J27" i="78"/>
  <c r="J46" i="78"/>
  <c r="J32" i="78"/>
  <c r="J28" i="78"/>
  <c r="J26" i="78"/>
  <c r="J47" i="78"/>
  <c r="H24" i="78"/>
  <c r="J19" i="78"/>
  <c r="J48" i="78"/>
  <c r="J38" i="78"/>
  <c r="J49" i="78"/>
  <c r="J39" i="78"/>
  <c r="J33" i="78"/>
  <c r="J29" i="78"/>
  <c r="J65" i="78"/>
  <c r="J50" i="78"/>
  <c r="J40" i="78"/>
  <c r="J20" i="78"/>
  <c r="J51" i="78"/>
  <c r="J41" i="78"/>
  <c r="J42" i="78"/>
  <c r="J34" i="78"/>
  <c r="J30" i="78"/>
  <c r="J43" i="78"/>
  <c r="J35" i="78"/>
  <c r="J21" i="78"/>
  <c r="J61" i="78"/>
  <c r="J60" i="78"/>
  <c r="J52" i="78"/>
  <c r="J44" i="78"/>
  <c r="J36" i="78"/>
  <c r="N12" i="78"/>
  <c r="J59" i="78"/>
  <c r="J53" i="78"/>
  <c r="J31" i="78"/>
  <c r="J17" i="78"/>
  <c r="Z35" i="78"/>
  <c r="J69" i="73"/>
  <c r="J79" i="73"/>
  <c r="R103" i="76"/>
  <c r="R80" i="76"/>
  <c r="R57" i="76"/>
  <c r="R52" i="76"/>
  <c r="R48" i="76"/>
  <c r="R44" i="76"/>
  <c r="R40" i="76"/>
  <c r="R109" i="76"/>
  <c r="R102" i="76"/>
  <c r="R99" i="76"/>
  <c r="R91" i="76"/>
  <c r="R71" i="76"/>
  <c r="R56" i="76"/>
  <c r="R54" i="76"/>
  <c r="R101" i="76"/>
  <c r="R67" i="76"/>
  <c r="R66" i="76"/>
  <c r="R62" i="76"/>
  <c r="R58" i="76"/>
  <c r="P54" i="76"/>
  <c r="R82" i="76"/>
  <c r="R81" i="76"/>
  <c r="R49" i="76"/>
  <c r="R45" i="76"/>
  <c r="R41" i="76"/>
  <c r="R92" i="76"/>
  <c r="R73" i="76"/>
  <c r="R72" i="76"/>
  <c r="R68" i="76"/>
  <c r="X12" i="76"/>
  <c r="Z12" i="76" s="1"/>
  <c r="R84" i="76"/>
  <c r="R83" i="76"/>
  <c r="R63" i="76"/>
  <c r="R59" i="76"/>
  <c r="R75" i="76"/>
  <c r="R74" i="76"/>
  <c r="R50" i="76"/>
  <c r="R46" i="76"/>
  <c r="R42" i="76"/>
  <c r="R94" i="76"/>
  <c r="R93" i="76"/>
  <c r="R86" i="76"/>
  <c r="R85" i="76"/>
  <c r="R69" i="76"/>
  <c r="R77" i="76"/>
  <c r="R76" i="76"/>
  <c r="R64" i="76"/>
  <c r="R60" i="76"/>
  <c r="R96" i="76"/>
  <c r="R95" i="76"/>
  <c r="R88" i="76"/>
  <c r="R87" i="76"/>
  <c r="R51" i="76"/>
  <c r="R47" i="76"/>
  <c r="R43" i="76"/>
  <c r="R105" i="76"/>
  <c r="R79" i="76"/>
  <c r="R78" i="76"/>
  <c r="R70" i="76"/>
  <c r="R39" i="76"/>
  <c r="R104" i="76"/>
  <c r="R98" i="76"/>
  <c r="R97" i="76"/>
  <c r="R90" i="76"/>
  <c r="R89" i="76"/>
  <c r="R65" i="76"/>
  <c r="R61" i="76"/>
  <c r="Z56" i="78"/>
  <c r="J36" i="73"/>
  <c r="J40" i="73"/>
  <c r="J44" i="73"/>
  <c r="J48" i="73"/>
  <c r="J68" i="73"/>
  <c r="L12" i="75"/>
  <c r="N12" i="75" s="1"/>
  <c r="Z55" i="75"/>
  <c r="N60" i="75"/>
  <c r="V109" i="76"/>
  <c r="V101" i="76"/>
  <c r="V99" i="76"/>
  <c r="V91" i="76"/>
  <c r="V71" i="76"/>
  <c r="V67" i="76"/>
  <c r="T54" i="76"/>
  <c r="V82" i="76"/>
  <c r="V66" i="76"/>
  <c r="V62" i="76"/>
  <c r="V58" i="76"/>
  <c r="V81" i="76"/>
  <c r="V73" i="76"/>
  <c r="V49" i="76"/>
  <c r="V45" i="76"/>
  <c r="V41" i="76"/>
  <c r="V92" i="76"/>
  <c r="V84" i="76"/>
  <c r="V72" i="76"/>
  <c r="V68" i="76"/>
  <c r="V83" i="76"/>
  <c r="V75" i="76"/>
  <c r="V63" i="76"/>
  <c r="V59" i="76"/>
  <c r="V94" i="76"/>
  <c r="V86" i="76"/>
  <c r="V74" i="76"/>
  <c r="V50" i="76"/>
  <c r="V46" i="76"/>
  <c r="V42" i="76"/>
  <c r="V93" i="76"/>
  <c r="V85" i="76"/>
  <c r="V77" i="76"/>
  <c r="V69" i="76"/>
  <c r="V96" i="76"/>
  <c r="V88" i="76"/>
  <c r="V76" i="76"/>
  <c r="V64" i="76"/>
  <c r="V60" i="76"/>
  <c r="V105" i="76"/>
  <c r="V95" i="76"/>
  <c r="V87" i="76"/>
  <c r="V79" i="76"/>
  <c r="V51" i="76"/>
  <c r="V47" i="76"/>
  <c r="V43" i="76"/>
  <c r="V39" i="76"/>
  <c r="V104" i="76"/>
  <c r="V98" i="76"/>
  <c r="V90" i="76"/>
  <c r="V78" i="76"/>
  <c r="V70" i="76"/>
  <c r="V103" i="76"/>
  <c r="V97" i="76"/>
  <c r="V89" i="76"/>
  <c r="V65" i="76"/>
  <c r="V61" i="76"/>
  <c r="V57" i="76"/>
  <c r="V102" i="76"/>
  <c r="V80" i="76"/>
  <c r="V56" i="76"/>
  <c r="V54" i="76"/>
  <c r="V52" i="76"/>
  <c r="V48" i="76"/>
  <c r="V44" i="76"/>
  <c r="V40" i="76"/>
  <c r="Z15" i="76"/>
  <c r="N105" i="76"/>
  <c r="V50" i="78"/>
  <c r="V38" i="78"/>
  <c r="V49" i="78"/>
  <c r="V41" i="78"/>
  <c r="V33" i="78"/>
  <c r="V29" i="78"/>
  <c r="V40" i="78"/>
  <c r="V20" i="78"/>
  <c r="V65" i="78"/>
  <c r="V51" i="78"/>
  <c r="V43" i="78"/>
  <c r="V35" i="78"/>
  <c r="V42" i="78"/>
  <c r="V34" i="78"/>
  <c r="V30" i="78"/>
  <c r="V61" i="78"/>
  <c r="V60" i="78"/>
  <c r="V59" i="78"/>
  <c r="V53" i="78"/>
  <c r="V21" i="78"/>
  <c r="V17" i="78"/>
  <c r="V58" i="78"/>
  <c r="V52" i="78"/>
  <c r="V44" i="78"/>
  <c r="V36" i="78"/>
  <c r="V57" i="78"/>
  <c r="V31" i="78"/>
  <c r="V27" i="78"/>
  <c r="V56" i="78"/>
  <c r="V54" i="78"/>
  <c r="V46" i="78"/>
  <c r="V26" i="78"/>
  <c r="V22" i="78"/>
  <c r="V18" i="78"/>
  <c r="V45" i="78"/>
  <c r="V37" i="78"/>
  <c r="T24" i="78"/>
  <c r="V24" i="78" s="1"/>
  <c r="V48" i="78"/>
  <c r="V32" i="78"/>
  <c r="V28" i="78"/>
  <c r="V47" i="78"/>
  <c r="V39" i="78"/>
  <c r="V19" i="78"/>
  <c r="Z33" i="75"/>
  <c r="R36" i="75"/>
  <c r="R40" i="75"/>
  <c r="Z49" i="75"/>
  <c r="R56" i="75"/>
  <c r="R76" i="75"/>
  <c r="R77" i="75"/>
  <c r="J60" i="76"/>
  <c r="J64" i="76"/>
  <c r="F69" i="76"/>
  <c r="J76" i="76"/>
  <c r="F84" i="76"/>
  <c r="F85" i="76"/>
  <c r="J86" i="76"/>
  <c r="F93" i="76"/>
  <c r="J94" i="76"/>
  <c r="P56" i="78"/>
  <c r="X56" i="78" s="1"/>
  <c r="P21" i="82"/>
  <c r="R29" i="82"/>
  <c r="R17" i="82"/>
  <c r="X12" i="82"/>
  <c r="R18" i="82"/>
  <c r="R19" i="82"/>
  <c r="R25" i="82"/>
  <c r="R23" i="82"/>
  <c r="R21" i="82"/>
  <c r="X25" i="75"/>
  <c r="Z25" i="75" s="1"/>
  <c r="R45" i="75"/>
  <c r="R69" i="75"/>
  <c r="X81" i="75"/>
  <c r="Z81" i="75" s="1"/>
  <c r="X14" i="76"/>
  <c r="X18" i="76"/>
  <c r="X22" i="76"/>
  <c r="Z22" i="76" s="1"/>
  <c r="X26" i="76"/>
  <c r="Z26" i="76" s="1"/>
  <c r="X30" i="76"/>
  <c r="Z30" i="76" s="1"/>
  <c r="X34" i="76"/>
  <c r="Z34" i="76" s="1"/>
  <c r="F42" i="76"/>
  <c r="F46" i="76"/>
  <c r="F50" i="76"/>
  <c r="J69" i="76"/>
  <c r="F73" i="76"/>
  <c r="F74" i="76"/>
  <c r="J75" i="76"/>
  <c r="J85" i="76"/>
  <c r="J93" i="76"/>
  <c r="X13" i="78"/>
  <c r="X13" i="79"/>
  <c r="Z23" i="79"/>
  <c r="F42" i="79"/>
  <c r="Z16" i="80"/>
  <c r="N39" i="80"/>
  <c r="N16" i="83"/>
  <c r="N22" i="83"/>
  <c r="R54" i="75"/>
  <c r="R55" i="75"/>
  <c r="R62" i="75"/>
  <c r="R74" i="75"/>
  <c r="R75" i="75"/>
  <c r="D80" i="75"/>
  <c r="L80" i="75" s="1"/>
  <c r="N80" i="75" s="1"/>
  <c r="J42" i="76"/>
  <c r="J46" i="76"/>
  <c r="J50" i="76"/>
  <c r="X57" i="76"/>
  <c r="Z57" i="76" s="1"/>
  <c r="F59" i="76"/>
  <c r="F63" i="76"/>
  <c r="J74" i="76"/>
  <c r="L75" i="76"/>
  <c r="N75" i="76" s="1"/>
  <c r="F82" i="76"/>
  <c r="F83" i="76"/>
  <c r="J84" i="76"/>
  <c r="X103" i="76"/>
  <c r="P12" i="78"/>
  <c r="Z13" i="78"/>
  <c r="X48" i="78"/>
  <c r="Z48" i="78" s="1"/>
  <c r="L60" i="78"/>
  <c r="Z13" i="79"/>
  <c r="N22" i="79"/>
  <c r="X23" i="79"/>
  <c r="R32" i="79"/>
  <c r="F35" i="79"/>
  <c r="F66" i="83"/>
  <c r="F65" i="83"/>
  <c r="F50" i="83"/>
  <c r="F49" i="83"/>
  <c r="F87" i="83"/>
  <c r="F84" i="83"/>
  <c r="F72" i="83"/>
  <c r="F68" i="83"/>
  <c r="F67" i="83"/>
  <c r="F60" i="83"/>
  <c r="F52" i="83"/>
  <c r="F51" i="83"/>
  <c r="F43" i="83"/>
  <c r="F42" i="83"/>
  <c r="F74" i="83"/>
  <c r="F73" i="83"/>
  <c r="F62" i="83"/>
  <c r="F61" i="83"/>
  <c r="F54" i="83"/>
  <c r="F53" i="83"/>
  <c r="F69" i="83"/>
  <c r="F76" i="83"/>
  <c r="F75" i="83"/>
  <c r="F56" i="83"/>
  <c r="F55" i="83"/>
  <c r="F70" i="83"/>
  <c r="F58" i="83"/>
  <c r="F57" i="83"/>
  <c r="F46" i="83"/>
  <c r="F80" i="83"/>
  <c r="F78" i="83"/>
  <c r="F82" i="83"/>
  <c r="F34" i="83"/>
  <c r="D20" i="83"/>
  <c r="F40" i="83"/>
  <c r="F29" i="83"/>
  <c r="F25" i="83"/>
  <c r="F63" i="83"/>
  <c r="F44" i="83"/>
  <c r="F41" i="83"/>
  <c r="F59" i="83"/>
  <c r="F47" i="83"/>
  <c r="F35" i="83"/>
  <c r="F30" i="83"/>
  <c r="F26" i="83"/>
  <c r="F71" i="83"/>
  <c r="F17" i="83"/>
  <c r="F16" i="83"/>
  <c r="F48" i="83"/>
  <c r="F45" i="83"/>
  <c r="F36" i="83"/>
  <c r="L12" i="83"/>
  <c r="F31" i="83"/>
  <c r="F27" i="83"/>
  <c r="F18" i="83"/>
  <c r="F37" i="83"/>
  <c r="F33" i="83"/>
  <c r="F32" i="83"/>
  <c r="F64" i="83"/>
  <c r="F28" i="83"/>
  <c r="F24" i="83"/>
  <c r="F23" i="83"/>
  <c r="F39" i="83"/>
  <c r="F38" i="83"/>
  <c r="F22" i="83"/>
  <c r="F20" i="83"/>
  <c r="D54" i="76"/>
  <c r="J59" i="76"/>
  <c r="J63" i="76"/>
  <c r="F67" i="76"/>
  <c r="F68" i="76"/>
  <c r="F72" i="76"/>
  <c r="J73" i="76"/>
  <c r="J83" i="76"/>
  <c r="L84" i="76"/>
  <c r="X90" i="76"/>
  <c r="Z90" i="76" s="1"/>
  <c r="F92" i="76"/>
  <c r="X98" i="76"/>
  <c r="F101" i="76"/>
  <c r="Z103" i="76"/>
  <c r="X104" i="76"/>
  <c r="Z104" i="76" s="1"/>
  <c r="Z16" i="79"/>
  <c r="R18" i="79"/>
  <c r="X22" i="79"/>
  <c r="Z22" i="79" s="1"/>
  <c r="Z39" i="80"/>
  <c r="J67" i="83"/>
  <c r="J51" i="83"/>
  <c r="J72" i="83"/>
  <c r="J68" i="83"/>
  <c r="J60" i="83"/>
  <c r="J73" i="83"/>
  <c r="J61" i="83"/>
  <c r="J53" i="83"/>
  <c r="J43" i="83"/>
  <c r="J74" i="83"/>
  <c r="J62" i="83"/>
  <c r="J54" i="83"/>
  <c r="J44" i="83"/>
  <c r="J75" i="83"/>
  <c r="J69" i="83"/>
  <c r="J55" i="83"/>
  <c r="J76" i="83"/>
  <c r="J63" i="83"/>
  <c r="J57" i="83"/>
  <c r="J47" i="83"/>
  <c r="J82" i="83"/>
  <c r="J64" i="83"/>
  <c r="J48" i="83"/>
  <c r="J29" i="83"/>
  <c r="J25" i="83"/>
  <c r="J52" i="83"/>
  <c r="J41" i="83"/>
  <c r="J59" i="83"/>
  <c r="J35" i="83"/>
  <c r="J65" i="83"/>
  <c r="J50" i="83"/>
  <c r="J30" i="83"/>
  <c r="J26" i="83"/>
  <c r="J16" i="83"/>
  <c r="J71" i="83"/>
  <c r="J17" i="83"/>
  <c r="J45" i="83"/>
  <c r="J42" i="83"/>
  <c r="J36" i="83"/>
  <c r="N12" i="83"/>
  <c r="J31" i="83"/>
  <c r="J27" i="83"/>
  <c r="J78" i="83"/>
  <c r="J32" i="83"/>
  <c r="J18" i="83"/>
  <c r="J37" i="83"/>
  <c r="J33" i="83"/>
  <c r="J23" i="83"/>
  <c r="J58" i="83"/>
  <c r="J49" i="83"/>
  <c r="J38" i="83"/>
  <c r="J28" i="83"/>
  <c r="J24" i="83"/>
  <c r="J22" i="83"/>
  <c r="J39" i="83"/>
  <c r="H20" i="83"/>
  <c r="J70" i="83"/>
  <c r="J66" i="83"/>
  <c r="J56" i="83"/>
  <c r="J46" i="83"/>
  <c r="J40" i="83"/>
  <c r="J34" i="83"/>
  <c r="Z16" i="83"/>
  <c r="Z22" i="83"/>
  <c r="N32" i="83"/>
  <c r="X12" i="75"/>
  <c r="R44" i="75"/>
  <c r="R52" i="75"/>
  <c r="R53" i="75"/>
  <c r="R68" i="75"/>
  <c r="R72" i="75"/>
  <c r="R73" i="75"/>
  <c r="N12" i="76"/>
  <c r="X13" i="76"/>
  <c r="F41" i="76"/>
  <c r="F45" i="76"/>
  <c r="F49" i="76"/>
  <c r="F54" i="76"/>
  <c r="F56" i="76"/>
  <c r="J68" i="76"/>
  <c r="J72" i="76"/>
  <c r="F81" i="76"/>
  <c r="J82" i="76"/>
  <c r="J92" i="76"/>
  <c r="H101" i="76"/>
  <c r="F102" i="76"/>
  <c r="X105" i="76"/>
  <c r="Z105" i="76" s="1"/>
  <c r="R61" i="75"/>
  <c r="Z13" i="76"/>
  <c r="J41" i="76"/>
  <c r="J45" i="76"/>
  <c r="J49" i="76"/>
  <c r="H54" i="76"/>
  <c r="F57" i="76"/>
  <c r="F58" i="76"/>
  <c r="F62" i="76"/>
  <c r="F66" i="76"/>
  <c r="J67" i="76"/>
  <c r="J81" i="76"/>
  <c r="J101" i="76"/>
  <c r="F103" i="76"/>
  <c r="Z61" i="78"/>
  <c r="R38" i="79"/>
  <c r="R37" i="79"/>
  <c r="R33" i="79"/>
  <c r="R61" i="79"/>
  <c r="R60" i="79"/>
  <c r="R48" i="79"/>
  <c r="R28" i="79"/>
  <c r="R24" i="79"/>
  <c r="P20" i="79"/>
  <c r="R56" i="79"/>
  <c r="R55" i="79"/>
  <c r="R40" i="79"/>
  <c r="R39" i="79"/>
  <c r="R63" i="79"/>
  <c r="R62" i="79"/>
  <c r="R34" i="79"/>
  <c r="R57" i="79"/>
  <c r="R50" i="79"/>
  <c r="R49" i="79"/>
  <c r="R42" i="79"/>
  <c r="R41" i="79"/>
  <c r="R29" i="79"/>
  <c r="R25" i="79"/>
  <c r="R64" i="79"/>
  <c r="R66" i="79"/>
  <c r="R52" i="79"/>
  <c r="R51" i="79"/>
  <c r="R44" i="79"/>
  <c r="R43" i="79"/>
  <c r="R35" i="79"/>
  <c r="R16" i="79"/>
  <c r="R58" i="79"/>
  <c r="R30" i="79"/>
  <c r="R26" i="79"/>
  <c r="R53" i="79"/>
  <c r="R46" i="79"/>
  <c r="R45" i="79"/>
  <c r="R70" i="79"/>
  <c r="R36" i="79"/>
  <c r="X12" i="79"/>
  <c r="Z12" i="79" s="1"/>
  <c r="R59" i="79"/>
  <c r="R47" i="79"/>
  <c r="R54" i="79"/>
  <c r="N14" i="79"/>
  <c r="X38" i="79"/>
  <c r="Z38" i="79" s="1"/>
  <c r="N52" i="79"/>
  <c r="Z37" i="80"/>
  <c r="V69" i="83"/>
  <c r="V57" i="83"/>
  <c r="V45" i="83"/>
  <c r="V78" i="83"/>
  <c r="V76" i="83"/>
  <c r="V63" i="83"/>
  <c r="V47" i="83"/>
  <c r="V70" i="83"/>
  <c r="V58" i="83"/>
  <c r="V46" i="83"/>
  <c r="V65" i="83"/>
  <c r="V82" i="83"/>
  <c r="V64" i="83"/>
  <c r="V71" i="83"/>
  <c r="V67" i="83"/>
  <c r="V59" i="83"/>
  <c r="V51" i="83"/>
  <c r="V73" i="83"/>
  <c r="V61" i="83"/>
  <c r="V53" i="83"/>
  <c r="V41" i="83"/>
  <c r="V72" i="83"/>
  <c r="V68" i="83"/>
  <c r="V60" i="83"/>
  <c r="V52" i="83"/>
  <c r="V44" i="83"/>
  <c r="V75" i="83"/>
  <c r="V74" i="83"/>
  <c r="V42" i="83"/>
  <c r="V17" i="83"/>
  <c r="V55" i="83"/>
  <c r="V50" i="83"/>
  <c r="V36" i="83"/>
  <c r="V32" i="83"/>
  <c r="V48" i="83"/>
  <c r="V31" i="83"/>
  <c r="V27" i="83"/>
  <c r="V23" i="83"/>
  <c r="V38" i="83"/>
  <c r="V22" i="83"/>
  <c r="V18" i="83"/>
  <c r="V37" i="83"/>
  <c r="V33" i="83"/>
  <c r="T20" i="83"/>
  <c r="V20" i="83" s="1"/>
  <c r="V62" i="83"/>
  <c r="V49" i="83"/>
  <c r="V40" i="83"/>
  <c r="V28" i="83"/>
  <c r="V24" i="83"/>
  <c r="V43" i="83"/>
  <c r="V39" i="83"/>
  <c r="V34" i="83"/>
  <c r="V54" i="83"/>
  <c r="V29" i="83"/>
  <c r="V25" i="83"/>
  <c r="V66" i="83"/>
  <c r="V56" i="83"/>
  <c r="V16" i="83"/>
  <c r="V35" i="83"/>
  <c r="V30" i="83"/>
  <c r="V26" i="83"/>
  <c r="P30" i="75"/>
  <c r="R30" i="75" s="1"/>
  <c r="R34" i="75"/>
  <c r="R38" i="75"/>
  <c r="R50" i="75"/>
  <c r="R51" i="75"/>
  <c r="J54" i="76"/>
  <c r="J56" i="76"/>
  <c r="J58" i="76"/>
  <c r="J62" i="76"/>
  <c r="J66" i="76"/>
  <c r="F71" i="76"/>
  <c r="F90" i="76"/>
  <c r="F91" i="76"/>
  <c r="F98" i="76"/>
  <c r="F99" i="76"/>
  <c r="J102" i="76"/>
  <c r="F104" i="76"/>
  <c r="F109" i="76"/>
  <c r="V29" i="82"/>
  <c r="V17" i="82"/>
  <c r="Z12" i="82"/>
  <c r="V18" i="82"/>
  <c r="V25" i="82"/>
  <c r="V23" i="82"/>
  <c r="V19" i="82"/>
  <c r="T21" i="82"/>
  <c r="X15" i="75"/>
  <c r="Z15" i="75" s="1"/>
  <c r="X19" i="75"/>
  <c r="Z19" i="75" s="1"/>
  <c r="X23" i="75"/>
  <c r="Z23" i="75" s="1"/>
  <c r="R28" i="75"/>
  <c r="R32" i="75"/>
  <c r="R43" i="75"/>
  <c r="R59" i="75"/>
  <c r="R60" i="75"/>
  <c r="R67" i="75"/>
  <c r="R71" i="75"/>
  <c r="R85" i="75"/>
  <c r="F39" i="76"/>
  <c r="F40" i="76"/>
  <c r="F44" i="76"/>
  <c r="F48" i="76"/>
  <c r="F52" i="76"/>
  <c r="J57" i="76"/>
  <c r="J71" i="76"/>
  <c r="F79" i="76"/>
  <c r="F80" i="76"/>
  <c r="J91" i="76"/>
  <c r="J99" i="76"/>
  <c r="J103" i="76"/>
  <c r="F105" i="76"/>
  <c r="J109" i="76"/>
  <c r="D20" i="79"/>
  <c r="R31" i="79"/>
  <c r="Z52" i="79"/>
  <c r="R33" i="75"/>
  <c r="R48" i="75"/>
  <c r="R49" i="75"/>
  <c r="J40" i="76"/>
  <c r="J44" i="76"/>
  <c r="J48" i="76"/>
  <c r="J52" i="76"/>
  <c r="F61" i="76"/>
  <c r="F65" i="76"/>
  <c r="J80" i="76"/>
  <c r="F88" i="76"/>
  <c r="F89" i="76"/>
  <c r="J90" i="76"/>
  <c r="F96" i="76"/>
  <c r="F97" i="76"/>
  <c r="J98" i="76"/>
  <c r="L103" i="76"/>
  <c r="J104" i="76"/>
  <c r="L48" i="78"/>
  <c r="N48" i="78" s="1"/>
  <c r="H56" i="78"/>
  <c r="J56" i="78" s="1"/>
  <c r="R17" i="79"/>
  <c r="R37" i="75"/>
  <c r="R41" i="75"/>
  <c r="R42" i="75"/>
  <c r="R57" i="75"/>
  <c r="R58" i="75"/>
  <c r="R65" i="75"/>
  <c r="R66" i="75"/>
  <c r="R80" i="75"/>
  <c r="J39" i="76"/>
  <c r="J61" i="76"/>
  <c r="J65" i="76"/>
  <c r="F70" i="76"/>
  <c r="F77" i="76"/>
  <c r="F78" i="76"/>
  <c r="J79" i="76"/>
  <c r="J89" i="76"/>
  <c r="J97" i="76"/>
  <c r="J105" i="76"/>
  <c r="L13" i="78"/>
  <c r="F68" i="79"/>
  <c r="F66" i="79"/>
  <c r="F53" i="79"/>
  <c r="F52" i="79"/>
  <c r="F45" i="79"/>
  <c r="F44" i="79"/>
  <c r="F70" i="79"/>
  <c r="F36" i="79"/>
  <c r="F59" i="79"/>
  <c r="F47" i="79"/>
  <c r="F46" i="79"/>
  <c r="F31" i="79"/>
  <c r="F27" i="79"/>
  <c r="F54" i="79"/>
  <c r="F18" i="79"/>
  <c r="F75" i="79"/>
  <c r="F72" i="79"/>
  <c r="F37" i="79"/>
  <c r="F33" i="79"/>
  <c r="F32" i="79"/>
  <c r="F60" i="79"/>
  <c r="F48" i="79"/>
  <c r="F28" i="79"/>
  <c r="F24" i="79"/>
  <c r="F23" i="79"/>
  <c r="F55" i="79"/>
  <c r="F39" i="79"/>
  <c r="F38" i="79"/>
  <c r="F22" i="79"/>
  <c r="F20" i="79"/>
  <c r="F62" i="79"/>
  <c r="F61" i="79"/>
  <c r="F34" i="79"/>
  <c r="F57" i="79"/>
  <c r="F56" i="79"/>
  <c r="F49" i="79"/>
  <c r="F41" i="79"/>
  <c r="F40" i="79"/>
  <c r="F29" i="79"/>
  <c r="F25" i="79"/>
  <c r="F64" i="79"/>
  <c r="F63" i="79"/>
  <c r="F51" i="79"/>
  <c r="F50" i="79"/>
  <c r="F58" i="79"/>
  <c r="L16" i="79"/>
  <c r="N16" i="79" s="1"/>
  <c r="R20" i="79"/>
  <c r="R27" i="79"/>
  <c r="F17" i="80"/>
  <c r="F16" i="80"/>
  <c r="F60" i="80"/>
  <c r="F48" i="80"/>
  <c r="F47" i="80"/>
  <c r="F36" i="80"/>
  <c r="L12" i="80"/>
  <c r="N12" i="80" s="1"/>
  <c r="F70" i="80"/>
  <c r="F68" i="80"/>
  <c r="F55" i="80"/>
  <c r="F31" i="80"/>
  <c r="F27" i="80"/>
  <c r="F72" i="80"/>
  <c r="F50" i="80"/>
  <c r="F49" i="80"/>
  <c r="F38" i="80"/>
  <c r="F37" i="80"/>
  <c r="F18" i="80"/>
  <c r="F61" i="80"/>
  <c r="F57" i="80"/>
  <c r="F56" i="80"/>
  <c r="F33" i="80"/>
  <c r="F32" i="80"/>
  <c r="F40" i="80"/>
  <c r="F39" i="80"/>
  <c r="F28" i="80"/>
  <c r="F24" i="80"/>
  <c r="F23" i="80"/>
  <c r="F77" i="80"/>
  <c r="F74" i="80"/>
  <c r="F51" i="80"/>
  <c r="F22" i="80"/>
  <c r="F20" i="80"/>
  <c r="F62" i="80"/>
  <c r="F58" i="80"/>
  <c r="F42" i="80"/>
  <c r="F41" i="80"/>
  <c r="F34" i="80"/>
  <c r="D20" i="80"/>
  <c r="F53" i="80"/>
  <c r="F52" i="80"/>
  <c r="F29" i="80"/>
  <c r="F25" i="80"/>
  <c r="F64" i="80"/>
  <c r="F63" i="80"/>
  <c r="F44" i="80"/>
  <c r="F43" i="80"/>
  <c r="F59" i="80"/>
  <c r="F35" i="80"/>
  <c r="F66" i="80"/>
  <c r="F65" i="80"/>
  <c r="F54" i="80"/>
  <c r="F46" i="80"/>
  <c r="F45" i="80"/>
  <c r="F30" i="80"/>
  <c r="F26" i="80"/>
  <c r="Z14" i="80"/>
  <c r="N13" i="75"/>
  <c r="R46" i="75"/>
  <c r="R47" i="75"/>
  <c r="R70" i="75"/>
  <c r="R78" i="75"/>
  <c r="R81" i="75"/>
  <c r="F43" i="76"/>
  <c r="F47" i="76"/>
  <c r="F51" i="76"/>
  <c r="J70" i="76"/>
  <c r="J78" i="76"/>
  <c r="F86" i="76"/>
  <c r="F87" i="76"/>
  <c r="J88" i="76"/>
  <c r="F94" i="76"/>
  <c r="F95" i="76"/>
  <c r="J96" i="76"/>
  <c r="N13" i="78"/>
  <c r="L61" i="78"/>
  <c r="H12" i="79"/>
  <c r="N13" i="79"/>
  <c r="F16" i="79"/>
  <c r="N23" i="79"/>
  <c r="J68" i="80"/>
  <c r="J60" i="80"/>
  <c r="J48" i="80"/>
  <c r="J36" i="80"/>
  <c r="J55" i="80"/>
  <c r="J49" i="80"/>
  <c r="J37" i="80"/>
  <c r="J31" i="80"/>
  <c r="J27" i="80"/>
  <c r="J72" i="80"/>
  <c r="J56" i="80"/>
  <c r="J50" i="80"/>
  <c r="J38" i="80"/>
  <c r="J32" i="80"/>
  <c r="J18" i="80"/>
  <c r="J61" i="80"/>
  <c r="J57" i="80"/>
  <c r="J39" i="80"/>
  <c r="J33" i="80"/>
  <c r="J23" i="80"/>
  <c r="J40" i="80"/>
  <c r="J28" i="80"/>
  <c r="J24" i="80"/>
  <c r="J22" i="80"/>
  <c r="J51" i="80"/>
  <c r="J41" i="80"/>
  <c r="H20" i="80"/>
  <c r="J62" i="80"/>
  <c r="J58" i="80"/>
  <c r="J52" i="80"/>
  <c r="J42" i="80"/>
  <c r="J34" i="80"/>
  <c r="J63" i="80"/>
  <c r="J53" i="80"/>
  <c r="J43" i="80"/>
  <c r="J29" i="80"/>
  <c r="J25" i="80"/>
  <c r="J64" i="80"/>
  <c r="J44" i="80"/>
  <c r="J65" i="80"/>
  <c r="J59" i="80"/>
  <c r="J45" i="80"/>
  <c r="J35" i="80"/>
  <c r="J66" i="80"/>
  <c r="J54" i="80"/>
  <c r="J46" i="80"/>
  <c r="J30" i="80"/>
  <c r="J26" i="80"/>
  <c r="J16" i="80"/>
  <c r="J47" i="80"/>
  <c r="J17" i="80"/>
  <c r="R75" i="83"/>
  <c r="R74" i="83"/>
  <c r="R62" i="83"/>
  <c r="R55" i="83"/>
  <c r="R54" i="83"/>
  <c r="R69" i="83"/>
  <c r="R76" i="83"/>
  <c r="R57" i="83"/>
  <c r="R56" i="83"/>
  <c r="R80" i="83"/>
  <c r="R78" i="83"/>
  <c r="R63" i="83"/>
  <c r="R70" i="83"/>
  <c r="R58" i="83"/>
  <c r="R82" i="83"/>
  <c r="R65" i="83"/>
  <c r="R64" i="83"/>
  <c r="R67" i="83"/>
  <c r="R66" i="83"/>
  <c r="R51" i="83"/>
  <c r="R50" i="83"/>
  <c r="R42" i="83"/>
  <c r="R41" i="83"/>
  <c r="R30" i="83"/>
  <c r="R26" i="83"/>
  <c r="R73" i="83"/>
  <c r="R71" i="83"/>
  <c r="R17" i="83"/>
  <c r="R53" i="83"/>
  <c r="R36" i="83"/>
  <c r="X12" i="83"/>
  <c r="Z12" i="83" s="1"/>
  <c r="R48" i="83"/>
  <c r="R45" i="83"/>
  <c r="R32" i="83"/>
  <c r="R31" i="83"/>
  <c r="R27" i="83"/>
  <c r="R23" i="83"/>
  <c r="R18" i="83"/>
  <c r="R38" i="83"/>
  <c r="R37" i="83"/>
  <c r="R33" i="83"/>
  <c r="R22" i="83"/>
  <c r="R20" i="83"/>
  <c r="R60" i="83"/>
  <c r="R28" i="83"/>
  <c r="R24" i="83"/>
  <c r="P20" i="83"/>
  <c r="R49" i="83"/>
  <c r="R43" i="83"/>
  <c r="R40" i="83"/>
  <c r="R39" i="83"/>
  <c r="R72" i="83"/>
  <c r="R68" i="83"/>
  <c r="R46" i="83"/>
  <c r="R34" i="83"/>
  <c r="R87" i="83"/>
  <c r="R29" i="83"/>
  <c r="R25" i="83"/>
  <c r="R84" i="83"/>
  <c r="R52" i="83"/>
  <c r="R47" i="83"/>
  <c r="R44" i="83"/>
  <c r="R61" i="83"/>
  <c r="R59" i="83"/>
  <c r="R35" i="83"/>
  <c r="R16" i="83"/>
  <c r="R63" i="75"/>
  <c r="J43" i="76"/>
  <c r="J47" i="76"/>
  <c r="J51" i="76"/>
  <c r="F60" i="76"/>
  <c r="F64" i="76"/>
  <c r="F75" i="76"/>
  <c r="J77" i="76"/>
  <c r="J87" i="76"/>
  <c r="F30" i="79"/>
  <c r="R18" i="80"/>
  <c r="T20" i="80"/>
  <c r="R23" i="80"/>
  <c r="V33" i="80"/>
  <c r="R38" i="80"/>
  <c r="R39" i="80"/>
  <c r="V41" i="80"/>
  <c r="R50" i="80"/>
  <c r="V57" i="80"/>
  <c r="V61" i="80"/>
  <c r="R72" i="80"/>
  <c r="X14" i="82"/>
  <c r="Z14" i="82" s="1"/>
  <c r="F17" i="82"/>
  <c r="F18" i="82"/>
  <c r="R87" i="84"/>
  <c r="R86" i="84"/>
  <c r="R75" i="84"/>
  <c r="R74" i="84"/>
  <c r="R70" i="84"/>
  <c r="R59" i="84"/>
  <c r="R117" i="84"/>
  <c r="R109" i="84"/>
  <c r="R98" i="84"/>
  <c r="R97" i="84"/>
  <c r="R65" i="84"/>
  <c r="R61" i="84"/>
  <c r="P57" i="84"/>
  <c r="R119" i="84"/>
  <c r="R105" i="84"/>
  <c r="R104" i="84"/>
  <c r="R89" i="84"/>
  <c r="R88" i="84"/>
  <c r="R77" i="84"/>
  <c r="R76" i="84"/>
  <c r="R52" i="84"/>
  <c r="R48" i="84"/>
  <c r="R44" i="84"/>
  <c r="R99" i="84"/>
  <c r="R71" i="84"/>
  <c r="R40" i="84"/>
  <c r="R110" i="84"/>
  <c r="R106" i="84"/>
  <c r="R91" i="84"/>
  <c r="R90" i="84"/>
  <c r="R79" i="84"/>
  <c r="R78" i="84"/>
  <c r="R66" i="84"/>
  <c r="R62" i="84"/>
  <c r="R53" i="84"/>
  <c r="R49" i="84"/>
  <c r="R45" i="84"/>
  <c r="R41" i="84"/>
  <c r="R100" i="84"/>
  <c r="R93" i="84"/>
  <c r="R92" i="84"/>
  <c r="R81" i="84"/>
  <c r="R80" i="84"/>
  <c r="R72" i="84"/>
  <c r="R123" i="84"/>
  <c r="R112" i="84"/>
  <c r="R111" i="84"/>
  <c r="R107" i="84"/>
  <c r="R67" i="84"/>
  <c r="R63" i="84"/>
  <c r="R95" i="84"/>
  <c r="R94" i="84"/>
  <c r="R83" i="84"/>
  <c r="R82" i="84"/>
  <c r="R54" i="84"/>
  <c r="R50" i="84"/>
  <c r="R46" i="84"/>
  <c r="R42" i="84"/>
  <c r="R114" i="84"/>
  <c r="R113" i="84"/>
  <c r="R102" i="84"/>
  <c r="R101" i="84"/>
  <c r="R73" i="84"/>
  <c r="R108" i="84"/>
  <c r="R96" i="84"/>
  <c r="R85" i="84"/>
  <c r="R84" i="84"/>
  <c r="R69" i="84"/>
  <c r="R68" i="84"/>
  <c r="R64" i="84"/>
  <c r="R116" i="84"/>
  <c r="R115" i="84"/>
  <c r="R103" i="84"/>
  <c r="R60" i="84"/>
  <c r="R55" i="84"/>
  <c r="R51" i="84"/>
  <c r="R47" i="84"/>
  <c r="R43" i="84"/>
  <c r="J23" i="85"/>
  <c r="H18" i="85"/>
  <c r="J25" i="85"/>
  <c r="L12" i="85"/>
  <c r="J26" i="85"/>
  <c r="J28" i="85"/>
  <c r="J32" i="85"/>
  <c r="J16" i="85"/>
  <c r="J21" i="85"/>
  <c r="J24" i="85"/>
  <c r="J22" i="85"/>
  <c r="J18" i="85"/>
  <c r="J15" i="85"/>
  <c r="N12" i="85"/>
  <c r="J20" i="85"/>
  <c r="V18" i="80"/>
  <c r="V20" i="80"/>
  <c r="V22" i="80"/>
  <c r="R27" i="80"/>
  <c r="R31" i="80"/>
  <c r="R32" i="80"/>
  <c r="V38" i="80"/>
  <c r="V50" i="80"/>
  <c r="R55" i="80"/>
  <c r="R56" i="80"/>
  <c r="V72" i="80"/>
  <c r="J18" i="82"/>
  <c r="N49" i="83"/>
  <c r="N22" i="84"/>
  <c r="N87" i="84"/>
  <c r="Z116" i="84"/>
  <c r="X12" i="80"/>
  <c r="V23" i="80"/>
  <c r="V27" i="80"/>
  <c r="V31" i="80"/>
  <c r="R36" i="80"/>
  <c r="R37" i="80"/>
  <c r="V39" i="80"/>
  <c r="R48" i="80"/>
  <c r="R49" i="80"/>
  <c r="V55" i="80"/>
  <c r="R60" i="80"/>
  <c r="L12" i="82"/>
  <c r="J17" i="82"/>
  <c r="L13" i="83"/>
  <c r="Z47" i="83"/>
  <c r="Z24" i="84"/>
  <c r="N112" i="84"/>
  <c r="Z12" i="80"/>
  <c r="R17" i="80"/>
  <c r="V32" i="80"/>
  <c r="V36" i="80"/>
  <c r="V48" i="80"/>
  <c r="V56" i="80"/>
  <c r="V60" i="80"/>
  <c r="R68" i="80"/>
  <c r="R70" i="80"/>
  <c r="N12" i="82"/>
  <c r="X13" i="82"/>
  <c r="Z13" i="82" s="1"/>
  <c r="N13" i="83"/>
  <c r="X14" i="83"/>
  <c r="Z14" i="83" s="1"/>
  <c r="X49" i="83"/>
  <c r="F94" i="84"/>
  <c r="F93" i="84"/>
  <c r="F82" i="84"/>
  <c r="F81" i="84"/>
  <c r="F54" i="84"/>
  <c r="F50" i="84"/>
  <c r="F46" i="84"/>
  <c r="F42" i="84"/>
  <c r="F113" i="84"/>
  <c r="F112" i="84"/>
  <c r="F101" i="84"/>
  <c r="F73" i="84"/>
  <c r="F108" i="84"/>
  <c r="F96" i="84"/>
  <c r="F95" i="84"/>
  <c r="F84" i="84"/>
  <c r="F83" i="84"/>
  <c r="F68" i="84"/>
  <c r="F64" i="84"/>
  <c r="F115" i="84"/>
  <c r="F114" i="84"/>
  <c r="F103" i="84"/>
  <c r="F102" i="84"/>
  <c r="F55" i="84"/>
  <c r="F51" i="84"/>
  <c r="F47" i="84"/>
  <c r="F43" i="84"/>
  <c r="F86" i="84"/>
  <c r="F85" i="84"/>
  <c r="F74" i="84"/>
  <c r="F70" i="84"/>
  <c r="F69" i="84"/>
  <c r="F117" i="84"/>
  <c r="F116" i="84"/>
  <c r="F109" i="84"/>
  <c r="F97" i="84"/>
  <c r="F65" i="84"/>
  <c r="F61" i="84"/>
  <c r="F60" i="84"/>
  <c r="F104" i="84"/>
  <c r="F88" i="84"/>
  <c r="F87" i="84"/>
  <c r="F76" i="84"/>
  <c r="F75" i="84"/>
  <c r="F59" i="84"/>
  <c r="F57" i="84"/>
  <c r="F52" i="84"/>
  <c r="F48" i="84"/>
  <c r="F44" i="84"/>
  <c r="F99" i="84"/>
  <c r="F98" i="84"/>
  <c r="F71" i="84"/>
  <c r="D57" i="84"/>
  <c r="F119" i="84"/>
  <c r="F110" i="84"/>
  <c r="F106" i="84"/>
  <c r="F105" i="84"/>
  <c r="F90" i="84"/>
  <c r="F89" i="84"/>
  <c r="F78" i="84"/>
  <c r="F77" i="84"/>
  <c r="F66" i="84"/>
  <c r="F62" i="84"/>
  <c r="F53" i="84"/>
  <c r="F49" i="84"/>
  <c r="F45" i="84"/>
  <c r="F41" i="84"/>
  <c r="F40" i="84"/>
  <c r="F100" i="84"/>
  <c r="F92" i="84"/>
  <c r="F91" i="84"/>
  <c r="F80" i="84"/>
  <c r="F79" i="84"/>
  <c r="F72" i="84"/>
  <c r="L12" i="84"/>
  <c r="N12" i="84" s="1"/>
  <c r="F123" i="84"/>
  <c r="F111" i="84"/>
  <c r="F107" i="84"/>
  <c r="F67" i="84"/>
  <c r="F63" i="84"/>
  <c r="V17" i="80"/>
  <c r="R26" i="80"/>
  <c r="R30" i="80"/>
  <c r="V37" i="80"/>
  <c r="R46" i="80"/>
  <c r="R47" i="80"/>
  <c r="V49" i="80"/>
  <c r="R54" i="80"/>
  <c r="R66" i="80"/>
  <c r="Z20" i="84"/>
  <c r="X20" i="84"/>
  <c r="N59" i="84"/>
  <c r="R16" i="80"/>
  <c r="V26" i="80"/>
  <c r="V30" i="80"/>
  <c r="R35" i="80"/>
  <c r="V46" i="80"/>
  <c r="V54" i="80"/>
  <c r="R59" i="80"/>
  <c r="V66" i="80"/>
  <c r="V68" i="80"/>
  <c r="D21" i="82"/>
  <c r="F29" i="82"/>
  <c r="Z40" i="83"/>
  <c r="Z49" i="83"/>
  <c r="X16" i="84"/>
  <c r="Z16" i="84" s="1"/>
  <c r="V35" i="80"/>
  <c r="R44" i="80"/>
  <c r="R45" i="80"/>
  <c r="V47" i="80"/>
  <c r="V59" i="80"/>
  <c r="R64" i="80"/>
  <c r="R65" i="80"/>
  <c r="F21" i="82"/>
  <c r="F23" i="82"/>
  <c r="F25" i="82"/>
  <c r="J29" i="82"/>
  <c r="L55" i="83"/>
  <c r="N55" i="83" s="1"/>
  <c r="L65" i="83"/>
  <c r="T12" i="84"/>
  <c r="X12" i="84" s="1"/>
  <c r="Z35" i="84"/>
  <c r="Z37" i="84"/>
  <c r="Z59" i="84"/>
  <c r="L13" i="79"/>
  <c r="L61" i="79"/>
  <c r="N61" i="79" s="1"/>
  <c r="L13" i="80"/>
  <c r="V16" i="80"/>
  <c r="R25" i="80"/>
  <c r="R29" i="80"/>
  <c r="V44" i="80"/>
  <c r="R53" i="80"/>
  <c r="V64" i="80"/>
  <c r="H21" i="82"/>
  <c r="N65" i="83"/>
  <c r="N13" i="80"/>
  <c r="V25" i="80"/>
  <c r="V29" i="80"/>
  <c r="R34" i="80"/>
  <c r="R42" i="80"/>
  <c r="R43" i="80"/>
  <c r="V45" i="80"/>
  <c r="V53" i="80"/>
  <c r="R58" i="80"/>
  <c r="R62" i="80"/>
  <c r="R63" i="80"/>
  <c r="V65" i="80"/>
  <c r="L14" i="82"/>
  <c r="N14" i="82" s="1"/>
  <c r="J23" i="82"/>
  <c r="J25" i="82"/>
  <c r="X51" i="83"/>
  <c r="Z51" i="83" s="1"/>
  <c r="X55" i="83"/>
  <c r="L57" i="83"/>
  <c r="N57" i="83" s="1"/>
  <c r="V34" i="80"/>
  <c r="V42" i="80"/>
  <c r="R51" i="80"/>
  <c r="R52" i="80"/>
  <c r="V58" i="80"/>
  <c r="V62" i="80"/>
  <c r="X38" i="83"/>
  <c r="Z38" i="83" s="1"/>
  <c r="Z55" i="83"/>
  <c r="Z75" i="83"/>
  <c r="Z23" i="84"/>
  <c r="N60" i="84"/>
  <c r="Z93" i="84"/>
  <c r="Z98" i="84"/>
  <c r="P20" i="80"/>
  <c r="R24" i="80"/>
  <c r="R28" i="80"/>
  <c r="R40" i="80"/>
  <c r="R41" i="80"/>
  <c r="V43" i="80"/>
  <c r="V51" i="80"/>
  <c r="V63" i="80"/>
  <c r="Z65" i="83"/>
  <c r="Z21" i="84"/>
  <c r="N34" i="84"/>
  <c r="R20" i="80"/>
  <c r="R22" i="80"/>
  <c r="V24" i="80"/>
  <c r="V28" i="80"/>
  <c r="R33" i="80"/>
  <c r="V40" i="80"/>
  <c r="R57" i="80"/>
  <c r="R61" i="80"/>
  <c r="R74" i="80"/>
  <c r="Z67" i="83"/>
  <c r="X67" i="83"/>
  <c r="N116" i="84"/>
  <c r="J42" i="84"/>
  <c r="J46" i="84"/>
  <c r="J50" i="84"/>
  <c r="J54" i="84"/>
  <c r="J82" i="84"/>
  <c r="J94" i="84"/>
  <c r="J112" i="84"/>
  <c r="L16" i="84"/>
  <c r="N16" i="84" s="1"/>
  <c r="L20" i="84"/>
  <c r="N20" i="84" s="1"/>
  <c r="L24" i="84"/>
  <c r="L28" i="84"/>
  <c r="L32" i="84"/>
  <c r="L36" i="84"/>
  <c r="J63" i="84"/>
  <c r="J67" i="84"/>
  <c r="J81" i="84"/>
  <c r="J93" i="84"/>
  <c r="J107" i="84"/>
  <c r="J111" i="84"/>
  <c r="J123" i="84"/>
  <c r="L23" i="85"/>
  <c r="R70" i="87"/>
  <c r="R59" i="87"/>
  <c r="R58" i="87"/>
  <c r="R39" i="87"/>
  <c r="R38" i="87"/>
  <c r="R23" i="87"/>
  <c r="R18" i="87"/>
  <c r="R78" i="87"/>
  <c r="R77" i="87"/>
  <c r="R66" i="87"/>
  <c r="R65" i="87"/>
  <c r="R50" i="87"/>
  <c r="R49" i="87"/>
  <c r="R33" i="87"/>
  <c r="R60" i="87"/>
  <c r="R41" i="87"/>
  <c r="R40" i="87"/>
  <c r="R28" i="87"/>
  <c r="R24" i="87"/>
  <c r="P20" i="87"/>
  <c r="R79" i="87"/>
  <c r="R71" i="87"/>
  <c r="R67" i="87"/>
  <c r="R52" i="87"/>
  <c r="R51" i="87"/>
  <c r="R83" i="87"/>
  <c r="R81" i="87"/>
  <c r="R43" i="87"/>
  <c r="R42" i="87"/>
  <c r="R34" i="87"/>
  <c r="R61" i="87"/>
  <c r="R54" i="87"/>
  <c r="R53" i="87"/>
  <c r="R29" i="87"/>
  <c r="R25" i="87"/>
  <c r="R72" i="87"/>
  <c r="R68" i="87"/>
  <c r="R44" i="87"/>
  <c r="R85" i="87"/>
  <c r="R55" i="87"/>
  <c r="R35" i="87"/>
  <c r="R16" i="87"/>
  <c r="R74" i="87"/>
  <c r="R73" i="87"/>
  <c r="R69" i="87"/>
  <c r="R46" i="87"/>
  <c r="R45" i="87"/>
  <c r="R17" i="87"/>
  <c r="R64" i="87"/>
  <c r="R57" i="87"/>
  <c r="R56" i="87"/>
  <c r="R37" i="87"/>
  <c r="R36" i="87"/>
  <c r="X12" i="87"/>
  <c r="R76" i="87"/>
  <c r="R75" i="87"/>
  <c r="R48" i="87"/>
  <c r="R47" i="87"/>
  <c r="R32" i="87"/>
  <c r="R31" i="87"/>
  <c r="R27" i="87"/>
  <c r="J43" i="87"/>
  <c r="J53" i="87"/>
  <c r="R62" i="87"/>
  <c r="J81" i="87"/>
  <c r="J54" i="88"/>
  <c r="X13" i="84"/>
  <c r="J72" i="84"/>
  <c r="X75" i="84"/>
  <c r="Z75" i="84" s="1"/>
  <c r="J80" i="84"/>
  <c r="L81" i="84"/>
  <c r="N81" i="84" s="1"/>
  <c r="X87" i="84"/>
  <c r="Z87" i="84" s="1"/>
  <c r="J92" i="84"/>
  <c r="L93" i="84"/>
  <c r="N93" i="84" s="1"/>
  <c r="J100" i="84"/>
  <c r="Z21" i="85"/>
  <c r="J25" i="87"/>
  <c r="V58" i="88"/>
  <c r="V42" i="88"/>
  <c r="V34" i="88"/>
  <c r="V65" i="88"/>
  <c r="V53" i="88"/>
  <c r="V41" i="88"/>
  <c r="V29" i="88"/>
  <c r="V25" i="88"/>
  <c r="V64" i="88"/>
  <c r="V60" i="88"/>
  <c r="V44" i="88"/>
  <c r="V16" i="88"/>
  <c r="V67" i="88"/>
  <c r="V43" i="88"/>
  <c r="V35" i="88"/>
  <c r="V66" i="88"/>
  <c r="V54" i="88"/>
  <c r="V46" i="88"/>
  <c r="V30" i="88"/>
  <c r="V26" i="88"/>
  <c r="V61" i="88"/>
  <c r="V45" i="88"/>
  <c r="V17" i="88"/>
  <c r="V70" i="88"/>
  <c r="V68" i="88"/>
  <c r="V56" i="88"/>
  <c r="V48" i="88"/>
  <c r="V36" i="88"/>
  <c r="V32" i="88"/>
  <c r="V55" i="88"/>
  <c r="V47" i="88"/>
  <c r="V31" i="88"/>
  <c r="V27" i="88"/>
  <c r="V23" i="88"/>
  <c r="V57" i="88"/>
  <c r="V49" i="88"/>
  <c r="V37" i="88"/>
  <c r="V33" i="88"/>
  <c r="T20" i="88"/>
  <c r="V74" i="88"/>
  <c r="V52" i="88"/>
  <c r="V40" i="88"/>
  <c r="V28" i="88"/>
  <c r="V24" i="88"/>
  <c r="V63" i="88"/>
  <c r="V59" i="88"/>
  <c r="V51" i="88"/>
  <c r="V39" i="88"/>
  <c r="V18" i="88"/>
  <c r="X23" i="88"/>
  <c r="J26" i="88"/>
  <c r="J41" i="84"/>
  <c r="J45" i="84"/>
  <c r="J49" i="84"/>
  <c r="J53" i="84"/>
  <c r="J79" i="84"/>
  <c r="J91" i="84"/>
  <c r="D83" i="87"/>
  <c r="Z23" i="88"/>
  <c r="R56" i="88"/>
  <c r="V79" i="95"/>
  <c r="V75" i="95"/>
  <c r="V71" i="95"/>
  <c r="V59" i="95"/>
  <c r="V82" i="95"/>
  <c r="V70" i="95"/>
  <c r="V50" i="95"/>
  <c r="V42" i="95"/>
  <c r="V81" i="95"/>
  <c r="V65" i="95"/>
  <c r="V53" i="95"/>
  <c r="V84" i="95"/>
  <c r="V76" i="95"/>
  <c r="V72" i="95"/>
  <c r="V60" i="95"/>
  <c r="V52" i="95"/>
  <c r="V83" i="95"/>
  <c r="V55" i="95"/>
  <c r="V43" i="95"/>
  <c r="V88" i="95"/>
  <c r="V66" i="95"/>
  <c r="V62" i="95"/>
  <c r="V54" i="95"/>
  <c r="V85" i="95"/>
  <c r="V77" i="95"/>
  <c r="V73" i="95"/>
  <c r="V61" i="95"/>
  <c r="V57" i="95"/>
  <c r="V68" i="95"/>
  <c r="V56" i="95"/>
  <c r="V92" i="95"/>
  <c r="V78" i="95"/>
  <c r="V69" i="95"/>
  <c r="V49" i="95"/>
  <c r="V80" i="95"/>
  <c r="V64" i="95"/>
  <c r="V48" i="95"/>
  <c r="V31" i="95"/>
  <c r="V27" i="95"/>
  <c r="V23" i="95"/>
  <c r="V38" i="95"/>
  <c r="V22" i="95"/>
  <c r="V18" i="95"/>
  <c r="V47" i="95"/>
  <c r="V37" i="95"/>
  <c r="V33" i="95"/>
  <c r="T20" i="95"/>
  <c r="V20" i="95" s="1"/>
  <c r="V40" i="95"/>
  <c r="V28" i="95"/>
  <c r="V24" i="95"/>
  <c r="V63" i="95"/>
  <c r="V39" i="95"/>
  <c r="V58" i="95"/>
  <c r="V45" i="95"/>
  <c r="V34" i="95"/>
  <c r="V74" i="95"/>
  <c r="V67" i="95"/>
  <c r="V41" i="95"/>
  <c r="V29" i="95"/>
  <c r="V25" i="95"/>
  <c r="V51" i="95"/>
  <c r="V16" i="95"/>
  <c r="V35" i="95"/>
  <c r="V30" i="95"/>
  <c r="V26" i="95"/>
  <c r="V17" i="95"/>
  <c r="V46" i="95"/>
  <c r="V44" i="95"/>
  <c r="V36" i="95"/>
  <c r="V32" i="95"/>
  <c r="J40" i="84"/>
  <c r="J62" i="84"/>
  <c r="J66" i="84"/>
  <c r="J78" i="84"/>
  <c r="J90" i="84"/>
  <c r="J106" i="84"/>
  <c r="J110" i="84"/>
  <c r="V15" i="85"/>
  <c r="V32" i="85"/>
  <c r="V21" i="85"/>
  <c r="V20" i="85"/>
  <c r="V16" i="85"/>
  <c r="V23" i="85"/>
  <c r="T18" i="85"/>
  <c r="V22" i="85"/>
  <c r="V24" i="85"/>
  <c r="R20" i="87"/>
  <c r="R30" i="87"/>
  <c r="Z48" i="87"/>
  <c r="V20" i="88"/>
  <c r="Z56" i="88"/>
  <c r="R70" i="88"/>
  <c r="X24" i="84"/>
  <c r="X28" i="84"/>
  <c r="X32" i="84"/>
  <c r="X36" i="84"/>
  <c r="Z36" i="84" s="1"/>
  <c r="J71" i="84"/>
  <c r="J77" i="84"/>
  <c r="J89" i="84"/>
  <c r="J99" i="84"/>
  <c r="J105" i="84"/>
  <c r="J119" i="84"/>
  <c r="F42" i="87"/>
  <c r="X46" i="87"/>
  <c r="J70" i="88"/>
  <c r="J62" i="88"/>
  <c r="J56" i="88"/>
  <c r="J48" i="88"/>
  <c r="J32" i="88"/>
  <c r="J18" i="88"/>
  <c r="J57" i="88"/>
  <c r="J49" i="88"/>
  <c r="J37" i="88"/>
  <c r="J33" i="88"/>
  <c r="J23" i="88"/>
  <c r="J74" i="88"/>
  <c r="J50" i="88"/>
  <c r="J38" i="88"/>
  <c r="J28" i="88"/>
  <c r="J24" i="88"/>
  <c r="J22" i="88"/>
  <c r="J20" i="88"/>
  <c r="J63" i="88"/>
  <c r="J51" i="88"/>
  <c r="J39" i="88"/>
  <c r="H20" i="88"/>
  <c r="J58" i="88"/>
  <c r="J52" i="88"/>
  <c r="J40" i="88"/>
  <c r="J34" i="88"/>
  <c r="J59" i="88"/>
  <c r="J53" i="88"/>
  <c r="J41" i="88"/>
  <c r="J29" i="88"/>
  <c r="J25" i="88"/>
  <c r="J64" i="88"/>
  <c r="J60" i="88"/>
  <c r="J42" i="88"/>
  <c r="J65" i="88"/>
  <c r="J43" i="88"/>
  <c r="J35" i="88"/>
  <c r="J67" i="88"/>
  <c r="J61" i="88"/>
  <c r="J45" i="88"/>
  <c r="J17" i="88"/>
  <c r="J68" i="88"/>
  <c r="J46" i="88"/>
  <c r="J36" i="88"/>
  <c r="J55" i="88"/>
  <c r="J47" i="88"/>
  <c r="J31" i="88"/>
  <c r="J27" i="88"/>
  <c r="J67" i="92"/>
  <c r="J61" i="92"/>
  <c r="J55" i="92"/>
  <c r="J45" i="92"/>
  <c r="J31" i="92"/>
  <c r="J17" i="92"/>
  <c r="J68" i="92"/>
  <c r="J56" i="92"/>
  <c r="J46" i="92"/>
  <c r="J36" i="92"/>
  <c r="J32" i="92"/>
  <c r="J22" i="92"/>
  <c r="N12" i="92"/>
  <c r="J47" i="92"/>
  <c r="J27" i="92"/>
  <c r="J23" i="92"/>
  <c r="J21" i="92"/>
  <c r="J19" i="92"/>
  <c r="J70" i="92"/>
  <c r="J62" i="92"/>
  <c r="J48" i="92"/>
  <c r="H19" i="92"/>
  <c r="J57" i="92"/>
  <c r="J49" i="92"/>
  <c r="J37" i="92"/>
  <c r="J33" i="92"/>
  <c r="J74" i="92"/>
  <c r="J58" i="92"/>
  <c r="J50" i="92"/>
  <c r="J38" i="92"/>
  <c r="J28" i="92"/>
  <c r="J24" i="92"/>
  <c r="J63" i="92"/>
  <c r="J59" i="92"/>
  <c r="J51" i="92"/>
  <c r="J39" i="92"/>
  <c r="J52" i="92"/>
  <c r="J40" i="92"/>
  <c r="J34" i="92"/>
  <c r="J64" i="92"/>
  <c r="J60" i="92"/>
  <c r="J42" i="92"/>
  <c r="J65" i="92"/>
  <c r="J43" i="92"/>
  <c r="J35" i="92"/>
  <c r="J66" i="92"/>
  <c r="J54" i="92"/>
  <c r="J44" i="92"/>
  <c r="J30" i="92"/>
  <c r="J26" i="92"/>
  <c r="J16" i="92"/>
  <c r="J53" i="92"/>
  <c r="J29" i="92"/>
  <c r="J41" i="92"/>
  <c r="J25" i="92"/>
  <c r="F60" i="93"/>
  <c r="F56" i="93"/>
  <c r="F55" i="93"/>
  <c r="F40" i="93"/>
  <c r="F39" i="93"/>
  <c r="F28" i="93"/>
  <c r="F24" i="93"/>
  <c r="F23" i="93"/>
  <c r="F50" i="93"/>
  <c r="F42" i="93"/>
  <c r="F41" i="93"/>
  <c r="F34" i="93"/>
  <c r="F61" i="93"/>
  <c r="F57" i="93"/>
  <c r="F29" i="93"/>
  <c r="F25" i="93"/>
  <c r="F52" i="93"/>
  <c r="F51" i="93"/>
  <c r="F44" i="93"/>
  <c r="F43" i="93"/>
  <c r="F63" i="93"/>
  <c r="F62" i="93"/>
  <c r="F35" i="93"/>
  <c r="F58" i="93"/>
  <c r="F46" i="93"/>
  <c r="F45" i="93"/>
  <c r="F30" i="93"/>
  <c r="F26" i="93"/>
  <c r="F68" i="93"/>
  <c r="F66" i="93"/>
  <c r="F53" i="93"/>
  <c r="F70" i="93"/>
  <c r="F65" i="93"/>
  <c r="F48" i="93"/>
  <c r="F47" i="93"/>
  <c r="F36" i="93"/>
  <c r="F59" i="93"/>
  <c r="F31" i="93"/>
  <c r="F27" i="93"/>
  <c r="F54" i="93"/>
  <c r="F38" i="93"/>
  <c r="F37" i="93"/>
  <c r="F75" i="93"/>
  <c r="F72" i="93"/>
  <c r="F49" i="93"/>
  <c r="F33" i="93"/>
  <c r="F32" i="93"/>
  <c r="F20" i="93"/>
  <c r="D20" i="93"/>
  <c r="F17" i="93"/>
  <c r="F16" i="93"/>
  <c r="F22" i="93"/>
  <c r="L12" i="93"/>
  <c r="V65" i="93"/>
  <c r="V63" i="93"/>
  <c r="V47" i="93"/>
  <c r="V35" i="93"/>
  <c r="V58" i="93"/>
  <c r="V46" i="93"/>
  <c r="V30" i="93"/>
  <c r="V26" i="93"/>
  <c r="V53" i="93"/>
  <c r="V37" i="93"/>
  <c r="V70" i="93"/>
  <c r="V48" i="93"/>
  <c r="V36" i="93"/>
  <c r="V32" i="93"/>
  <c r="V59" i="93"/>
  <c r="V55" i="93"/>
  <c r="V39" i="93"/>
  <c r="V31" i="93"/>
  <c r="V27" i="93"/>
  <c r="V23" i="93"/>
  <c r="V54" i="93"/>
  <c r="V38" i="93"/>
  <c r="V22" i="93"/>
  <c r="V18" i="93"/>
  <c r="V49" i="93"/>
  <c r="V41" i="93"/>
  <c r="V33" i="93"/>
  <c r="V60" i="93"/>
  <c r="V56" i="93"/>
  <c r="V40" i="93"/>
  <c r="V28" i="93"/>
  <c r="V24" i="93"/>
  <c r="V51" i="93"/>
  <c r="V43" i="93"/>
  <c r="V62" i="93"/>
  <c r="V50" i="93"/>
  <c r="V42" i="93"/>
  <c r="V34" i="93"/>
  <c r="V61" i="93"/>
  <c r="V57" i="93"/>
  <c r="V45" i="93"/>
  <c r="V29" i="93"/>
  <c r="V66" i="93"/>
  <c r="V52" i="93"/>
  <c r="V44" i="93"/>
  <c r="V17" i="93"/>
  <c r="T20" i="93"/>
  <c r="V16" i="93"/>
  <c r="V25" i="93"/>
  <c r="F18" i="93"/>
  <c r="J44" i="84"/>
  <c r="J48" i="84"/>
  <c r="J52" i="84"/>
  <c r="H57" i="84"/>
  <c r="J76" i="84"/>
  <c r="J88" i="84"/>
  <c r="J98" i="84"/>
  <c r="J104" i="84"/>
  <c r="J73" i="87"/>
  <c r="J69" i="87"/>
  <c r="J63" i="87"/>
  <c r="J45" i="87"/>
  <c r="J17" i="87"/>
  <c r="J74" i="87"/>
  <c r="J64" i="87"/>
  <c r="J56" i="87"/>
  <c r="J46" i="87"/>
  <c r="J36" i="87"/>
  <c r="J75" i="87"/>
  <c r="J57" i="87"/>
  <c r="J47" i="87"/>
  <c r="J37" i="87"/>
  <c r="J31" i="87"/>
  <c r="J27" i="87"/>
  <c r="J76" i="87"/>
  <c r="J70" i="87"/>
  <c r="J58" i="87"/>
  <c r="J48" i="87"/>
  <c r="J38" i="87"/>
  <c r="J32" i="87"/>
  <c r="J18" i="87"/>
  <c r="J77" i="87"/>
  <c r="J65" i="87"/>
  <c r="J59" i="87"/>
  <c r="J49" i="87"/>
  <c r="J39" i="87"/>
  <c r="J33" i="87"/>
  <c r="J23" i="87"/>
  <c r="J78" i="87"/>
  <c r="J66" i="87"/>
  <c r="J60" i="87"/>
  <c r="J50" i="87"/>
  <c r="J40" i="87"/>
  <c r="J28" i="87"/>
  <c r="J24" i="87"/>
  <c r="J22" i="87"/>
  <c r="J79" i="87"/>
  <c r="J71" i="87"/>
  <c r="J67" i="87"/>
  <c r="J51" i="87"/>
  <c r="J41" i="87"/>
  <c r="H20" i="87"/>
  <c r="L20" i="87" s="1"/>
  <c r="J52" i="87"/>
  <c r="J42" i="87"/>
  <c r="J34" i="87"/>
  <c r="J72" i="87"/>
  <c r="J68" i="87"/>
  <c r="J54" i="87"/>
  <c r="J44" i="87"/>
  <c r="J85" i="87"/>
  <c r="J55" i="87"/>
  <c r="J35" i="87"/>
  <c r="J62" i="87"/>
  <c r="J30" i="87"/>
  <c r="J26" i="87"/>
  <c r="J16" i="87"/>
  <c r="Z46" i="87"/>
  <c r="V62" i="88"/>
  <c r="R72" i="88"/>
  <c r="Z16" i="91"/>
  <c r="T92" i="91"/>
  <c r="L14" i="84"/>
  <c r="N14" i="84" s="1"/>
  <c r="L18" i="84"/>
  <c r="N18" i="84" s="1"/>
  <c r="J57" i="84"/>
  <c r="J59" i="84"/>
  <c r="J61" i="84"/>
  <c r="J65" i="84"/>
  <c r="J75" i="84"/>
  <c r="J87" i="84"/>
  <c r="J97" i="84"/>
  <c r="L98" i="84"/>
  <c r="N98" i="84" s="1"/>
  <c r="J109" i="84"/>
  <c r="X112" i="84"/>
  <c r="Z112" i="84" s="1"/>
  <c r="J117" i="84"/>
  <c r="Z15" i="85"/>
  <c r="J61" i="87"/>
  <c r="Z76" i="87"/>
  <c r="R27" i="88"/>
  <c r="N44" i="88"/>
  <c r="Z50" i="88"/>
  <c r="J60" i="84"/>
  <c r="J70" i="84"/>
  <c r="J74" i="84"/>
  <c r="J86" i="84"/>
  <c r="J116" i="84"/>
  <c r="L13" i="85"/>
  <c r="P30" i="85"/>
  <c r="X18" i="85"/>
  <c r="R22" i="87"/>
  <c r="R26" i="87"/>
  <c r="R63" i="87"/>
  <c r="J30" i="88"/>
  <c r="R32" i="88"/>
  <c r="N40" i="88"/>
  <c r="N42" i="88"/>
  <c r="J44" i="88"/>
  <c r="R48" i="88"/>
  <c r="V50" i="88"/>
  <c r="J43" i="84"/>
  <c r="J47" i="84"/>
  <c r="J51" i="84"/>
  <c r="J55" i="84"/>
  <c r="J69" i="84"/>
  <c r="J85" i="84"/>
  <c r="J103" i="84"/>
  <c r="J115" i="84"/>
  <c r="N13" i="85"/>
  <c r="N52" i="87"/>
  <c r="Z74" i="87"/>
  <c r="R87" i="87"/>
  <c r="Z32" i="88"/>
  <c r="Z48" i="88"/>
  <c r="J64" i="84"/>
  <c r="J68" i="84"/>
  <c r="J84" i="84"/>
  <c r="J96" i="84"/>
  <c r="J102" i="84"/>
  <c r="J108" i="84"/>
  <c r="J114" i="84"/>
  <c r="R26" i="85"/>
  <c r="R32" i="85"/>
  <c r="R15" i="85"/>
  <c r="R21" i="85"/>
  <c r="R20" i="85"/>
  <c r="R18" i="85"/>
  <c r="R25" i="85"/>
  <c r="R24" i="85"/>
  <c r="V26" i="85"/>
  <c r="R30" i="85"/>
  <c r="J29" i="87"/>
  <c r="R90" i="87"/>
  <c r="V22" i="88"/>
  <c r="J66" i="88"/>
  <c r="J73" i="84"/>
  <c r="J83" i="84"/>
  <c r="J95" i="84"/>
  <c r="J101" i="84"/>
  <c r="F62" i="87"/>
  <c r="F30" i="87"/>
  <c r="F26" i="87"/>
  <c r="F73" i="87"/>
  <c r="F69" i="87"/>
  <c r="F45" i="87"/>
  <c r="F90" i="87"/>
  <c r="F87" i="87"/>
  <c r="F64" i="87"/>
  <c r="F63" i="87"/>
  <c r="F56" i="87"/>
  <c r="F36" i="87"/>
  <c r="L12" i="87"/>
  <c r="N12" i="87" s="1"/>
  <c r="F75" i="87"/>
  <c r="F74" i="87"/>
  <c r="F47" i="87"/>
  <c r="F46" i="87"/>
  <c r="F31" i="87"/>
  <c r="F27" i="87"/>
  <c r="F70" i="87"/>
  <c r="F58" i="87"/>
  <c r="F57" i="87"/>
  <c r="F38" i="87"/>
  <c r="F37" i="87"/>
  <c r="F18" i="87"/>
  <c r="F77" i="87"/>
  <c r="F76" i="87"/>
  <c r="F65" i="87"/>
  <c r="F49" i="87"/>
  <c r="F48" i="87"/>
  <c r="F33" i="87"/>
  <c r="F32" i="87"/>
  <c r="F60" i="87"/>
  <c r="F59" i="87"/>
  <c r="F40" i="87"/>
  <c r="F39" i="87"/>
  <c r="F28" i="87"/>
  <c r="F24" i="87"/>
  <c r="F23" i="87"/>
  <c r="F79" i="87"/>
  <c r="F78" i="87"/>
  <c r="F71" i="87"/>
  <c r="F67" i="87"/>
  <c r="F66" i="87"/>
  <c r="F51" i="87"/>
  <c r="F50" i="87"/>
  <c r="F22" i="87"/>
  <c r="F20" i="87"/>
  <c r="F61" i="87"/>
  <c r="F53" i="87"/>
  <c r="F52" i="87"/>
  <c r="F29" i="87"/>
  <c r="F25" i="87"/>
  <c r="F83" i="87"/>
  <c r="F81" i="87"/>
  <c r="F72" i="87"/>
  <c r="F68" i="87"/>
  <c r="F44" i="87"/>
  <c r="F43" i="87"/>
  <c r="F85" i="87"/>
  <c r="F55" i="87"/>
  <c r="F54" i="87"/>
  <c r="F35" i="87"/>
  <c r="F16" i="87"/>
  <c r="R79" i="88"/>
  <c r="R76" i="88"/>
  <c r="R63" i="88"/>
  <c r="R52" i="88"/>
  <c r="R51" i="88"/>
  <c r="R40" i="88"/>
  <c r="R39" i="88"/>
  <c r="R59" i="88"/>
  <c r="R58" i="88"/>
  <c r="R34" i="88"/>
  <c r="R53" i="88"/>
  <c r="R42" i="88"/>
  <c r="R41" i="88"/>
  <c r="R29" i="88"/>
  <c r="R25" i="88"/>
  <c r="R65" i="88"/>
  <c r="R64" i="88"/>
  <c r="R60" i="88"/>
  <c r="R44" i="88"/>
  <c r="R43" i="88"/>
  <c r="R35" i="88"/>
  <c r="R16" i="88"/>
  <c r="R67" i="88"/>
  <c r="R66" i="88"/>
  <c r="R54" i="88"/>
  <c r="R30" i="88"/>
  <c r="R26" i="88"/>
  <c r="R61" i="88"/>
  <c r="R46" i="88"/>
  <c r="R45" i="88"/>
  <c r="R17" i="88"/>
  <c r="R68" i="88"/>
  <c r="R36" i="88"/>
  <c r="X12" i="88"/>
  <c r="Z12" i="88" s="1"/>
  <c r="R62" i="88"/>
  <c r="R23" i="88"/>
  <c r="R18" i="88"/>
  <c r="R57" i="88"/>
  <c r="R50" i="88"/>
  <c r="R49" i="88"/>
  <c r="R38" i="88"/>
  <c r="R37" i="88"/>
  <c r="R33" i="88"/>
  <c r="R22" i="88"/>
  <c r="R20" i="88"/>
  <c r="R74" i="88"/>
  <c r="R28" i="88"/>
  <c r="R24" i="88"/>
  <c r="P20" i="88"/>
  <c r="V18" i="87"/>
  <c r="V22" i="87"/>
  <c r="V38" i="87"/>
  <c r="X41" i="87"/>
  <c r="Z41" i="87" s="1"/>
  <c r="V50" i="87"/>
  <c r="V58" i="87"/>
  <c r="L63" i="87"/>
  <c r="N63" i="87" s="1"/>
  <c r="V66" i="87"/>
  <c r="V70" i="87"/>
  <c r="V78" i="87"/>
  <c r="L12" i="88"/>
  <c r="N12" i="88" s="1"/>
  <c r="L32" i="88"/>
  <c r="N32" i="88" s="1"/>
  <c r="F36" i="88"/>
  <c r="X42" i="88"/>
  <c r="Z42" i="88" s="1"/>
  <c r="L48" i="88"/>
  <c r="N48" i="88" s="1"/>
  <c r="F67" i="88"/>
  <c r="F68" i="88"/>
  <c r="H92" i="91"/>
  <c r="N16" i="91"/>
  <c r="Z36" i="91"/>
  <c r="R89" i="91"/>
  <c r="L40" i="92"/>
  <c r="X46" i="92"/>
  <c r="V23" i="87"/>
  <c r="V27" i="87"/>
  <c r="V31" i="87"/>
  <c r="V39" i="87"/>
  <c r="V47" i="87"/>
  <c r="V59" i="87"/>
  <c r="V75" i="87"/>
  <c r="X13" i="88"/>
  <c r="Z13" i="88" s="1"/>
  <c r="F16" i="88"/>
  <c r="F17" i="88"/>
  <c r="F44" i="88"/>
  <c r="F45" i="88"/>
  <c r="F61" i="88"/>
  <c r="N40" i="92"/>
  <c r="Z46" i="92"/>
  <c r="Z12" i="87"/>
  <c r="V32" i="87"/>
  <c r="V36" i="87"/>
  <c r="V48" i="87"/>
  <c r="V56" i="87"/>
  <c r="V64" i="87"/>
  <c r="V76" i="87"/>
  <c r="F26" i="88"/>
  <c r="F30" i="88"/>
  <c r="F54" i="88"/>
  <c r="F65" i="88"/>
  <c r="F66" i="88"/>
  <c r="R82" i="91"/>
  <c r="R74" i="91"/>
  <c r="R70" i="91"/>
  <c r="R26" i="91"/>
  <c r="R22" i="91"/>
  <c r="R58" i="91"/>
  <c r="R57" i="91"/>
  <c r="R46" i="91"/>
  <c r="R45" i="91"/>
  <c r="R38" i="91"/>
  <c r="R37" i="91"/>
  <c r="R64" i="91"/>
  <c r="R32" i="91"/>
  <c r="X12" i="91"/>
  <c r="R83" i="91"/>
  <c r="R75" i="91"/>
  <c r="R71" i="91"/>
  <c r="R59" i="91"/>
  <c r="R48" i="91"/>
  <c r="R47" i="91"/>
  <c r="R40" i="91"/>
  <c r="R39" i="91"/>
  <c r="R27" i="91"/>
  <c r="R23" i="91"/>
  <c r="R19" i="91"/>
  <c r="R65" i="91"/>
  <c r="R50" i="91"/>
  <c r="R49" i="91"/>
  <c r="R41" i="91"/>
  <c r="R33" i="91"/>
  <c r="R18" i="91"/>
  <c r="R16" i="91"/>
  <c r="R14" i="91"/>
  <c r="R85" i="91"/>
  <c r="R84" i="91"/>
  <c r="R77" i="91"/>
  <c r="R76" i="91"/>
  <c r="R72" i="91"/>
  <c r="R61" i="91"/>
  <c r="R60" i="91"/>
  <c r="R29" i="91"/>
  <c r="R28" i="91"/>
  <c r="R24" i="91"/>
  <c r="R20" i="91"/>
  <c r="R92" i="91"/>
  <c r="R90" i="91"/>
  <c r="R52" i="91"/>
  <c r="R51" i="91"/>
  <c r="R88" i="91"/>
  <c r="R73" i="91"/>
  <c r="R54" i="91"/>
  <c r="R53" i="91"/>
  <c r="R25" i="91"/>
  <c r="R21" i="91"/>
  <c r="R94" i="91"/>
  <c r="R81" i="91"/>
  <c r="R80" i="91"/>
  <c r="R69" i="91"/>
  <c r="R68" i="91"/>
  <c r="R99" i="91"/>
  <c r="R96" i="91"/>
  <c r="R63" i="91"/>
  <c r="R56" i="91"/>
  <c r="R55" i="91"/>
  <c r="R44" i="91"/>
  <c r="R43" i="91"/>
  <c r="R36" i="91"/>
  <c r="R35" i="91"/>
  <c r="R31" i="91"/>
  <c r="P16" i="91"/>
  <c r="R34" i="91"/>
  <c r="R67" i="91"/>
  <c r="Z69" i="91"/>
  <c r="F66" i="92"/>
  <c r="F65" i="92"/>
  <c r="F54" i="92"/>
  <c r="F30" i="92"/>
  <c r="F26" i="92"/>
  <c r="F61" i="92"/>
  <c r="F45" i="92"/>
  <c r="F44" i="92"/>
  <c r="F17" i="92"/>
  <c r="F16" i="92"/>
  <c r="F68" i="92"/>
  <c r="F67" i="92"/>
  <c r="F56" i="92"/>
  <c r="F55" i="92"/>
  <c r="F36" i="92"/>
  <c r="F32" i="92"/>
  <c r="F31" i="92"/>
  <c r="L12" i="92"/>
  <c r="F47" i="92"/>
  <c r="F46" i="92"/>
  <c r="F27" i="92"/>
  <c r="F23" i="92"/>
  <c r="F22" i="92"/>
  <c r="F62" i="92"/>
  <c r="F21" i="92"/>
  <c r="F19" i="92"/>
  <c r="F72" i="92"/>
  <c r="F70" i="92"/>
  <c r="F57" i="92"/>
  <c r="F49" i="92"/>
  <c r="F48" i="92"/>
  <c r="F37" i="92"/>
  <c r="F33" i="92"/>
  <c r="D19" i="92"/>
  <c r="F74" i="92"/>
  <c r="F28" i="92"/>
  <c r="F24" i="92"/>
  <c r="F63" i="92"/>
  <c r="F59" i="92"/>
  <c r="F58" i="92"/>
  <c r="F51" i="92"/>
  <c r="F50" i="92"/>
  <c r="F39" i="92"/>
  <c r="F38" i="92"/>
  <c r="F79" i="92"/>
  <c r="F76" i="92"/>
  <c r="F53" i="92"/>
  <c r="F52" i="92"/>
  <c r="F41" i="92"/>
  <c r="F40" i="92"/>
  <c r="F29" i="92"/>
  <c r="F25" i="92"/>
  <c r="F64" i="92"/>
  <c r="F60" i="92"/>
  <c r="F43" i="92"/>
  <c r="F42" i="92"/>
  <c r="F35" i="92"/>
  <c r="X22" i="92"/>
  <c r="Z22" i="92" s="1"/>
  <c r="R52" i="93"/>
  <c r="R45" i="93"/>
  <c r="R44" i="93"/>
  <c r="R68" i="93"/>
  <c r="R66" i="93"/>
  <c r="R63" i="93"/>
  <c r="R35" i="93"/>
  <c r="R65" i="93"/>
  <c r="R58" i="93"/>
  <c r="R47" i="93"/>
  <c r="R46" i="93"/>
  <c r="R30" i="93"/>
  <c r="R26" i="93"/>
  <c r="R53" i="93"/>
  <c r="R70" i="93"/>
  <c r="R48" i="93"/>
  <c r="R37" i="93"/>
  <c r="R36" i="93"/>
  <c r="R75" i="93"/>
  <c r="R72" i="93"/>
  <c r="R59" i="93"/>
  <c r="R32" i="93"/>
  <c r="R31" i="93"/>
  <c r="R27" i="93"/>
  <c r="R55" i="93"/>
  <c r="R54" i="93"/>
  <c r="R39" i="93"/>
  <c r="R38" i="93"/>
  <c r="R23" i="93"/>
  <c r="R49" i="93"/>
  <c r="R33" i="93"/>
  <c r="R60" i="93"/>
  <c r="R56" i="93"/>
  <c r="R41" i="93"/>
  <c r="R40" i="93"/>
  <c r="R28" i="93"/>
  <c r="R24" i="93"/>
  <c r="R51" i="93"/>
  <c r="R50" i="93"/>
  <c r="R43" i="93"/>
  <c r="R42" i="93"/>
  <c r="R34" i="93"/>
  <c r="R62" i="93"/>
  <c r="R61" i="93"/>
  <c r="R57" i="93"/>
  <c r="R29" i="93"/>
  <c r="R25" i="93"/>
  <c r="R17" i="93"/>
  <c r="R22" i="93"/>
  <c r="X12" i="93"/>
  <c r="Z12" i="93" s="1"/>
  <c r="R18" i="93"/>
  <c r="R20" i="93"/>
  <c r="P20" i="93"/>
  <c r="R16" i="93"/>
  <c r="F28" i="85"/>
  <c r="F30" i="85"/>
  <c r="N14" i="87"/>
  <c r="V26" i="87"/>
  <c r="V30" i="87"/>
  <c r="V46" i="87"/>
  <c r="V62" i="87"/>
  <c r="V74" i="87"/>
  <c r="F59" i="88"/>
  <c r="F60" i="88"/>
  <c r="F64" i="88"/>
  <c r="R79" i="91"/>
  <c r="L52" i="92"/>
  <c r="R54" i="92"/>
  <c r="V35" i="87"/>
  <c r="V55" i="87"/>
  <c r="V63" i="87"/>
  <c r="V85" i="87"/>
  <c r="F25" i="88"/>
  <c r="F29" i="88"/>
  <c r="F40" i="88"/>
  <c r="F41" i="88"/>
  <c r="F52" i="88"/>
  <c r="F53" i="88"/>
  <c r="F76" i="88"/>
  <c r="F79" i="88"/>
  <c r="N18" i="91"/>
  <c r="Z44" i="91"/>
  <c r="Z61" i="91"/>
  <c r="N52" i="92"/>
  <c r="L13" i="87"/>
  <c r="N13" i="87" s="1"/>
  <c r="V16" i="87"/>
  <c r="V44" i="87"/>
  <c r="V68" i="87"/>
  <c r="V72" i="87"/>
  <c r="D20" i="88"/>
  <c r="F34" i="88"/>
  <c r="F58" i="88"/>
  <c r="L40" i="91"/>
  <c r="R42" i="91"/>
  <c r="R66" i="91"/>
  <c r="J41" i="93"/>
  <c r="J50" i="93"/>
  <c r="J42" i="93"/>
  <c r="J34" i="93"/>
  <c r="J61" i="93"/>
  <c r="J57" i="93"/>
  <c r="J51" i="93"/>
  <c r="J43" i="93"/>
  <c r="J29" i="93"/>
  <c r="J25" i="93"/>
  <c r="J62" i="93"/>
  <c r="J52" i="93"/>
  <c r="J44" i="93"/>
  <c r="J63" i="93"/>
  <c r="J45" i="93"/>
  <c r="J35" i="93"/>
  <c r="J66" i="93"/>
  <c r="J58" i="93"/>
  <c r="J46" i="93"/>
  <c r="J30" i="93"/>
  <c r="J26" i="93"/>
  <c r="J65" i="93"/>
  <c r="J53" i="93"/>
  <c r="J47" i="93"/>
  <c r="J70" i="93"/>
  <c r="J48" i="93"/>
  <c r="J36" i="93"/>
  <c r="J59" i="93"/>
  <c r="J37" i="93"/>
  <c r="J31" i="93"/>
  <c r="J27" i="93"/>
  <c r="J54" i="93"/>
  <c r="J38" i="93"/>
  <c r="J32" i="93"/>
  <c r="J18" i="93"/>
  <c r="J55" i="93"/>
  <c r="J49" i="93"/>
  <c r="J39" i="93"/>
  <c r="J33" i="93"/>
  <c r="J60" i="93"/>
  <c r="J56" i="93"/>
  <c r="J40" i="93"/>
  <c r="J28" i="93"/>
  <c r="J24" i="93"/>
  <c r="J22" i="93"/>
  <c r="J20" i="93"/>
  <c r="H20" i="93"/>
  <c r="J16" i="93"/>
  <c r="J17" i="93"/>
  <c r="N12" i="93"/>
  <c r="F25" i="85"/>
  <c r="F26" i="85"/>
  <c r="V25" i="87"/>
  <c r="V29" i="87"/>
  <c r="V53" i="87"/>
  <c r="V61" i="87"/>
  <c r="F20" i="88"/>
  <c r="F22" i="88"/>
  <c r="F38" i="88"/>
  <c r="F39" i="88"/>
  <c r="F50" i="88"/>
  <c r="F51" i="88"/>
  <c r="F63" i="88"/>
  <c r="N40" i="91"/>
  <c r="F34" i="92"/>
  <c r="R67" i="92"/>
  <c r="V34" i="87"/>
  <c r="V42" i="87"/>
  <c r="V54" i="87"/>
  <c r="F23" i="88"/>
  <c r="F24" i="88"/>
  <c r="F28" i="88"/>
  <c r="F74" i="88"/>
  <c r="L14" i="91"/>
  <c r="Z18" i="91"/>
  <c r="D18" i="85"/>
  <c r="F23" i="85"/>
  <c r="F24" i="85"/>
  <c r="V43" i="87"/>
  <c r="V51" i="87"/>
  <c r="V67" i="87"/>
  <c r="V71" i="87"/>
  <c r="V79" i="87"/>
  <c r="V81" i="87"/>
  <c r="F32" i="88"/>
  <c r="F33" i="88"/>
  <c r="F37" i="88"/>
  <c r="F48" i="88"/>
  <c r="F49" i="88"/>
  <c r="F56" i="88"/>
  <c r="F57" i="88"/>
  <c r="F70" i="88"/>
  <c r="F72" i="88"/>
  <c r="X14" i="91"/>
  <c r="R30" i="91"/>
  <c r="Z40" i="91"/>
  <c r="N52" i="91"/>
  <c r="X54" i="91"/>
  <c r="Z54" i="91" s="1"/>
  <c r="R62" i="91"/>
  <c r="R78" i="91"/>
  <c r="Z21" i="92"/>
  <c r="N48" i="92"/>
  <c r="V40" i="87"/>
  <c r="V52" i="87"/>
  <c r="V60" i="87"/>
  <c r="F18" i="88"/>
  <c r="F62" i="88"/>
  <c r="F86" i="91"/>
  <c r="F85" i="91"/>
  <c r="F78" i="91"/>
  <c r="F77" i="91"/>
  <c r="F66" i="91"/>
  <c r="F62" i="91"/>
  <c r="F61" i="91"/>
  <c r="F42" i="91"/>
  <c r="F34" i="91"/>
  <c r="F30" i="91"/>
  <c r="F29" i="91"/>
  <c r="F92" i="91"/>
  <c r="F90" i="91"/>
  <c r="F73" i="91"/>
  <c r="F53" i="91"/>
  <c r="F52" i="91"/>
  <c r="F25" i="91"/>
  <c r="F21" i="91"/>
  <c r="F94" i="91"/>
  <c r="F89" i="91"/>
  <c r="F80" i="91"/>
  <c r="F79" i="91"/>
  <c r="F68" i="91"/>
  <c r="F67" i="91"/>
  <c r="F88" i="91"/>
  <c r="F63" i="91"/>
  <c r="F55" i="91"/>
  <c r="F54" i="91"/>
  <c r="F43" i="91"/>
  <c r="F35" i="91"/>
  <c r="F31" i="91"/>
  <c r="F82" i="91"/>
  <c r="F81" i="91"/>
  <c r="F74" i="91"/>
  <c r="F70" i="91"/>
  <c r="F69" i="91"/>
  <c r="F26" i="91"/>
  <c r="F22" i="91"/>
  <c r="F99" i="91"/>
  <c r="F96" i="91"/>
  <c r="F57" i="91"/>
  <c r="F56" i="91"/>
  <c r="F45" i="91"/>
  <c r="F44" i="91"/>
  <c r="F37" i="91"/>
  <c r="F36" i="91"/>
  <c r="F64" i="91"/>
  <c r="F32" i="91"/>
  <c r="F83" i="91"/>
  <c r="F75" i="91"/>
  <c r="F71" i="91"/>
  <c r="F59" i="91"/>
  <c r="F58" i="91"/>
  <c r="F47" i="91"/>
  <c r="F46" i="91"/>
  <c r="F39" i="91"/>
  <c r="F38" i="91"/>
  <c r="F27" i="91"/>
  <c r="F23" i="91"/>
  <c r="F65" i="91"/>
  <c r="F49" i="91"/>
  <c r="F48" i="91"/>
  <c r="F41" i="91"/>
  <c r="F40" i="91"/>
  <c r="F33" i="91"/>
  <c r="F84" i="91"/>
  <c r="F76" i="91"/>
  <c r="F72" i="91"/>
  <c r="F60" i="91"/>
  <c r="F28" i="91"/>
  <c r="F24" i="91"/>
  <c r="F20" i="91"/>
  <c r="F19" i="91"/>
  <c r="F51" i="91"/>
  <c r="F50" i="91"/>
  <c r="F18" i="91"/>
  <c r="F16" i="91"/>
  <c r="L48" i="91"/>
  <c r="N48" i="91" s="1"/>
  <c r="F21" i="85"/>
  <c r="T20" i="87"/>
  <c r="V20" i="87" s="1"/>
  <c r="V33" i="87"/>
  <c r="V41" i="87"/>
  <c r="V49" i="87"/>
  <c r="V65" i="87"/>
  <c r="F27" i="88"/>
  <c r="F31" i="88"/>
  <c r="F46" i="88"/>
  <c r="F47" i="88"/>
  <c r="D16" i="91"/>
  <c r="N19" i="91"/>
  <c r="Z52" i="91"/>
  <c r="R62" i="92"/>
  <c r="R58" i="92"/>
  <c r="R57" i="92"/>
  <c r="R50" i="92"/>
  <c r="R49" i="92"/>
  <c r="R38" i="92"/>
  <c r="R37" i="92"/>
  <c r="R33" i="92"/>
  <c r="R74" i="92"/>
  <c r="R28" i="92"/>
  <c r="R24" i="92"/>
  <c r="R79" i="92"/>
  <c r="R76" i="92"/>
  <c r="R63" i="92"/>
  <c r="R59" i="92"/>
  <c r="R52" i="92"/>
  <c r="R51" i="92"/>
  <c r="R40" i="92"/>
  <c r="R39" i="92"/>
  <c r="R34" i="92"/>
  <c r="R53" i="92"/>
  <c r="R42" i="92"/>
  <c r="R41" i="92"/>
  <c r="R29" i="92"/>
  <c r="R25" i="92"/>
  <c r="R65" i="92"/>
  <c r="R64" i="92"/>
  <c r="R60" i="92"/>
  <c r="R44" i="92"/>
  <c r="R43" i="92"/>
  <c r="R35" i="92"/>
  <c r="R16" i="92"/>
  <c r="R61" i="92"/>
  <c r="R46" i="92"/>
  <c r="R45" i="92"/>
  <c r="R22" i="92"/>
  <c r="R17" i="92"/>
  <c r="R68" i="92"/>
  <c r="R56" i="92"/>
  <c r="R36" i="92"/>
  <c r="R32" i="92"/>
  <c r="R21" i="92"/>
  <c r="R19" i="92"/>
  <c r="X12" i="92"/>
  <c r="Z12" i="92" s="1"/>
  <c r="R72" i="92"/>
  <c r="R70" i="92"/>
  <c r="R48" i="92"/>
  <c r="R47" i="92"/>
  <c r="R27" i="92"/>
  <c r="R23" i="92"/>
  <c r="P19" i="92"/>
  <c r="N42" i="92"/>
  <c r="Z48" i="92"/>
  <c r="V22" i="91"/>
  <c r="V26" i="91"/>
  <c r="J30" i="91"/>
  <c r="J34" i="91"/>
  <c r="V38" i="91"/>
  <c r="J42" i="91"/>
  <c r="V46" i="91"/>
  <c r="J52" i="91"/>
  <c r="V58" i="91"/>
  <c r="J62" i="91"/>
  <c r="J66" i="91"/>
  <c r="V70" i="91"/>
  <c r="V74" i="91"/>
  <c r="J78" i="91"/>
  <c r="V82" i="91"/>
  <c r="J86" i="91"/>
  <c r="J90" i="91"/>
  <c r="J92" i="91"/>
  <c r="V38" i="92"/>
  <c r="V50" i="92"/>
  <c r="V58" i="92"/>
  <c r="V62" i="92"/>
  <c r="R78" i="94"/>
  <c r="R67" i="94"/>
  <c r="R63" i="94"/>
  <c r="R44" i="94"/>
  <c r="R43" i="94"/>
  <c r="R35" i="94"/>
  <c r="R16" i="94"/>
  <c r="R55" i="94"/>
  <c r="R54" i="94"/>
  <c r="R30" i="94"/>
  <c r="R26" i="94"/>
  <c r="R46" i="94"/>
  <c r="R45" i="94"/>
  <c r="R17" i="94"/>
  <c r="R69" i="94"/>
  <c r="R68" i="94"/>
  <c r="R64" i="94"/>
  <c r="R57" i="94"/>
  <c r="R56" i="94"/>
  <c r="R36" i="94"/>
  <c r="X12" i="94"/>
  <c r="R48" i="94"/>
  <c r="R47" i="94"/>
  <c r="R32" i="94"/>
  <c r="R31" i="94"/>
  <c r="R27" i="94"/>
  <c r="R71" i="94"/>
  <c r="R70" i="94"/>
  <c r="R59" i="94"/>
  <c r="R58" i="94"/>
  <c r="R23" i="94"/>
  <c r="R18" i="94"/>
  <c r="R65" i="94"/>
  <c r="R50" i="94"/>
  <c r="R49" i="94"/>
  <c r="R38" i="94"/>
  <c r="R37" i="94"/>
  <c r="R33" i="94"/>
  <c r="R22" i="94"/>
  <c r="R20" i="94"/>
  <c r="R72" i="94"/>
  <c r="R61" i="94"/>
  <c r="R60" i="94"/>
  <c r="R28" i="94"/>
  <c r="R24" i="94"/>
  <c r="P20" i="94"/>
  <c r="R74" i="94"/>
  <c r="R52" i="94"/>
  <c r="R51" i="94"/>
  <c r="R40" i="94"/>
  <c r="R39" i="94"/>
  <c r="R66" i="94"/>
  <c r="R62" i="94"/>
  <c r="R34" i="94"/>
  <c r="R53" i="94"/>
  <c r="R42" i="94"/>
  <c r="R41" i="94"/>
  <c r="R29" i="94"/>
  <c r="R25" i="94"/>
  <c r="F56" i="95"/>
  <c r="F55" i="95"/>
  <c r="F90" i="95"/>
  <c r="F88" i="95"/>
  <c r="F67" i="95"/>
  <c r="F63" i="95"/>
  <c r="F62" i="95"/>
  <c r="F92" i="95"/>
  <c r="F87" i="95"/>
  <c r="F78" i="95"/>
  <c r="F74" i="95"/>
  <c r="F58" i="95"/>
  <c r="F57" i="95"/>
  <c r="F46" i="95"/>
  <c r="F69" i="95"/>
  <c r="F68" i="95"/>
  <c r="F64" i="95"/>
  <c r="F48" i="95"/>
  <c r="F47" i="95"/>
  <c r="F97" i="95"/>
  <c r="F94" i="95"/>
  <c r="F79" i="95"/>
  <c r="F75" i="95"/>
  <c r="F59" i="95"/>
  <c r="F70" i="95"/>
  <c r="F81" i="95"/>
  <c r="F80" i="95"/>
  <c r="F65" i="95"/>
  <c r="F83" i="95"/>
  <c r="F82" i="95"/>
  <c r="F66" i="95"/>
  <c r="F54" i="95"/>
  <c r="F53" i="95"/>
  <c r="F85" i="95"/>
  <c r="F84" i="95"/>
  <c r="F77" i="95"/>
  <c r="F73" i="95"/>
  <c r="F61" i="95"/>
  <c r="F51" i="95"/>
  <c r="F42" i="95"/>
  <c r="F35" i="95"/>
  <c r="F43" i="95"/>
  <c r="F30" i="95"/>
  <c r="F26" i="95"/>
  <c r="F49" i="95"/>
  <c r="F17" i="95"/>
  <c r="F16" i="95"/>
  <c r="F72" i="95"/>
  <c r="F36" i="95"/>
  <c r="L12" i="95"/>
  <c r="N12" i="95" s="1"/>
  <c r="F52" i="95"/>
  <c r="F31" i="95"/>
  <c r="F27" i="95"/>
  <c r="F50" i="95"/>
  <c r="F44" i="95"/>
  <c r="F18" i="95"/>
  <c r="F37" i="95"/>
  <c r="F33" i="95"/>
  <c r="F32" i="95"/>
  <c r="F28" i="95"/>
  <c r="F24" i="95"/>
  <c r="F23" i="95"/>
  <c r="F71" i="95"/>
  <c r="F45" i="95"/>
  <c r="F39" i="95"/>
  <c r="F38" i="95"/>
  <c r="F22" i="95"/>
  <c r="F20" i="95"/>
  <c r="F76" i="95"/>
  <c r="F60" i="95"/>
  <c r="F34" i="95"/>
  <c r="D20" i="95"/>
  <c r="F41" i="95"/>
  <c r="F40" i="95"/>
  <c r="F29" i="95"/>
  <c r="F25" i="95"/>
  <c r="J29" i="91"/>
  <c r="V31" i="91"/>
  <c r="V35" i="91"/>
  <c r="V43" i="91"/>
  <c r="J51" i="91"/>
  <c r="V55" i="91"/>
  <c r="J61" i="91"/>
  <c r="V63" i="91"/>
  <c r="J77" i="91"/>
  <c r="J85" i="91"/>
  <c r="P88" i="91"/>
  <c r="X88" i="91" s="1"/>
  <c r="Z88" i="91" s="1"/>
  <c r="V23" i="92"/>
  <c r="V27" i="92"/>
  <c r="V47" i="92"/>
  <c r="J87" i="95"/>
  <c r="J67" i="95"/>
  <c r="J63" i="95"/>
  <c r="J57" i="95"/>
  <c r="J92" i="95"/>
  <c r="J78" i="95"/>
  <c r="J74" i="95"/>
  <c r="J68" i="95"/>
  <c r="J58" i="95"/>
  <c r="J46" i="95"/>
  <c r="J69" i="95"/>
  <c r="J47" i="95"/>
  <c r="J64" i="95"/>
  <c r="J79" i="95"/>
  <c r="J75" i="95"/>
  <c r="J59" i="95"/>
  <c r="J49" i="95"/>
  <c r="J80" i="95"/>
  <c r="J70" i="95"/>
  <c r="J50" i="95"/>
  <c r="J81" i="95"/>
  <c r="J71" i="95"/>
  <c r="J65" i="95"/>
  <c r="J82" i="95"/>
  <c r="J76" i="95"/>
  <c r="J72" i="95"/>
  <c r="J60" i="95"/>
  <c r="J52" i="95"/>
  <c r="J84" i="95"/>
  <c r="J85" i="95"/>
  <c r="J77" i="95"/>
  <c r="J73" i="95"/>
  <c r="J61" i="95"/>
  <c r="J55" i="95"/>
  <c r="J88" i="95"/>
  <c r="J62" i="95"/>
  <c r="J56" i="95"/>
  <c r="J35" i="95"/>
  <c r="J43" i="95"/>
  <c r="J30" i="95"/>
  <c r="J26" i="95"/>
  <c r="J16" i="95"/>
  <c r="J83" i="95"/>
  <c r="J66" i="95"/>
  <c r="J17" i="95"/>
  <c r="J36" i="95"/>
  <c r="J44" i="95"/>
  <c r="J31" i="95"/>
  <c r="J27" i="95"/>
  <c r="J32" i="95"/>
  <c r="J18" i="95"/>
  <c r="J37" i="95"/>
  <c r="J33" i="95"/>
  <c r="J23" i="95"/>
  <c r="J54" i="95"/>
  <c r="J38" i="95"/>
  <c r="J28" i="95"/>
  <c r="J24" i="95"/>
  <c r="J22" i="95"/>
  <c r="J20" i="95"/>
  <c r="J45" i="95"/>
  <c r="J39" i="95"/>
  <c r="H20" i="95"/>
  <c r="J40" i="95"/>
  <c r="J34" i="95"/>
  <c r="J51" i="95"/>
  <c r="J41" i="95"/>
  <c r="J29" i="95"/>
  <c r="J25" i="95"/>
  <c r="J53" i="95"/>
  <c r="J48" i="95"/>
  <c r="J42" i="95"/>
  <c r="J14" i="91"/>
  <c r="J16" i="91"/>
  <c r="J18" i="91"/>
  <c r="J20" i="91"/>
  <c r="J24" i="91"/>
  <c r="J28" i="91"/>
  <c r="V36" i="91"/>
  <c r="V44" i="91"/>
  <c r="J50" i="91"/>
  <c r="V56" i="91"/>
  <c r="J60" i="91"/>
  <c r="V68" i="91"/>
  <c r="J72" i="91"/>
  <c r="J76" i="91"/>
  <c r="V80" i="91"/>
  <c r="J84" i="91"/>
  <c r="V94" i="91"/>
  <c r="V96" i="91"/>
  <c r="V99" i="91"/>
  <c r="T19" i="92"/>
  <c r="V32" i="92"/>
  <c r="V36" i="92"/>
  <c r="V48" i="92"/>
  <c r="V56" i="92"/>
  <c r="V68" i="92"/>
  <c r="V70" i="92"/>
  <c r="Z37" i="93"/>
  <c r="V30" i="91"/>
  <c r="V34" i="91"/>
  <c r="J40" i="91"/>
  <c r="V42" i="91"/>
  <c r="J48" i="91"/>
  <c r="V54" i="91"/>
  <c r="V62" i="91"/>
  <c r="V66" i="91"/>
  <c r="V78" i="91"/>
  <c r="V86" i="91"/>
  <c r="V88" i="91"/>
  <c r="N14" i="92"/>
  <c r="V22" i="92"/>
  <c r="V26" i="92"/>
  <c r="V30" i="92"/>
  <c r="V46" i="92"/>
  <c r="V54" i="92"/>
  <c r="V66" i="92"/>
  <c r="Z14" i="93"/>
  <c r="N16" i="94"/>
  <c r="N40" i="94"/>
  <c r="N52" i="94"/>
  <c r="J23" i="91"/>
  <c r="J27" i="91"/>
  <c r="J39" i="91"/>
  <c r="J47" i="91"/>
  <c r="V51" i="91"/>
  <c r="J59" i="91"/>
  <c r="V67" i="91"/>
  <c r="J71" i="91"/>
  <c r="J75" i="91"/>
  <c r="V79" i="91"/>
  <c r="J83" i="91"/>
  <c r="V89" i="91"/>
  <c r="V31" i="92"/>
  <c r="V35" i="92"/>
  <c r="V43" i="92"/>
  <c r="V55" i="92"/>
  <c r="V67" i="92"/>
  <c r="J61" i="94"/>
  <c r="J51" i="94"/>
  <c r="J39" i="94"/>
  <c r="H20" i="94"/>
  <c r="J74" i="94"/>
  <c r="J66" i="94"/>
  <c r="J62" i="94"/>
  <c r="J52" i="94"/>
  <c r="J40" i="94"/>
  <c r="J34" i="94"/>
  <c r="J53" i="94"/>
  <c r="J41" i="94"/>
  <c r="J29" i="94"/>
  <c r="J25" i="94"/>
  <c r="J78" i="94"/>
  <c r="J42" i="94"/>
  <c r="J67" i="94"/>
  <c r="J63" i="94"/>
  <c r="J43" i="94"/>
  <c r="J35" i="94"/>
  <c r="J54" i="94"/>
  <c r="J44" i="94"/>
  <c r="J30" i="94"/>
  <c r="J26" i="94"/>
  <c r="J16" i="94"/>
  <c r="J55" i="94"/>
  <c r="J45" i="94"/>
  <c r="J17" i="94"/>
  <c r="J68" i="94"/>
  <c r="J64" i="94"/>
  <c r="J56" i="94"/>
  <c r="J46" i="94"/>
  <c r="J36" i="94"/>
  <c r="J69" i="94"/>
  <c r="J57" i="94"/>
  <c r="J47" i="94"/>
  <c r="J31" i="94"/>
  <c r="J27" i="94"/>
  <c r="L12" i="94"/>
  <c r="N12" i="94" s="1"/>
  <c r="J70" i="94"/>
  <c r="J58" i="94"/>
  <c r="J48" i="94"/>
  <c r="J32" i="94"/>
  <c r="J18" i="94"/>
  <c r="J71" i="94"/>
  <c r="J65" i="94"/>
  <c r="J59" i="94"/>
  <c r="J49" i="94"/>
  <c r="J37" i="94"/>
  <c r="J33" i="94"/>
  <c r="J23" i="94"/>
  <c r="J72" i="94"/>
  <c r="J60" i="94"/>
  <c r="J50" i="94"/>
  <c r="J38" i="94"/>
  <c r="J28" i="94"/>
  <c r="J24" i="94"/>
  <c r="J22" i="94"/>
  <c r="J20" i="94"/>
  <c r="V24" i="91"/>
  <c r="V28" i="91"/>
  <c r="J32" i="91"/>
  <c r="J38" i="91"/>
  <c r="J46" i="91"/>
  <c r="V52" i="91"/>
  <c r="J58" i="91"/>
  <c r="V60" i="91"/>
  <c r="J64" i="91"/>
  <c r="V72" i="91"/>
  <c r="V76" i="91"/>
  <c r="V84" i="91"/>
  <c r="V90" i="91"/>
  <c r="V92" i="91"/>
  <c r="V16" i="92"/>
  <c r="V44" i="92"/>
  <c r="V60" i="92"/>
  <c r="V64" i="92"/>
  <c r="N22" i="93"/>
  <c r="Z40" i="94"/>
  <c r="Z52" i="94"/>
  <c r="V29" i="91"/>
  <c r="V33" i="91"/>
  <c r="J37" i="91"/>
  <c r="V41" i="91"/>
  <c r="J45" i="91"/>
  <c r="V49" i="91"/>
  <c r="J57" i="91"/>
  <c r="V61" i="91"/>
  <c r="V65" i="91"/>
  <c r="V77" i="91"/>
  <c r="V85" i="91"/>
  <c r="V25" i="92"/>
  <c r="V29" i="92"/>
  <c r="V41" i="92"/>
  <c r="V53" i="92"/>
  <c r="V65" i="92"/>
  <c r="V67" i="94"/>
  <c r="V63" i="94"/>
  <c r="V55" i="94"/>
  <c r="V43" i="94"/>
  <c r="V35" i="94"/>
  <c r="V54" i="94"/>
  <c r="V46" i="94"/>
  <c r="V30" i="94"/>
  <c r="V26" i="94"/>
  <c r="V69" i="94"/>
  <c r="V57" i="94"/>
  <c r="V45" i="94"/>
  <c r="V17" i="94"/>
  <c r="V68" i="94"/>
  <c r="V64" i="94"/>
  <c r="V56" i="94"/>
  <c r="V48" i="94"/>
  <c r="V36" i="94"/>
  <c r="V32" i="94"/>
  <c r="Z12" i="94"/>
  <c r="V71" i="94"/>
  <c r="V59" i="94"/>
  <c r="V47" i="94"/>
  <c r="V31" i="94"/>
  <c r="V27" i="94"/>
  <c r="V23" i="94"/>
  <c r="V70" i="94"/>
  <c r="V58" i="94"/>
  <c r="V50" i="94"/>
  <c r="V38" i="94"/>
  <c r="V22" i="94"/>
  <c r="V18" i="94"/>
  <c r="V65" i="94"/>
  <c r="V61" i="94"/>
  <c r="V49" i="94"/>
  <c r="V37" i="94"/>
  <c r="V33" i="94"/>
  <c r="T20" i="94"/>
  <c r="V20" i="94" s="1"/>
  <c r="V74" i="94"/>
  <c r="V72" i="94"/>
  <c r="V60" i="94"/>
  <c r="V52" i="94"/>
  <c r="V40" i="94"/>
  <c r="V28" i="94"/>
  <c r="V24" i="94"/>
  <c r="V51" i="94"/>
  <c r="V39" i="94"/>
  <c r="V66" i="94"/>
  <c r="V62" i="94"/>
  <c r="V42" i="94"/>
  <c r="V34" i="94"/>
  <c r="V53" i="94"/>
  <c r="V41" i="94"/>
  <c r="V29" i="94"/>
  <c r="V25" i="94"/>
  <c r="V78" i="94"/>
  <c r="V44" i="94"/>
  <c r="V16" i="94"/>
  <c r="N48" i="94"/>
  <c r="V14" i="91"/>
  <c r="V16" i="91"/>
  <c r="V18" i="91"/>
  <c r="J22" i="91"/>
  <c r="J26" i="91"/>
  <c r="J36" i="91"/>
  <c r="J44" i="91"/>
  <c r="V50" i="91"/>
  <c r="J56" i="91"/>
  <c r="J70" i="91"/>
  <c r="J74" i="91"/>
  <c r="X77" i="91"/>
  <c r="Z77" i="91" s="1"/>
  <c r="J82" i="91"/>
  <c r="X85" i="91"/>
  <c r="Z85" i="91" s="1"/>
  <c r="J96" i="91"/>
  <c r="J99" i="91"/>
  <c r="V34" i="92"/>
  <c r="V42" i="92"/>
  <c r="R64" i="95"/>
  <c r="R80" i="95"/>
  <c r="R79" i="95"/>
  <c r="R75" i="95"/>
  <c r="R59" i="95"/>
  <c r="R71" i="95"/>
  <c r="R70" i="95"/>
  <c r="R51" i="95"/>
  <c r="R50" i="95"/>
  <c r="R82" i="95"/>
  <c r="R81" i="95"/>
  <c r="R65" i="95"/>
  <c r="R76" i="95"/>
  <c r="R72" i="95"/>
  <c r="R60" i="95"/>
  <c r="R53" i="95"/>
  <c r="R52" i="95"/>
  <c r="R84" i="95"/>
  <c r="R83" i="95"/>
  <c r="R66" i="95"/>
  <c r="R55" i="95"/>
  <c r="R54" i="95"/>
  <c r="R88" i="95"/>
  <c r="R85" i="95"/>
  <c r="R77" i="95"/>
  <c r="R73" i="95"/>
  <c r="R62" i="95"/>
  <c r="R61" i="95"/>
  <c r="R45" i="95"/>
  <c r="R92" i="95"/>
  <c r="R78" i="95"/>
  <c r="R74" i="95"/>
  <c r="R58" i="95"/>
  <c r="R69" i="95"/>
  <c r="R46" i="95"/>
  <c r="R36" i="95"/>
  <c r="X12" i="95"/>
  <c r="Z12" i="95" s="1"/>
  <c r="R44" i="95"/>
  <c r="R32" i="95"/>
  <c r="R31" i="95"/>
  <c r="R27" i="95"/>
  <c r="R23" i="95"/>
  <c r="R18" i="95"/>
  <c r="R38" i="95"/>
  <c r="R37" i="95"/>
  <c r="R33" i="95"/>
  <c r="R22" i="95"/>
  <c r="R20" i="95"/>
  <c r="R56" i="95"/>
  <c r="R47" i="95"/>
  <c r="R28" i="95"/>
  <c r="R24" i="95"/>
  <c r="P20" i="95"/>
  <c r="R63" i="95"/>
  <c r="R40" i="95"/>
  <c r="R39" i="95"/>
  <c r="R34" i="95"/>
  <c r="R67" i="95"/>
  <c r="R42" i="95"/>
  <c r="R41" i="95"/>
  <c r="R29" i="95"/>
  <c r="R25" i="95"/>
  <c r="R48" i="95"/>
  <c r="R35" i="95"/>
  <c r="R16" i="95"/>
  <c r="R68" i="95"/>
  <c r="R57" i="95"/>
  <c r="R43" i="95"/>
  <c r="R30" i="95"/>
  <c r="R26" i="95"/>
  <c r="R49" i="95"/>
  <c r="R17" i="95"/>
  <c r="V23" i="91"/>
  <c r="V27" i="91"/>
  <c r="J31" i="91"/>
  <c r="J35" i="91"/>
  <c r="V39" i="91"/>
  <c r="J43" i="91"/>
  <c r="V47" i="91"/>
  <c r="J55" i="91"/>
  <c r="V59" i="91"/>
  <c r="J63" i="91"/>
  <c r="J69" i="91"/>
  <c r="V71" i="91"/>
  <c r="V75" i="91"/>
  <c r="J81" i="91"/>
  <c r="V83" i="91"/>
  <c r="V39" i="92"/>
  <c r="V51" i="92"/>
  <c r="V59" i="92"/>
  <c r="V63" i="92"/>
  <c r="Z65" i="93"/>
  <c r="Z14" i="95"/>
  <c r="V32" i="91"/>
  <c r="V40" i="91"/>
  <c r="V48" i="91"/>
  <c r="J54" i="91"/>
  <c r="V64" i="91"/>
  <c r="J68" i="91"/>
  <c r="J80" i="91"/>
  <c r="J88" i="91"/>
  <c r="J94" i="91"/>
  <c r="X13" i="92"/>
  <c r="Z13" i="92" s="1"/>
  <c r="V24" i="92"/>
  <c r="V28" i="92"/>
  <c r="V40" i="92"/>
  <c r="V52" i="92"/>
  <c r="V74" i="92"/>
  <c r="Z22" i="93"/>
  <c r="J21" i="91"/>
  <c r="J25" i="91"/>
  <c r="V37" i="91"/>
  <c r="V45" i="91"/>
  <c r="J53" i="91"/>
  <c r="J67" i="91"/>
  <c r="J73" i="91"/>
  <c r="J79" i="91"/>
  <c r="V33" i="92"/>
  <c r="V37" i="92"/>
  <c r="V49" i="92"/>
  <c r="Z69" i="94"/>
  <c r="L13" i="94"/>
  <c r="N13" i="94" s="1"/>
  <c r="F32" i="94"/>
  <c r="F33" i="94"/>
  <c r="F37" i="94"/>
  <c r="F48" i="94"/>
  <c r="F49" i="94"/>
  <c r="F65" i="94"/>
  <c r="X66" i="93"/>
  <c r="Z66" i="93" s="1"/>
  <c r="F18" i="94"/>
  <c r="F57" i="94"/>
  <c r="F58" i="94"/>
  <c r="F69" i="94"/>
  <c r="F70" i="94"/>
  <c r="Z32" i="97"/>
  <c r="L54" i="97"/>
  <c r="D65" i="93"/>
  <c r="L65" i="93" s="1"/>
  <c r="F27" i="94"/>
  <c r="F31" i="94"/>
  <c r="F46" i="94"/>
  <c r="F47" i="94"/>
  <c r="Z57" i="95"/>
  <c r="X68" i="95"/>
  <c r="Z68" i="95" s="1"/>
  <c r="N54" i="97"/>
  <c r="N78" i="97"/>
  <c r="N83" i="97"/>
  <c r="L83" i="97"/>
  <c r="F36" i="94"/>
  <c r="X42" i="94"/>
  <c r="Z42" i="94" s="1"/>
  <c r="L48" i="94"/>
  <c r="F55" i="94"/>
  <c r="F56" i="94"/>
  <c r="F64" i="94"/>
  <c r="F68" i="94"/>
  <c r="L40" i="95"/>
  <c r="N40" i="95" s="1"/>
  <c r="N84" i="95"/>
  <c r="N87" i="95"/>
  <c r="L87" i="95"/>
  <c r="Z56" i="97"/>
  <c r="R68" i="100"/>
  <c r="R65" i="100"/>
  <c r="R52" i="100"/>
  <c r="R44" i="100"/>
  <c r="R33" i="100"/>
  <c r="R32" i="100"/>
  <c r="R16" i="100"/>
  <c r="R27" i="100"/>
  <c r="R35" i="100"/>
  <c r="R34" i="100"/>
  <c r="R53" i="100"/>
  <c r="R46" i="100"/>
  <c r="R45" i="100"/>
  <c r="R22" i="100"/>
  <c r="R17" i="100"/>
  <c r="R37" i="100"/>
  <c r="R36" i="100"/>
  <c r="R28" i="100"/>
  <c r="R21" i="100"/>
  <c r="R19" i="100"/>
  <c r="X12" i="100"/>
  <c r="R48" i="100"/>
  <c r="R47" i="100"/>
  <c r="R23" i="100"/>
  <c r="P19" i="100"/>
  <c r="R55" i="100"/>
  <c r="R54" i="100"/>
  <c r="R39" i="100"/>
  <c r="R38" i="100"/>
  <c r="R50" i="100"/>
  <c r="R49" i="100"/>
  <c r="R29" i="100"/>
  <c r="R61" i="100"/>
  <c r="R59" i="100"/>
  <c r="R56" i="100"/>
  <c r="R41" i="100"/>
  <c r="R40" i="100"/>
  <c r="R25" i="100"/>
  <c r="R24" i="100"/>
  <c r="R58" i="100"/>
  <c r="R51" i="100"/>
  <c r="R43" i="100"/>
  <c r="R42" i="100"/>
  <c r="R31" i="100"/>
  <c r="R30" i="100"/>
  <c r="R26" i="100"/>
  <c r="R15" i="100"/>
  <c r="R63" i="100"/>
  <c r="H65" i="93"/>
  <c r="F16" i="94"/>
  <c r="F17" i="94"/>
  <c r="F44" i="94"/>
  <c r="F45" i="94"/>
  <c r="F80" i="94"/>
  <c r="F83" i="94"/>
  <c r="L13" i="95"/>
  <c r="N13" i="95" s="1"/>
  <c r="N82" i="95"/>
  <c r="L82" i="95"/>
  <c r="N39" i="97"/>
  <c r="Z59" i="97"/>
  <c r="Z80" i="97"/>
  <c r="Z13" i="94"/>
  <c r="F26" i="94"/>
  <c r="F30" i="94"/>
  <c r="F54" i="94"/>
  <c r="X14" i="95"/>
  <c r="X88" i="95"/>
  <c r="P87" i="95"/>
  <c r="R87" i="95" s="1"/>
  <c r="Z22" i="97"/>
  <c r="Z45" i="97"/>
  <c r="Z50" i="97"/>
  <c r="X84" i="97"/>
  <c r="P83" i="97"/>
  <c r="X83" i="97" s="1"/>
  <c r="F35" i="94"/>
  <c r="F42" i="94"/>
  <c r="F43" i="94"/>
  <c r="F63" i="94"/>
  <c r="F67" i="94"/>
  <c r="N44" i="95"/>
  <c r="N80" i="95"/>
  <c r="Z84" i="95"/>
  <c r="Z88" i="95"/>
  <c r="X48" i="97"/>
  <c r="Z48" i="97" s="1"/>
  <c r="F78" i="94"/>
  <c r="F25" i="94"/>
  <c r="F29" i="94"/>
  <c r="F40" i="94"/>
  <c r="F41" i="94"/>
  <c r="F52" i="94"/>
  <c r="F53" i="94"/>
  <c r="F74" i="94"/>
  <c r="F76" i="94"/>
  <c r="X13" i="95"/>
  <c r="Z13" i="95" s="1"/>
  <c r="D20" i="94"/>
  <c r="X32" i="94"/>
  <c r="Z32" i="94" s="1"/>
  <c r="F34" i="94"/>
  <c r="L42" i="94"/>
  <c r="N42" i="94" s="1"/>
  <c r="X48" i="94"/>
  <c r="Z48" i="94" s="1"/>
  <c r="F61" i="94"/>
  <c r="F62" i="94"/>
  <c r="F66" i="94"/>
  <c r="X40" i="95"/>
  <c r="Z40" i="95" s="1"/>
  <c r="N16" i="97"/>
  <c r="F20" i="94"/>
  <c r="F22" i="94"/>
  <c r="F38" i="94"/>
  <c r="F39" i="94"/>
  <c r="F50" i="94"/>
  <c r="F51" i="94"/>
  <c r="X57" i="94"/>
  <c r="Z57" i="94" s="1"/>
  <c r="L53" i="95"/>
  <c r="N53" i="95" s="1"/>
  <c r="R86" i="97"/>
  <c r="R88" i="97"/>
  <c r="R76" i="97"/>
  <c r="R72" i="97"/>
  <c r="R60" i="97"/>
  <c r="R41" i="97"/>
  <c r="R40" i="97"/>
  <c r="R52" i="97"/>
  <c r="R51" i="97"/>
  <c r="R35" i="97"/>
  <c r="R16" i="97"/>
  <c r="R67" i="97"/>
  <c r="R66" i="97"/>
  <c r="R43" i="97"/>
  <c r="R42" i="97"/>
  <c r="R30" i="97"/>
  <c r="R26" i="97"/>
  <c r="R78" i="97"/>
  <c r="R77" i="97"/>
  <c r="R73" i="97"/>
  <c r="R61" i="97"/>
  <c r="R54" i="97"/>
  <c r="R53" i="97"/>
  <c r="R17" i="97"/>
  <c r="R68" i="97"/>
  <c r="R45" i="97"/>
  <c r="R44" i="97"/>
  <c r="R36" i="97"/>
  <c r="R93" i="97"/>
  <c r="R80" i="97"/>
  <c r="R79" i="97"/>
  <c r="R56" i="97"/>
  <c r="R55" i="97"/>
  <c r="R32" i="97"/>
  <c r="R31" i="97"/>
  <c r="R27" i="97"/>
  <c r="R74" i="97"/>
  <c r="R63" i="97"/>
  <c r="R62" i="97"/>
  <c r="R46" i="97"/>
  <c r="R23" i="97"/>
  <c r="R18" i="97"/>
  <c r="R84" i="97"/>
  <c r="R81" i="97"/>
  <c r="R70" i="97"/>
  <c r="R69" i="97"/>
  <c r="R57" i="97"/>
  <c r="R37" i="97"/>
  <c r="R33" i="97"/>
  <c r="R22" i="97"/>
  <c r="R20" i="97"/>
  <c r="R75" i="97"/>
  <c r="R71" i="97"/>
  <c r="R48" i="97"/>
  <c r="R47" i="97"/>
  <c r="R90" i="97"/>
  <c r="R59" i="97"/>
  <c r="R58" i="97"/>
  <c r="R39" i="97"/>
  <c r="R38" i="97"/>
  <c r="R34" i="97"/>
  <c r="R65" i="97"/>
  <c r="R50" i="97"/>
  <c r="R49" i="97"/>
  <c r="R29" i="97"/>
  <c r="R25" i="97"/>
  <c r="N32" i="97"/>
  <c r="R83" i="97"/>
  <c r="F23" i="94"/>
  <c r="F24" i="94"/>
  <c r="F28" i="94"/>
  <c r="F59" i="94"/>
  <c r="F60" i="94"/>
  <c r="F71" i="94"/>
  <c r="T12" i="97"/>
  <c r="P86" i="97"/>
  <c r="J22" i="97"/>
  <c r="J24" i="97"/>
  <c r="J28" i="97"/>
  <c r="F32" i="97"/>
  <c r="F33" i="97"/>
  <c r="F37" i="97"/>
  <c r="F56" i="97"/>
  <c r="F57" i="97"/>
  <c r="J64" i="97"/>
  <c r="F69" i="97"/>
  <c r="J70" i="97"/>
  <c r="F80" i="97"/>
  <c r="J84" i="97"/>
  <c r="V28" i="98"/>
  <c r="V24" i="98"/>
  <c r="V43" i="98"/>
  <c r="V34" i="98"/>
  <c r="V45" i="98"/>
  <c r="V29" i="98"/>
  <c r="V25" i="98"/>
  <c r="V44" i="98"/>
  <c r="V36" i="98"/>
  <c r="V16" i="98"/>
  <c r="V35" i="98"/>
  <c r="V31" i="98"/>
  <c r="V48" i="98"/>
  <c r="V46" i="98"/>
  <c r="V38" i="98"/>
  <c r="V30" i="98"/>
  <c r="V26" i="98"/>
  <c r="V22" i="98"/>
  <c r="V37" i="98"/>
  <c r="V21" i="98"/>
  <c r="V17" i="98"/>
  <c r="V40" i="98"/>
  <c r="V32" i="98"/>
  <c r="V39" i="98"/>
  <c r="V27" i="98"/>
  <c r="V23" i="98"/>
  <c r="V52" i="98"/>
  <c r="V42" i="98"/>
  <c r="V41" i="98"/>
  <c r="V33" i="98"/>
  <c r="D43" i="99"/>
  <c r="L17" i="99"/>
  <c r="Z35" i="100"/>
  <c r="V72" i="101"/>
  <c r="V60" i="101"/>
  <c r="V52" i="101"/>
  <c r="V40" i="101"/>
  <c r="V36" i="101"/>
  <c r="V71" i="101"/>
  <c r="V67" i="101"/>
  <c r="V55" i="101"/>
  <c r="V43" i="101"/>
  <c r="V31" i="101"/>
  <c r="V74" i="101"/>
  <c r="V62" i="101"/>
  <c r="V54" i="101"/>
  <c r="V42" i="101"/>
  <c r="V73" i="101"/>
  <c r="V45" i="101"/>
  <c r="V37" i="101"/>
  <c r="V78" i="101"/>
  <c r="V68" i="101"/>
  <c r="V64" i="101"/>
  <c r="V56" i="101"/>
  <c r="V44" i="101"/>
  <c r="V32" i="101"/>
  <c r="V28" i="101"/>
  <c r="V24" i="101"/>
  <c r="V75" i="101"/>
  <c r="V63" i="101"/>
  <c r="V47" i="101"/>
  <c r="V23" i="101"/>
  <c r="V19" i="101"/>
  <c r="V46" i="101"/>
  <c r="V38" i="101"/>
  <c r="V34" i="101"/>
  <c r="V69" i="101"/>
  <c r="V65" i="101"/>
  <c r="V57" i="101"/>
  <c r="V49" i="101"/>
  <c r="V33" i="101"/>
  <c r="V70" i="101"/>
  <c r="V66" i="101"/>
  <c r="V58" i="101"/>
  <c r="V50" i="101"/>
  <c r="V61" i="101"/>
  <c r="V53" i="101"/>
  <c r="V41" i="101"/>
  <c r="V35" i="101"/>
  <c r="V18" i="101"/>
  <c r="V26" i="101"/>
  <c r="V48" i="101"/>
  <c r="V30" i="101"/>
  <c r="V82" i="101"/>
  <c r="V39" i="101"/>
  <c r="V51" i="101"/>
  <c r="V59" i="101"/>
  <c r="V29" i="101"/>
  <c r="V25" i="101"/>
  <c r="T21" i="101"/>
  <c r="V21" i="101" s="1"/>
  <c r="V27" i="101"/>
  <c r="V17" i="101"/>
  <c r="L88" i="95"/>
  <c r="F86" i="97"/>
  <c r="F88" i="97"/>
  <c r="F18" i="97"/>
  <c r="J23" i="97"/>
  <c r="J33" i="97"/>
  <c r="J37" i="97"/>
  <c r="F45" i="97"/>
  <c r="F46" i="97"/>
  <c r="J57" i="97"/>
  <c r="F62" i="97"/>
  <c r="J63" i="97"/>
  <c r="J69" i="97"/>
  <c r="F74" i="97"/>
  <c r="J81" i="97"/>
  <c r="Z22" i="98"/>
  <c r="J18" i="97"/>
  <c r="J32" i="97"/>
  <c r="J46" i="97"/>
  <c r="F54" i="97"/>
  <c r="F55" i="97"/>
  <c r="J56" i="97"/>
  <c r="J62" i="97"/>
  <c r="J74" i="97"/>
  <c r="F78" i="97"/>
  <c r="F79" i="97"/>
  <c r="J80" i="97"/>
  <c r="T87" i="95"/>
  <c r="V87" i="95" s="1"/>
  <c r="N12" i="97"/>
  <c r="X13" i="97"/>
  <c r="Z13" i="97" s="1"/>
  <c r="F16" i="97"/>
  <c r="F17" i="97"/>
  <c r="J36" i="97"/>
  <c r="J44" i="97"/>
  <c r="F52" i="97"/>
  <c r="F53" i="97"/>
  <c r="J54" i="97"/>
  <c r="F61" i="97"/>
  <c r="J68" i="97"/>
  <c r="F73" i="97"/>
  <c r="F77" i="97"/>
  <c r="J78" i="97"/>
  <c r="F93" i="97"/>
  <c r="T19" i="98"/>
  <c r="Z13" i="100"/>
  <c r="J17" i="97"/>
  <c r="F26" i="97"/>
  <c r="F30" i="97"/>
  <c r="F41" i="97"/>
  <c r="F42" i="97"/>
  <c r="J43" i="97"/>
  <c r="J53" i="97"/>
  <c r="J61" i="97"/>
  <c r="F66" i="97"/>
  <c r="J67" i="97"/>
  <c r="J73" i="97"/>
  <c r="J77" i="97"/>
  <c r="J16" i="97"/>
  <c r="J26" i="97"/>
  <c r="J30" i="97"/>
  <c r="F35" i="97"/>
  <c r="J42" i="97"/>
  <c r="F50" i="97"/>
  <c r="F51" i="97"/>
  <c r="J52" i="97"/>
  <c r="J66" i="97"/>
  <c r="N21" i="98"/>
  <c r="N20" i="99"/>
  <c r="N15" i="100"/>
  <c r="N21" i="100"/>
  <c r="J35" i="97"/>
  <c r="F39" i="97"/>
  <c r="F40" i="97"/>
  <c r="J41" i="97"/>
  <c r="J51" i="97"/>
  <c r="F59" i="97"/>
  <c r="F60" i="97"/>
  <c r="F72" i="97"/>
  <c r="F76" i="97"/>
  <c r="X13" i="98"/>
  <c r="Z13" i="98" s="1"/>
  <c r="P12" i="98"/>
  <c r="Z45" i="98"/>
  <c r="H47" i="99"/>
  <c r="Z46" i="100"/>
  <c r="Z14" i="101"/>
  <c r="F25" i="97"/>
  <c r="F29" i="97"/>
  <c r="J40" i="97"/>
  <c r="F48" i="97"/>
  <c r="F49" i="97"/>
  <c r="J50" i="97"/>
  <c r="J60" i="97"/>
  <c r="F65" i="97"/>
  <c r="J72" i="97"/>
  <c r="J76" i="97"/>
  <c r="P47" i="99"/>
  <c r="D20" i="97"/>
  <c r="J25" i="97"/>
  <c r="J29" i="97"/>
  <c r="F34" i="97"/>
  <c r="F38" i="97"/>
  <c r="J39" i="97"/>
  <c r="J49" i="97"/>
  <c r="F58" i="97"/>
  <c r="J59" i="97"/>
  <c r="J65" i="97"/>
  <c r="F83" i="97"/>
  <c r="F80" i="101"/>
  <c r="F78" i="101"/>
  <c r="F69" i="101"/>
  <c r="F65" i="101"/>
  <c r="F64" i="101"/>
  <c r="F57" i="101"/>
  <c r="F33" i="101"/>
  <c r="F29" i="101"/>
  <c r="F25" i="101"/>
  <c r="F24" i="101"/>
  <c r="F82" i="101"/>
  <c r="F77" i="101"/>
  <c r="F48" i="101"/>
  <c r="F47" i="101"/>
  <c r="F39" i="101"/>
  <c r="F35" i="101"/>
  <c r="F34" i="101"/>
  <c r="F70" i="101"/>
  <c r="F66" i="101"/>
  <c r="F58" i="101"/>
  <c r="F50" i="101"/>
  <c r="F49" i="101"/>
  <c r="F30" i="101"/>
  <c r="F26" i="101"/>
  <c r="F87" i="101"/>
  <c r="F84" i="101"/>
  <c r="F60" i="101"/>
  <c r="F59" i="101"/>
  <c r="F52" i="101"/>
  <c r="F51" i="101"/>
  <c r="F40" i="101"/>
  <c r="F36" i="101"/>
  <c r="F71" i="101"/>
  <c r="F67" i="101"/>
  <c r="F31" i="101"/>
  <c r="F27" i="101"/>
  <c r="F62" i="101"/>
  <c r="F61" i="101"/>
  <c r="F54" i="101"/>
  <c r="F53" i="101"/>
  <c r="F42" i="101"/>
  <c r="F41" i="101"/>
  <c r="F75" i="101"/>
  <c r="F74" i="101"/>
  <c r="F63" i="101"/>
  <c r="F46" i="101"/>
  <c r="F45" i="101"/>
  <c r="F38" i="101"/>
  <c r="F43" i="101"/>
  <c r="F68" i="101"/>
  <c r="F55" i="101"/>
  <c r="F72" i="101"/>
  <c r="L12" i="101"/>
  <c r="N12" i="101" s="1"/>
  <c r="F21" i="101"/>
  <c r="D21" i="101"/>
  <c r="F17" i="101"/>
  <c r="F37" i="101"/>
  <c r="F23" i="101"/>
  <c r="F28" i="101"/>
  <c r="F18" i="101"/>
  <c r="F44" i="101"/>
  <c r="F73" i="101"/>
  <c r="F56" i="101"/>
  <c r="F32" i="101"/>
  <c r="F19" i="101"/>
  <c r="F20" i="97"/>
  <c r="F22" i="97"/>
  <c r="J34" i="97"/>
  <c r="J38" i="97"/>
  <c r="F47" i="97"/>
  <c r="J48" i="97"/>
  <c r="J58" i="97"/>
  <c r="F70" i="97"/>
  <c r="F71" i="97"/>
  <c r="F75" i="97"/>
  <c r="F84" i="97"/>
  <c r="F90" i="97"/>
  <c r="L14" i="98"/>
  <c r="Z36" i="98"/>
  <c r="L58" i="100"/>
  <c r="J82" i="101"/>
  <c r="J48" i="101"/>
  <c r="J34" i="101"/>
  <c r="J49" i="101"/>
  <c r="J39" i="101"/>
  <c r="J35" i="101"/>
  <c r="J70" i="101"/>
  <c r="J66" i="101"/>
  <c r="J58" i="101"/>
  <c r="J50" i="101"/>
  <c r="J30" i="101"/>
  <c r="J26" i="101"/>
  <c r="J59" i="101"/>
  <c r="J51" i="101"/>
  <c r="J60" i="101"/>
  <c r="J52" i="101"/>
  <c r="J40" i="101"/>
  <c r="J36" i="101"/>
  <c r="J71" i="101"/>
  <c r="J67" i="101"/>
  <c r="J61" i="101"/>
  <c r="J53" i="101"/>
  <c r="J41" i="101"/>
  <c r="J31" i="101"/>
  <c r="J27" i="101"/>
  <c r="J17" i="101"/>
  <c r="J72" i="101"/>
  <c r="J62" i="101"/>
  <c r="J54" i="101"/>
  <c r="J42" i="101"/>
  <c r="J73" i="101"/>
  <c r="J55" i="101"/>
  <c r="J43" i="101"/>
  <c r="J37" i="101"/>
  <c r="J75" i="101"/>
  <c r="J78" i="101"/>
  <c r="J64" i="101"/>
  <c r="J46" i="101"/>
  <c r="J38" i="101"/>
  <c r="J77" i="101"/>
  <c r="J69" i="101"/>
  <c r="J65" i="101"/>
  <c r="J57" i="101"/>
  <c r="J47" i="101"/>
  <c r="J33" i="101"/>
  <c r="J45" i="101"/>
  <c r="J74" i="101"/>
  <c r="J68" i="101"/>
  <c r="J29" i="101"/>
  <c r="J25" i="101"/>
  <c r="H21" i="101"/>
  <c r="J23" i="101"/>
  <c r="J63" i="101"/>
  <c r="J28" i="101"/>
  <c r="J18" i="101"/>
  <c r="J44" i="101"/>
  <c r="J24" i="101"/>
  <c r="J56" i="101"/>
  <c r="J32" i="101"/>
  <c r="J19" i="101"/>
  <c r="H20" i="97"/>
  <c r="J20" i="97" s="1"/>
  <c r="F23" i="97"/>
  <c r="F24" i="97"/>
  <c r="F28" i="97"/>
  <c r="J47" i="97"/>
  <c r="F63" i="97"/>
  <c r="F64" i="97"/>
  <c r="J71" i="97"/>
  <c r="J75" i="97"/>
  <c r="J83" i="97"/>
  <c r="J48" i="98"/>
  <c r="J38" i="98"/>
  <c r="J32" i="98"/>
  <c r="J22" i="98"/>
  <c r="J39" i="98"/>
  <c r="J27" i="98"/>
  <c r="J23" i="98"/>
  <c r="J21" i="98"/>
  <c r="J52" i="98"/>
  <c r="J40" i="98"/>
  <c r="H19" i="98"/>
  <c r="J41" i="98"/>
  <c r="J33" i="98"/>
  <c r="J42" i="98"/>
  <c r="J28" i="98"/>
  <c r="J24" i="98"/>
  <c r="J43" i="98"/>
  <c r="J34" i="98"/>
  <c r="J29" i="98"/>
  <c r="J25" i="98"/>
  <c r="J44" i="98"/>
  <c r="J45" i="98"/>
  <c r="J35" i="98"/>
  <c r="J46" i="98"/>
  <c r="J36" i="98"/>
  <c r="J30" i="98"/>
  <c r="J26" i="98"/>
  <c r="J37" i="98"/>
  <c r="J31" i="98"/>
  <c r="J17" i="98"/>
  <c r="N14" i="98"/>
  <c r="F56" i="100"/>
  <c r="F55" i="100"/>
  <c r="F40" i="100"/>
  <c r="F39" i="100"/>
  <c r="F24" i="100"/>
  <c r="F51" i="100"/>
  <c r="F50" i="100"/>
  <c r="F61" i="100"/>
  <c r="F59" i="100"/>
  <c r="F42" i="100"/>
  <c r="F41" i="100"/>
  <c r="F30" i="100"/>
  <c r="F26" i="100"/>
  <c r="F25" i="100"/>
  <c r="F63" i="100"/>
  <c r="F58" i="100"/>
  <c r="F52" i="100"/>
  <c r="F44" i="100"/>
  <c r="F43" i="100"/>
  <c r="F32" i="100"/>
  <c r="F31" i="100"/>
  <c r="F16" i="100"/>
  <c r="F15" i="100"/>
  <c r="F27" i="100"/>
  <c r="F68" i="100"/>
  <c r="F65" i="100"/>
  <c r="F34" i="100"/>
  <c r="F33" i="100"/>
  <c r="F53" i="100"/>
  <c r="F45" i="100"/>
  <c r="F17" i="100"/>
  <c r="F36" i="100"/>
  <c r="F35" i="100"/>
  <c r="F28" i="100"/>
  <c r="L12" i="100"/>
  <c r="F47" i="100"/>
  <c r="F46" i="100"/>
  <c r="F23" i="100"/>
  <c r="F22" i="100"/>
  <c r="F54" i="100"/>
  <c r="F38" i="100"/>
  <c r="F37" i="100"/>
  <c r="F21" i="100"/>
  <c r="F19" i="100"/>
  <c r="F49" i="100"/>
  <c r="F48" i="100"/>
  <c r="F29" i="100"/>
  <c r="D19" i="100"/>
  <c r="F26" i="98"/>
  <c r="F30" i="98"/>
  <c r="F45" i="98"/>
  <c r="F46" i="98"/>
  <c r="V23" i="99"/>
  <c r="V27" i="99"/>
  <c r="F31" i="99"/>
  <c r="F32" i="99"/>
  <c r="J33" i="99"/>
  <c r="R36" i="99"/>
  <c r="R37" i="99"/>
  <c r="V41" i="99"/>
  <c r="V43" i="99"/>
  <c r="F47" i="99"/>
  <c r="F50" i="99"/>
  <c r="V16" i="100"/>
  <c r="J24" i="100"/>
  <c r="L25" i="100"/>
  <c r="N25" i="100" s="1"/>
  <c r="V32" i="100"/>
  <c r="X35" i="100"/>
  <c r="J40" i="100"/>
  <c r="L41" i="100"/>
  <c r="N41" i="100" s="1"/>
  <c r="V44" i="100"/>
  <c r="J50" i="100"/>
  <c r="V52" i="100"/>
  <c r="J56" i="100"/>
  <c r="L59" i="100"/>
  <c r="X12" i="101"/>
  <c r="Z12" i="101" s="1"/>
  <c r="P21" i="101"/>
  <c r="Z23" i="101"/>
  <c r="X49" i="101"/>
  <c r="V74" i="103"/>
  <c r="V70" i="103"/>
  <c r="V58" i="103"/>
  <c r="V87" i="103"/>
  <c r="V65" i="103"/>
  <c r="V76" i="103"/>
  <c r="V75" i="103"/>
  <c r="V71" i="103"/>
  <c r="V67" i="103"/>
  <c r="V78" i="103"/>
  <c r="V77" i="103"/>
  <c r="V61" i="103"/>
  <c r="V53" i="103"/>
  <c r="V41" i="103"/>
  <c r="V80" i="103"/>
  <c r="V72" i="103"/>
  <c r="V34" i="103"/>
  <c r="T21" i="103"/>
  <c r="V83" i="103"/>
  <c r="V66" i="103"/>
  <c r="V38" i="103"/>
  <c r="V33" i="103"/>
  <c r="V29" i="103"/>
  <c r="V25" i="103"/>
  <c r="V73" i="103"/>
  <c r="V69" i="103"/>
  <c r="V64" i="103"/>
  <c r="V51" i="103"/>
  <c r="V50" i="103"/>
  <c r="V45" i="103"/>
  <c r="V44" i="103"/>
  <c r="V59" i="103"/>
  <c r="V35" i="103"/>
  <c r="V30" i="103"/>
  <c r="V26" i="103"/>
  <c r="V56" i="103"/>
  <c r="V52" i="103"/>
  <c r="V39" i="103"/>
  <c r="V17" i="103"/>
  <c r="V62" i="103"/>
  <c r="V47" i="103"/>
  <c r="V46" i="103"/>
  <c r="V36" i="103"/>
  <c r="V60" i="103"/>
  <c r="V57" i="103"/>
  <c r="V31" i="103"/>
  <c r="V27" i="103"/>
  <c r="V68" i="103"/>
  <c r="V49" i="103"/>
  <c r="V48" i="103"/>
  <c r="V37" i="103"/>
  <c r="V79" i="103"/>
  <c r="V54" i="103"/>
  <c r="V43" i="103"/>
  <c r="V32" i="103"/>
  <c r="V28" i="103"/>
  <c r="V24" i="103"/>
  <c r="V55" i="103"/>
  <c r="V42" i="103"/>
  <c r="V23" i="103"/>
  <c r="V21" i="103"/>
  <c r="V19" i="103"/>
  <c r="V81" i="103"/>
  <c r="F35" i="98"/>
  <c r="F20" i="99"/>
  <c r="F21" i="99"/>
  <c r="F25" i="99"/>
  <c r="J32" i="99"/>
  <c r="V36" i="99"/>
  <c r="J29" i="100"/>
  <c r="V33" i="100"/>
  <c r="J39" i="100"/>
  <c r="J49" i="100"/>
  <c r="J55" i="100"/>
  <c r="P58" i="100"/>
  <c r="N59" i="100"/>
  <c r="V63" i="100"/>
  <c r="R21" i="101"/>
  <c r="R25" i="101"/>
  <c r="R29" i="101"/>
  <c r="R49" i="101"/>
  <c r="F44" i="98"/>
  <c r="J17" i="99"/>
  <c r="J19" i="99"/>
  <c r="J21" i="99"/>
  <c r="R22" i="99"/>
  <c r="J25" i="99"/>
  <c r="R26" i="99"/>
  <c r="F29" i="99"/>
  <c r="F30" i="99"/>
  <c r="J31" i="99"/>
  <c r="R34" i="99"/>
  <c r="R35" i="99"/>
  <c r="V37" i="99"/>
  <c r="J47" i="99"/>
  <c r="J50" i="99"/>
  <c r="H19" i="100"/>
  <c r="V26" i="100"/>
  <c r="V30" i="100"/>
  <c r="J38" i="100"/>
  <c r="V42" i="100"/>
  <c r="J48" i="100"/>
  <c r="J54" i="100"/>
  <c r="Z47" i="101"/>
  <c r="Z49" i="101"/>
  <c r="Z28" i="102"/>
  <c r="F79" i="103"/>
  <c r="F78" i="103"/>
  <c r="F62" i="103"/>
  <c r="F81" i="103"/>
  <c r="F80" i="103"/>
  <c r="F73" i="103"/>
  <c r="F69" i="103"/>
  <c r="F64" i="103"/>
  <c r="F63" i="103"/>
  <c r="F56" i="103"/>
  <c r="F55" i="103"/>
  <c r="F83" i="103"/>
  <c r="F74" i="103"/>
  <c r="F70" i="103"/>
  <c r="F58" i="103"/>
  <c r="F57" i="103"/>
  <c r="F46" i="103"/>
  <c r="F45" i="103"/>
  <c r="F38" i="103"/>
  <c r="F87" i="103"/>
  <c r="F72" i="103"/>
  <c r="F68" i="103"/>
  <c r="F67" i="103"/>
  <c r="F53" i="103"/>
  <c r="F31" i="103"/>
  <c r="F27" i="103"/>
  <c r="F47" i="103"/>
  <c r="F40" i="103"/>
  <c r="F18" i="103"/>
  <c r="F17" i="103"/>
  <c r="F54" i="103"/>
  <c r="F48" i="103"/>
  <c r="F37" i="103"/>
  <c r="F77" i="103"/>
  <c r="F41" i="103"/>
  <c r="F32" i="103"/>
  <c r="F28" i="103"/>
  <c r="F61" i="103"/>
  <c r="F49" i="103"/>
  <c r="F42" i="103"/>
  <c r="F19" i="103"/>
  <c r="F75" i="103"/>
  <c r="F71" i="103"/>
  <c r="F66" i="103"/>
  <c r="F50" i="103"/>
  <c r="F43" i="103"/>
  <c r="F33" i="103"/>
  <c r="F29" i="103"/>
  <c r="F25" i="103"/>
  <c r="F24" i="103"/>
  <c r="F44" i="103"/>
  <c r="F23" i="103"/>
  <c r="F51" i="103"/>
  <c r="F39" i="103"/>
  <c r="F30" i="103"/>
  <c r="F26" i="103"/>
  <c r="F65" i="103"/>
  <c r="F52" i="103"/>
  <c r="F76" i="103"/>
  <c r="F60" i="103"/>
  <c r="F36" i="103"/>
  <c r="L12" i="103"/>
  <c r="N15" i="103"/>
  <c r="V18" i="103"/>
  <c r="V40" i="103"/>
  <c r="N67" i="103"/>
  <c r="L67" i="103"/>
  <c r="F25" i="98"/>
  <c r="F29" i="98"/>
  <c r="F14" i="99"/>
  <c r="F15" i="99"/>
  <c r="J20" i="99"/>
  <c r="V22" i="99"/>
  <c r="V26" i="99"/>
  <c r="J30" i="99"/>
  <c r="V34" i="99"/>
  <c r="F40" i="99"/>
  <c r="F45" i="99"/>
  <c r="V15" i="100"/>
  <c r="J19" i="100"/>
  <c r="J21" i="100"/>
  <c r="J23" i="100"/>
  <c r="V31" i="100"/>
  <c r="J37" i="100"/>
  <c r="V43" i="100"/>
  <c r="J47" i="100"/>
  <c r="V51" i="100"/>
  <c r="T58" i="100"/>
  <c r="J80" i="103"/>
  <c r="J62" i="103"/>
  <c r="J54" i="103"/>
  <c r="J81" i="103"/>
  <c r="J73" i="103"/>
  <c r="J69" i="103"/>
  <c r="J63" i="103"/>
  <c r="J64" i="103"/>
  <c r="J83" i="103"/>
  <c r="J57" i="103"/>
  <c r="J74" i="103"/>
  <c r="J70" i="103"/>
  <c r="J87" i="103"/>
  <c r="J65" i="103"/>
  <c r="J59" i="103"/>
  <c r="J47" i="103"/>
  <c r="J79" i="103"/>
  <c r="J72" i="103"/>
  <c r="J40" i="103"/>
  <c r="J18" i="103"/>
  <c r="J68" i="103"/>
  <c r="J48" i="103"/>
  <c r="J41" i="103"/>
  <c r="J37" i="103"/>
  <c r="J77" i="103"/>
  <c r="J49" i="103"/>
  <c r="J32" i="103"/>
  <c r="J28" i="103"/>
  <c r="J61" i="103"/>
  <c r="J58" i="103"/>
  <c r="J42" i="103"/>
  <c r="J19" i="103"/>
  <c r="J75" i="103"/>
  <c r="J71" i="103"/>
  <c r="J66" i="103"/>
  <c r="J55" i="103"/>
  <c r="J43" i="103"/>
  <c r="J24" i="103"/>
  <c r="J50" i="103"/>
  <c r="J38" i="103"/>
  <c r="J33" i="103"/>
  <c r="J29" i="103"/>
  <c r="J25" i="103"/>
  <c r="J23" i="103"/>
  <c r="J44" i="103"/>
  <c r="J34" i="103"/>
  <c r="H21" i="103"/>
  <c r="J21" i="103" s="1"/>
  <c r="J78" i="103"/>
  <c r="J67" i="103"/>
  <c r="J51" i="103"/>
  <c r="J35" i="103"/>
  <c r="J76" i="103"/>
  <c r="J52" i="103"/>
  <c r="J60" i="103"/>
  <c r="J53" i="103"/>
  <c r="J46" i="103"/>
  <c r="J36" i="103"/>
  <c r="N12" i="103"/>
  <c r="J31" i="103"/>
  <c r="J27" i="103"/>
  <c r="J17" i="103"/>
  <c r="N51" i="103"/>
  <c r="L51" i="103"/>
  <c r="X57" i="103"/>
  <c r="Z57" i="103" s="1"/>
  <c r="F34" i="98"/>
  <c r="J15" i="99"/>
  <c r="N17" i="99"/>
  <c r="F24" i="99"/>
  <c r="F28" i="99"/>
  <c r="J29" i="99"/>
  <c r="R32" i="99"/>
  <c r="R33" i="99"/>
  <c r="V35" i="99"/>
  <c r="F41" i="99"/>
  <c r="F43" i="99"/>
  <c r="J45" i="99"/>
  <c r="N12" i="100"/>
  <c r="X13" i="100"/>
  <c r="J22" i="100"/>
  <c r="V24" i="100"/>
  <c r="J28" i="100"/>
  <c r="J36" i="100"/>
  <c r="V40" i="100"/>
  <c r="J46" i="100"/>
  <c r="V56" i="100"/>
  <c r="V58" i="100"/>
  <c r="R19" i="101"/>
  <c r="Z64" i="101"/>
  <c r="N45" i="103"/>
  <c r="F42" i="98"/>
  <c r="F43" i="98"/>
  <c r="J14" i="99"/>
  <c r="R21" i="99"/>
  <c r="J24" i="99"/>
  <c r="R25" i="99"/>
  <c r="J28" i="99"/>
  <c r="V32" i="99"/>
  <c r="X35" i="99"/>
  <c r="Z35" i="99" s="1"/>
  <c r="J40" i="99"/>
  <c r="J17" i="100"/>
  <c r="V25" i="100"/>
  <c r="V29" i="100"/>
  <c r="J35" i="100"/>
  <c r="V41" i="100"/>
  <c r="J45" i="100"/>
  <c r="V49" i="100"/>
  <c r="J53" i="100"/>
  <c r="V59" i="100"/>
  <c r="L13" i="101"/>
  <c r="R34" i="101"/>
  <c r="R48" i="101"/>
  <c r="R69" i="101"/>
  <c r="Z39" i="102"/>
  <c r="J45" i="103"/>
  <c r="Z51" i="103"/>
  <c r="F24" i="98"/>
  <c r="F28" i="98"/>
  <c r="X38" i="98"/>
  <c r="Z38" i="98" s="1"/>
  <c r="V21" i="99"/>
  <c r="V25" i="99"/>
  <c r="R30" i="99"/>
  <c r="R31" i="99"/>
  <c r="V33" i="99"/>
  <c r="F37" i="99"/>
  <c r="F38" i="99"/>
  <c r="J41" i="99"/>
  <c r="J43" i="99"/>
  <c r="R47" i="99"/>
  <c r="R50" i="99"/>
  <c r="X25" i="100"/>
  <c r="Z25" i="100" s="1"/>
  <c r="J34" i="100"/>
  <c r="L35" i="100"/>
  <c r="V38" i="100"/>
  <c r="X41" i="100"/>
  <c r="Z41" i="100" s="1"/>
  <c r="V50" i="100"/>
  <c r="V54" i="100"/>
  <c r="N13" i="101"/>
  <c r="R26" i="101"/>
  <c r="Z34" i="101"/>
  <c r="X77" i="101"/>
  <c r="J26" i="103"/>
  <c r="J56" i="103"/>
  <c r="D19" i="98"/>
  <c r="F33" i="98"/>
  <c r="F40" i="98"/>
  <c r="F41" i="98"/>
  <c r="T17" i="99"/>
  <c r="R20" i="99"/>
  <c r="F23" i="99"/>
  <c r="F27" i="99"/>
  <c r="V30" i="99"/>
  <c r="J38" i="99"/>
  <c r="R45" i="99"/>
  <c r="V23" i="100"/>
  <c r="J27" i="100"/>
  <c r="J33" i="100"/>
  <c r="V39" i="100"/>
  <c r="V47" i="100"/>
  <c r="V55" i="100"/>
  <c r="J65" i="100"/>
  <c r="J68" i="100"/>
  <c r="N17" i="101"/>
  <c r="X37" i="102"/>
  <c r="Z37" i="102" s="1"/>
  <c r="Z45" i="103"/>
  <c r="T51" i="104"/>
  <c r="F19" i="98"/>
  <c r="F21" i="98"/>
  <c r="F52" i="98"/>
  <c r="L12" i="99"/>
  <c r="V15" i="99"/>
  <c r="V17" i="99"/>
  <c r="V19" i="99"/>
  <c r="J23" i="99"/>
  <c r="R24" i="99"/>
  <c r="J27" i="99"/>
  <c r="R28" i="99"/>
  <c r="R29" i="99"/>
  <c r="V31" i="99"/>
  <c r="F35" i="99"/>
  <c r="F36" i="99"/>
  <c r="J37" i="99"/>
  <c r="V45" i="99"/>
  <c r="V47" i="99"/>
  <c r="V50" i="99"/>
  <c r="Z12" i="100"/>
  <c r="J16" i="100"/>
  <c r="T19" i="100"/>
  <c r="V28" i="100"/>
  <c r="J32" i="100"/>
  <c r="V36" i="100"/>
  <c r="J44" i="100"/>
  <c r="V48" i="100"/>
  <c r="J52" i="100"/>
  <c r="T50" i="102"/>
  <c r="J39" i="103"/>
  <c r="X41" i="103"/>
  <c r="F22" i="98"/>
  <c r="F23" i="98"/>
  <c r="F27" i="98"/>
  <c r="F38" i="98"/>
  <c r="F39" i="98"/>
  <c r="F48" i="98"/>
  <c r="N12" i="99"/>
  <c r="X17" i="99"/>
  <c r="V20" i="99"/>
  <c r="V24" i="99"/>
  <c r="V28" i="99"/>
  <c r="J36" i="99"/>
  <c r="R40" i="99"/>
  <c r="J15" i="100"/>
  <c r="V17" i="100"/>
  <c r="V19" i="100"/>
  <c r="V21" i="100"/>
  <c r="J31" i="100"/>
  <c r="V37" i="100"/>
  <c r="J43" i="100"/>
  <c r="V45" i="100"/>
  <c r="V53" i="100"/>
  <c r="J63" i="100"/>
  <c r="D21" i="103"/>
  <c r="F21" i="103" s="1"/>
  <c r="F34" i="103"/>
  <c r="Z41" i="103"/>
  <c r="L12" i="98"/>
  <c r="N12" i="98" s="1"/>
  <c r="F31" i="98"/>
  <c r="F32" i="98"/>
  <c r="F22" i="99"/>
  <c r="F26" i="99"/>
  <c r="V29" i="99"/>
  <c r="F33" i="99"/>
  <c r="F34" i="99"/>
  <c r="J35" i="99"/>
  <c r="R38" i="99"/>
  <c r="R41" i="99"/>
  <c r="R43" i="99"/>
  <c r="V22" i="100"/>
  <c r="J26" i="100"/>
  <c r="J30" i="100"/>
  <c r="V34" i="100"/>
  <c r="J42" i="100"/>
  <c r="V46" i="100"/>
  <c r="J58" i="100"/>
  <c r="R61" i="101"/>
  <c r="R60" i="101"/>
  <c r="R53" i="101"/>
  <c r="R52" i="101"/>
  <c r="R41" i="101"/>
  <c r="R40" i="101"/>
  <c r="R36" i="101"/>
  <c r="R72" i="101"/>
  <c r="R71" i="101"/>
  <c r="R67" i="101"/>
  <c r="R31" i="101"/>
  <c r="R27" i="101"/>
  <c r="R62" i="101"/>
  <c r="R55" i="101"/>
  <c r="R54" i="101"/>
  <c r="R43" i="101"/>
  <c r="R42" i="101"/>
  <c r="R18" i="101"/>
  <c r="R74" i="101"/>
  <c r="R73" i="101"/>
  <c r="R37" i="101"/>
  <c r="R68" i="101"/>
  <c r="R56" i="101"/>
  <c r="R45" i="101"/>
  <c r="R44" i="101"/>
  <c r="R32" i="101"/>
  <c r="R28" i="101"/>
  <c r="R80" i="101"/>
  <c r="R78" i="101"/>
  <c r="R75" i="101"/>
  <c r="R64" i="101"/>
  <c r="R63" i="101"/>
  <c r="R24" i="101"/>
  <c r="R77" i="101"/>
  <c r="R47" i="101"/>
  <c r="R46" i="101"/>
  <c r="R38" i="101"/>
  <c r="R82" i="101"/>
  <c r="R87" i="101"/>
  <c r="R84" i="101"/>
  <c r="R39" i="101"/>
  <c r="R35" i="101"/>
  <c r="R70" i="101"/>
  <c r="R66" i="101"/>
  <c r="R59" i="101"/>
  <c r="R58" i="101"/>
  <c r="R51" i="101"/>
  <c r="R50" i="101"/>
  <c r="R30" i="101"/>
  <c r="R17" i="101"/>
  <c r="R33" i="101"/>
  <c r="N34" i="103"/>
  <c r="V63" i="103"/>
  <c r="F16" i="98"/>
  <c r="F17" i="98"/>
  <c r="F36" i="98"/>
  <c r="V14" i="99"/>
  <c r="J22" i="99"/>
  <c r="R23" i="99"/>
  <c r="J26" i="99"/>
  <c r="V38" i="99"/>
  <c r="J25" i="100"/>
  <c r="V27" i="100"/>
  <c r="J41" i="100"/>
  <c r="J51" i="100"/>
  <c r="J59" i="100"/>
  <c r="R23" i="101"/>
  <c r="N43" i="101"/>
  <c r="N53" i="101"/>
  <c r="R57" i="101"/>
  <c r="Z16" i="102"/>
  <c r="Z19" i="102"/>
  <c r="Z14" i="103"/>
  <c r="Z17" i="103"/>
  <c r="F59" i="103"/>
  <c r="R19" i="102"/>
  <c r="F22" i="102"/>
  <c r="F26" i="102"/>
  <c r="V29" i="102"/>
  <c r="R38" i="102"/>
  <c r="R39" i="102"/>
  <c r="V41" i="102"/>
  <c r="F48" i="102"/>
  <c r="R28" i="103"/>
  <c r="R32" i="103"/>
  <c r="Z43" i="103"/>
  <c r="R49" i="103"/>
  <c r="R54" i="103"/>
  <c r="R79" i="103"/>
  <c r="V14" i="102"/>
  <c r="V16" i="102"/>
  <c r="V18" i="102"/>
  <c r="J22" i="102"/>
  <c r="R23" i="102"/>
  <c r="J26" i="102"/>
  <c r="R27" i="102"/>
  <c r="R28" i="102"/>
  <c r="V30" i="102"/>
  <c r="F34" i="102"/>
  <c r="F35" i="102"/>
  <c r="V38" i="102"/>
  <c r="F44" i="102"/>
  <c r="F46" i="102"/>
  <c r="J48" i="102"/>
  <c r="R37" i="103"/>
  <c r="R48" i="103"/>
  <c r="R63" i="103"/>
  <c r="N76" i="103"/>
  <c r="P12" i="104"/>
  <c r="X13" i="104"/>
  <c r="N23" i="105"/>
  <c r="R36" i="102"/>
  <c r="R37" i="102"/>
  <c r="R74" i="103"/>
  <c r="R70" i="103"/>
  <c r="R59" i="103"/>
  <c r="R58" i="103"/>
  <c r="R87" i="103"/>
  <c r="R65" i="103"/>
  <c r="R60" i="103"/>
  <c r="R76" i="103"/>
  <c r="R75" i="103"/>
  <c r="R71" i="103"/>
  <c r="R67" i="103"/>
  <c r="R66" i="103"/>
  <c r="R51" i="103"/>
  <c r="R50" i="103"/>
  <c r="R78" i="103"/>
  <c r="R77" i="103"/>
  <c r="R83" i="103"/>
  <c r="R18" i="103"/>
  <c r="R40" i="103"/>
  <c r="R41" i="103"/>
  <c r="R57" i="103"/>
  <c r="Z63" i="103"/>
  <c r="R72" i="103"/>
  <c r="R81" i="103"/>
  <c r="V33" i="104"/>
  <c r="V17" i="104"/>
  <c r="V44" i="104"/>
  <c r="V36" i="104"/>
  <c r="V28" i="104"/>
  <c r="V35" i="104"/>
  <c r="V27" i="104"/>
  <c r="V46" i="104"/>
  <c r="V38" i="104"/>
  <c r="V18" i="104"/>
  <c r="V45" i="104"/>
  <c r="V37" i="104"/>
  <c r="V29" i="104"/>
  <c r="V40" i="104"/>
  <c r="V24" i="104"/>
  <c r="V51" i="104"/>
  <c r="V49" i="104"/>
  <c r="V47" i="104"/>
  <c r="V39" i="104"/>
  <c r="V23" i="104"/>
  <c r="V21" i="104"/>
  <c r="V19" i="104"/>
  <c r="V42" i="104"/>
  <c r="V30" i="104"/>
  <c r="V32" i="104"/>
  <c r="V53" i="104"/>
  <c r="V43" i="104"/>
  <c r="V31" i="104"/>
  <c r="V34" i="104"/>
  <c r="V26" i="104"/>
  <c r="V91" i="105"/>
  <c r="V69" i="105"/>
  <c r="V80" i="105"/>
  <c r="V64" i="105"/>
  <c r="V56" i="105"/>
  <c r="V82" i="105"/>
  <c r="V58" i="105"/>
  <c r="V81" i="105"/>
  <c r="V65" i="105"/>
  <c r="V84" i="105"/>
  <c r="V76" i="105"/>
  <c r="V72" i="105"/>
  <c r="V60" i="105"/>
  <c r="V83" i="105"/>
  <c r="V66" i="105"/>
  <c r="V78" i="105"/>
  <c r="V85" i="105"/>
  <c r="V63" i="105"/>
  <c r="V42" i="105"/>
  <c r="V18" i="105"/>
  <c r="V45" i="105"/>
  <c r="V37" i="105"/>
  <c r="V73" i="105"/>
  <c r="V44" i="105"/>
  <c r="V32" i="105"/>
  <c r="V28" i="105"/>
  <c r="V24" i="105"/>
  <c r="V87" i="105"/>
  <c r="V77" i="105"/>
  <c r="V75" i="105"/>
  <c r="V57" i="105"/>
  <c r="V23" i="105"/>
  <c r="V19" i="105"/>
  <c r="V79" i="105"/>
  <c r="V71" i="105"/>
  <c r="V53" i="105"/>
  <c r="V52" i="105"/>
  <c r="V47" i="105"/>
  <c r="V46" i="105"/>
  <c r="V38" i="105"/>
  <c r="V34" i="105"/>
  <c r="T21" i="105"/>
  <c r="V21" i="105" s="1"/>
  <c r="V33" i="105"/>
  <c r="V29" i="105"/>
  <c r="V25" i="105"/>
  <c r="V61" i="105"/>
  <c r="V49" i="105"/>
  <c r="V39" i="105"/>
  <c r="V35" i="105"/>
  <c r="V74" i="105"/>
  <c r="V55" i="105"/>
  <c r="V54" i="105"/>
  <c r="V41" i="105"/>
  <c r="V17" i="105"/>
  <c r="V70" i="105"/>
  <c r="V68" i="105"/>
  <c r="V40" i="105"/>
  <c r="V36" i="105"/>
  <c r="V62" i="105"/>
  <c r="V51" i="105"/>
  <c r="V50" i="105"/>
  <c r="V43" i="105"/>
  <c r="V31" i="105"/>
  <c r="V27" i="105"/>
  <c r="D16" i="102"/>
  <c r="J21" i="102"/>
  <c r="R22" i="102"/>
  <c r="J25" i="102"/>
  <c r="R26" i="102"/>
  <c r="J33" i="102"/>
  <c r="V37" i="102"/>
  <c r="F41" i="102"/>
  <c r="F42" i="102"/>
  <c r="R48" i="102"/>
  <c r="X12" i="103"/>
  <c r="Z12" i="103" s="1"/>
  <c r="R17" i="103"/>
  <c r="R36" i="103"/>
  <c r="R46" i="103"/>
  <c r="R62" i="103"/>
  <c r="D12" i="105"/>
  <c r="L13" i="105"/>
  <c r="Z23" i="105"/>
  <c r="L45" i="105"/>
  <c r="T77" i="101"/>
  <c r="F14" i="102"/>
  <c r="F16" i="102"/>
  <c r="F18" i="102"/>
  <c r="V22" i="102"/>
  <c r="V26" i="102"/>
  <c r="F30" i="102"/>
  <c r="F31" i="102"/>
  <c r="J32" i="102"/>
  <c r="R35" i="102"/>
  <c r="J42" i="102"/>
  <c r="V48" i="102"/>
  <c r="V50" i="102"/>
  <c r="V53" i="102"/>
  <c r="R39" i="103"/>
  <c r="R52" i="103"/>
  <c r="R53" i="103"/>
  <c r="R56" i="103"/>
  <c r="Z24" i="104"/>
  <c r="J85" i="105"/>
  <c r="J77" i="105"/>
  <c r="J73" i="105"/>
  <c r="J52" i="105"/>
  <c r="J87" i="105"/>
  <c r="J78" i="105"/>
  <c r="J74" i="105"/>
  <c r="J68" i="105"/>
  <c r="J62" i="105"/>
  <c r="J54" i="105"/>
  <c r="J91" i="105"/>
  <c r="J69" i="105"/>
  <c r="J63" i="105"/>
  <c r="J70" i="105"/>
  <c r="J64" i="105"/>
  <c r="J56" i="105"/>
  <c r="J79" i="105"/>
  <c r="J75" i="105"/>
  <c r="J71" i="105"/>
  <c r="J80" i="105"/>
  <c r="J84" i="105"/>
  <c r="J67" i="105"/>
  <c r="J65" i="105"/>
  <c r="J48" i="105"/>
  <c r="J30" i="105"/>
  <c r="J26" i="105"/>
  <c r="J49" i="105"/>
  <c r="J59" i="105"/>
  <c r="J55" i="105"/>
  <c r="J40" i="105"/>
  <c r="J36" i="105"/>
  <c r="J83" i="105"/>
  <c r="J50" i="105"/>
  <c r="J41" i="105"/>
  <c r="J31" i="105"/>
  <c r="J27" i="105"/>
  <c r="J17" i="105"/>
  <c r="J60" i="105"/>
  <c r="J42" i="105"/>
  <c r="J18" i="105"/>
  <c r="J81" i="105"/>
  <c r="J51" i="105"/>
  <c r="J43" i="105"/>
  <c r="J37" i="105"/>
  <c r="J66" i="105"/>
  <c r="J44" i="105"/>
  <c r="J32" i="105"/>
  <c r="J28" i="105"/>
  <c r="J45" i="105"/>
  <c r="J19" i="105"/>
  <c r="J82" i="105"/>
  <c r="J53" i="105"/>
  <c r="J33" i="105"/>
  <c r="J29" i="105"/>
  <c r="J25" i="105"/>
  <c r="J23" i="105"/>
  <c r="J76" i="105"/>
  <c r="J61" i="105"/>
  <c r="J58" i="105"/>
  <c r="J47" i="105"/>
  <c r="J34" i="105"/>
  <c r="H21" i="105"/>
  <c r="J72" i="105"/>
  <c r="J39" i="105"/>
  <c r="J35" i="105"/>
  <c r="V26" i="105"/>
  <c r="N45" i="105"/>
  <c r="H16" i="102"/>
  <c r="F19" i="102"/>
  <c r="F20" i="102"/>
  <c r="F24" i="102"/>
  <c r="J31" i="102"/>
  <c r="V35" i="102"/>
  <c r="F39" i="102"/>
  <c r="F40" i="102"/>
  <c r="J41" i="102"/>
  <c r="R26" i="103"/>
  <c r="R30" i="103"/>
  <c r="Z53" i="103"/>
  <c r="F30" i="104"/>
  <c r="F41" i="104"/>
  <c r="F40" i="104"/>
  <c r="F25" i="104"/>
  <c r="F24" i="104"/>
  <c r="F51" i="104"/>
  <c r="F49" i="104"/>
  <c r="F23" i="104"/>
  <c r="F21" i="104"/>
  <c r="F53" i="104"/>
  <c r="F43" i="104"/>
  <c r="F42" i="104"/>
  <c r="F31" i="104"/>
  <c r="D21" i="104"/>
  <c r="F26" i="104"/>
  <c r="F33" i="104"/>
  <c r="F32" i="104"/>
  <c r="F58" i="104"/>
  <c r="F55" i="104"/>
  <c r="F44" i="104"/>
  <c r="L12" i="104"/>
  <c r="F35" i="104"/>
  <c r="F34" i="104"/>
  <c r="F27" i="104"/>
  <c r="F45" i="104"/>
  <c r="F37" i="104"/>
  <c r="F36" i="104"/>
  <c r="F47" i="104"/>
  <c r="F46" i="104"/>
  <c r="F39" i="104"/>
  <c r="F38" i="104"/>
  <c r="F19" i="104"/>
  <c r="L17" i="104"/>
  <c r="L36" i="104"/>
  <c r="Z46" i="104"/>
  <c r="R78" i="105"/>
  <c r="R74" i="105"/>
  <c r="R91" i="105"/>
  <c r="R70" i="105"/>
  <c r="R69" i="105"/>
  <c r="R80" i="105"/>
  <c r="R79" i="105"/>
  <c r="R75" i="105"/>
  <c r="R71" i="105"/>
  <c r="R82" i="105"/>
  <c r="R81" i="105"/>
  <c r="R65" i="105"/>
  <c r="R76" i="105"/>
  <c r="R72" i="105"/>
  <c r="R84" i="105"/>
  <c r="R83" i="105"/>
  <c r="R85" i="105"/>
  <c r="R68" i="105"/>
  <c r="R62" i="105"/>
  <c r="R50" i="105"/>
  <c r="R31" i="105"/>
  <c r="R27" i="105"/>
  <c r="R60" i="105"/>
  <c r="R51" i="105"/>
  <c r="R43" i="105"/>
  <c r="R42" i="105"/>
  <c r="R18" i="105"/>
  <c r="R63" i="105"/>
  <c r="R37" i="105"/>
  <c r="R73" i="105"/>
  <c r="R66" i="105"/>
  <c r="R56" i="105"/>
  <c r="R45" i="105"/>
  <c r="R44" i="105"/>
  <c r="R32" i="105"/>
  <c r="R28" i="105"/>
  <c r="R77" i="105"/>
  <c r="R24" i="105"/>
  <c r="R19" i="105"/>
  <c r="R87" i="105"/>
  <c r="R64" i="105"/>
  <c r="R57" i="105"/>
  <c r="R52" i="105"/>
  <c r="R46" i="105"/>
  <c r="R38" i="105"/>
  <c r="R23" i="105"/>
  <c r="R53" i="105"/>
  <c r="R47" i="105"/>
  <c r="R34" i="105"/>
  <c r="R33" i="105"/>
  <c r="R29" i="105"/>
  <c r="R25" i="105"/>
  <c r="P21" i="105"/>
  <c r="R21" i="105" s="1"/>
  <c r="R61" i="105"/>
  <c r="R67" i="105"/>
  <c r="R49" i="105"/>
  <c r="R48" i="105"/>
  <c r="R30" i="105"/>
  <c r="R26" i="105"/>
  <c r="R59" i="105"/>
  <c r="R54" i="105"/>
  <c r="R55" i="105"/>
  <c r="R41" i="105"/>
  <c r="R40" i="105"/>
  <c r="R36" i="105"/>
  <c r="R17" i="105"/>
  <c r="X12" i="105"/>
  <c r="Z12" i="105" s="1"/>
  <c r="J38" i="105"/>
  <c r="J57" i="105"/>
  <c r="X80" i="105"/>
  <c r="Z80" i="105" s="1"/>
  <c r="J14" i="102"/>
  <c r="J16" i="102"/>
  <c r="J18" i="102"/>
  <c r="J20" i="102"/>
  <c r="R21" i="102"/>
  <c r="J24" i="102"/>
  <c r="R25" i="102"/>
  <c r="F28" i="102"/>
  <c r="F29" i="102"/>
  <c r="J30" i="102"/>
  <c r="R33" i="102"/>
  <c r="R34" i="102"/>
  <c r="J40" i="102"/>
  <c r="R44" i="102"/>
  <c r="R46" i="102"/>
  <c r="R35" i="103"/>
  <c r="R45" i="103"/>
  <c r="J51" i="104"/>
  <c r="J49" i="104"/>
  <c r="J41" i="104"/>
  <c r="J25" i="104"/>
  <c r="J23" i="104"/>
  <c r="J21" i="104"/>
  <c r="J42" i="104"/>
  <c r="H21" i="104"/>
  <c r="J53" i="104"/>
  <c r="J43" i="104"/>
  <c r="J31" i="104"/>
  <c r="J32" i="104"/>
  <c r="J26" i="104"/>
  <c r="J58" i="104"/>
  <c r="J55" i="104"/>
  <c r="J33" i="104"/>
  <c r="J44" i="104"/>
  <c r="J34" i="104"/>
  <c r="N12" i="104"/>
  <c r="J35" i="104"/>
  <c r="J27" i="104"/>
  <c r="J17" i="104"/>
  <c r="J36" i="104"/>
  <c r="J28" i="104"/>
  <c r="J46" i="104"/>
  <c r="J38" i="104"/>
  <c r="J47" i="104"/>
  <c r="J39" i="104"/>
  <c r="J19" i="104"/>
  <c r="J40" i="104"/>
  <c r="J30" i="104"/>
  <c r="J24" i="104"/>
  <c r="N36" i="104"/>
  <c r="X42" i="104"/>
  <c r="R35" i="105"/>
  <c r="Z45" i="105"/>
  <c r="L21" i="107"/>
  <c r="D83" i="107"/>
  <c r="V21" i="102"/>
  <c r="V25" i="102"/>
  <c r="J29" i="102"/>
  <c r="V33" i="102"/>
  <c r="F37" i="102"/>
  <c r="F38" i="102"/>
  <c r="J39" i="102"/>
  <c r="R42" i="102"/>
  <c r="R44" i="103"/>
  <c r="N49" i="103"/>
  <c r="R64" i="103"/>
  <c r="R69" i="103"/>
  <c r="R73" i="103"/>
  <c r="Z42" i="104"/>
  <c r="J45" i="104"/>
  <c r="J24" i="105"/>
  <c r="V30" i="105"/>
  <c r="V59" i="105"/>
  <c r="F23" i="102"/>
  <c r="F27" i="102"/>
  <c r="J28" i="102"/>
  <c r="R31" i="102"/>
  <c r="R32" i="102"/>
  <c r="V34" i="102"/>
  <c r="J38" i="102"/>
  <c r="V42" i="102"/>
  <c r="V44" i="102"/>
  <c r="V46" i="102"/>
  <c r="F50" i="102"/>
  <c r="F53" i="102"/>
  <c r="P21" i="103"/>
  <c r="R25" i="103"/>
  <c r="R29" i="103"/>
  <c r="R33" i="103"/>
  <c r="R34" i="103"/>
  <c r="R38" i="103"/>
  <c r="R80" i="103"/>
  <c r="X14" i="104"/>
  <c r="Z14" i="104" s="1"/>
  <c r="L28" i="104"/>
  <c r="Z36" i="104"/>
  <c r="Z38" i="104"/>
  <c r="Z40" i="104"/>
  <c r="J46" i="105"/>
  <c r="L12" i="102"/>
  <c r="P16" i="102"/>
  <c r="R20" i="102"/>
  <c r="J23" i="102"/>
  <c r="R24" i="102"/>
  <c r="J27" i="102"/>
  <c r="V31" i="102"/>
  <c r="J37" i="102"/>
  <c r="R40" i="102"/>
  <c r="R41" i="102"/>
  <c r="N13" i="103"/>
  <c r="R21" i="103"/>
  <c r="R23" i="103"/>
  <c r="R55" i="103"/>
  <c r="Z80" i="103"/>
  <c r="Z23" i="104"/>
  <c r="V25" i="104"/>
  <c r="F28" i="104"/>
  <c r="N17" i="105"/>
  <c r="V48" i="105"/>
  <c r="R14" i="102"/>
  <c r="R16" i="102"/>
  <c r="R18" i="102"/>
  <c r="V20" i="102"/>
  <c r="V24" i="102"/>
  <c r="R29" i="102"/>
  <c r="V32" i="102"/>
  <c r="J36" i="102"/>
  <c r="J50" i="102"/>
  <c r="R19" i="103"/>
  <c r="R24" i="103"/>
  <c r="R42" i="103"/>
  <c r="R43" i="103"/>
  <c r="X49" i="103"/>
  <c r="Z49" i="103" s="1"/>
  <c r="Z55" i="103"/>
  <c r="N57" i="103"/>
  <c r="R61" i="103"/>
  <c r="J37" i="104"/>
  <c r="L57" i="105"/>
  <c r="N57" i="105" s="1"/>
  <c r="X49" i="105"/>
  <c r="Z49" i="105" s="1"/>
  <c r="N82" i="105"/>
  <c r="L24" i="105"/>
  <c r="N24" i="105" s="1"/>
  <c r="J77" i="107"/>
  <c r="J65" i="107"/>
  <c r="J55" i="107"/>
  <c r="J43" i="107"/>
  <c r="J78" i="107"/>
  <c r="J79" i="107"/>
  <c r="J71" i="107"/>
  <c r="J57" i="107"/>
  <c r="J66" i="107"/>
  <c r="J58" i="107"/>
  <c r="J81" i="107"/>
  <c r="J18" i="107"/>
  <c r="J74" i="107"/>
  <c r="J63" i="107"/>
  <c r="J59" i="107"/>
  <c r="J54" i="107"/>
  <c r="J48" i="107"/>
  <c r="J41" i="107"/>
  <c r="J37" i="107"/>
  <c r="J49" i="107"/>
  <c r="J32" i="107"/>
  <c r="J28" i="107"/>
  <c r="J69" i="107"/>
  <c r="J42" i="107"/>
  <c r="J19" i="107"/>
  <c r="J50" i="107"/>
  <c r="J38" i="107"/>
  <c r="J24" i="107"/>
  <c r="J75" i="107"/>
  <c r="J72" i="107"/>
  <c r="J67" i="107"/>
  <c r="J64" i="107"/>
  <c r="J60" i="107"/>
  <c r="J51" i="107"/>
  <c r="J33" i="107"/>
  <c r="J29" i="107"/>
  <c r="J25" i="107"/>
  <c r="J23" i="107"/>
  <c r="J56" i="107"/>
  <c r="J44" i="107"/>
  <c r="J34" i="107"/>
  <c r="H21" i="107"/>
  <c r="J21" i="107" s="1"/>
  <c r="J45" i="107"/>
  <c r="J39" i="107"/>
  <c r="J35" i="107"/>
  <c r="J76" i="107"/>
  <c r="J70" i="107"/>
  <c r="J61" i="107"/>
  <c r="J52" i="107"/>
  <c r="J85" i="107"/>
  <c r="J68" i="107"/>
  <c r="J46" i="107"/>
  <c r="J73" i="107"/>
  <c r="J53" i="107"/>
  <c r="J36" i="107"/>
  <c r="J62" i="107"/>
  <c r="J47" i="107"/>
  <c r="J40" i="107"/>
  <c r="J31" i="107"/>
  <c r="J27" i="107"/>
  <c r="J17" i="107"/>
  <c r="Z17" i="107"/>
  <c r="N23" i="107"/>
  <c r="N13" i="105"/>
  <c r="V61" i="107"/>
  <c r="V49" i="107"/>
  <c r="V72" i="107"/>
  <c r="V68" i="107"/>
  <c r="V85" i="107"/>
  <c r="V63" i="107"/>
  <c r="V51" i="107"/>
  <c r="V74" i="107"/>
  <c r="V62" i="107"/>
  <c r="V73" i="107"/>
  <c r="V66" i="107"/>
  <c r="V50" i="107"/>
  <c r="V38" i="107"/>
  <c r="V34" i="107"/>
  <c r="T21" i="107"/>
  <c r="V75" i="107"/>
  <c r="V64" i="107"/>
  <c r="V33" i="107"/>
  <c r="V29" i="107"/>
  <c r="V25" i="107"/>
  <c r="V76" i="107"/>
  <c r="V67" i="107"/>
  <c r="V56" i="107"/>
  <c r="V45" i="107"/>
  <c r="V44" i="107"/>
  <c r="V60" i="107"/>
  <c r="V57" i="107"/>
  <c r="V39" i="107"/>
  <c r="V35" i="107"/>
  <c r="V79" i="107"/>
  <c r="V70" i="107"/>
  <c r="V53" i="107"/>
  <c r="V52" i="107"/>
  <c r="V30" i="107"/>
  <c r="V26" i="107"/>
  <c r="V17" i="107"/>
  <c r="V47" i="107"/>
  <c r="V46" i="107"/>
  <c r="V36" i="107"/>
  <c r="V65" i="107"/>
  <c r="V41" i="107"/>
  <c r="V40" i="107"/>
  <c r="V31" i="107"/>
  <c r="V27" i="107"/>
  <c r="V81" i="107"/>
  <c r="V58" i="107"/>
  <c r="V77" i="107"/>
  <c r="V54" i="107"/>
  <c r="V48" i="107"/>
  <c r="V37" i="107"/>
  <c r="V71" i="107"/>
  <c r="V59" i="107"/>
  <c r="V55" i="107"/>
  <c r="V32" i="107"/>
  <c r="V28" i="107"/>
  <c r="V24" i="107"/>
  <c r="V78" i="107"/>
  <c r="V69" i="107"/>
  <c r="V43" i="107"/>
  <c r="V42" i="107"/>
  <c r="V23" i="107"/>
  <c r="V21" i="107"/>
  <c r="V19" i="107"/>
  <c r="Z14" i="107"/>
  <c r="Z13" i="104"/>
  <c r="Z14" i="105"/>
  <c r="L15" i="104"/>
  <c r="F70" i="107"/>
  <c r="F54" i="107"/>
  <c r="F53" i="107"/>
  <c r="F42" i="107"/>
  <c r="F41" i="107"/>
  <c r="F77" i="107"/>
  <c r="F76" i="107"/>
  <c r="F65" i="107"/>
  <c r="F56" i="107"/>
  <c r="F55" i="107"/>
  <c r="F79" i="107"/>
  <c r="F78" i="107"/>
  <c r="F71" i="107"/>
  <c r="F81" i="107"/>
  <c r="F62" i="107"/>
  <c r="F40" i="107"/>
  <c r="F31" i="107"/>
  <c r="F27" i="107"/>
  <c r="F47" i="107"/>
  <c r="F18" i="107"/>
  <c r="F17" i="107"/>
  <c r="F48" i="107"/>
  <c r="F37" i="107"/>
  <c r="F74" i="107"/>
  <c r="F66" i="107"/>
  <c r="F63" i="107"/>
  <c r="F59" i="107"/>
  <c r="F32" i="107"/>
  <c r="F28" i="107"/>
  <c r="F83" i="107"/>
  <c r="F69" i="107"/>
  <c r="F49" i="107"/>
  <c r="F19" i="107"/>
  <c r="F87" i="107"/>
  <c r="F50" i="107"/>
  <c r="F38" i="107"/>
  <c r="F75" i="107"/>
  <c r="F72" i="107"/>
  <c r="F64" i="107"/>
  <c r="F60" i="107"/>
  <c r="F43" i="107"/>
  <c r="F33" i="107"/>
  <c r="F29" i="107"/>
  <c r="F25" i="107"/>
  <c r="F24" i="107"/>
  <c r="F67" i="107"/>
  <c r="F51" i="107"/>
  <c r="F44" i="107"/>
  <c r="F23" i="107"/>
  <c r="F21" i="107"/>
  <c r="F57" i="107"/>
  <c r="F52" i="107"/>
  <c r="F45" i="107"/>
  <c r="F30" i="107"/>
  <c r="F26" i="107"/>
  <c r="F90" i="107"/>
  <c r="F85" i="107"/>
  <c r="F68" i="107"/>
  <c r="F61" i="107"/>
  <c r="F46" i="107"/>
  <c r="F73" i="107"/>
  <c r="F58" i="107"/>
  <c r="F36" i="107"/>
  <c r="L12" i="107"/>
  <c r="N12" i="107" s="1"/>
  <c r="X13" i="105"/>
  <c r="Z13" i="105" s="1"/>
  <c r="J26" i="107"/>
  <c r="X41" i="107"/>
  <c r="N70" i="105"/>
  <c r="F34" i="107"/>
  <c r="Z41" i="107"/>
  <c r="L80" i="105"/>
  <c r="N80" i="105" s="1"/>
  <c r="F39" i="107"/>
  <c r="Z57" i="107"/>
  <c r="R28" i="107"/>
  <c r="R32" i="107"/>
  <c r="R71" i="107"/>
  <c r="T67" i="109"/>
  <c r="R37" i="107"/>
  <c r="R48" i="107"/>
  <c r="R49" i="107"/>
  <c r="R54" i="107"/>
  <c r="R29" i="108"/>
  <c r="R21" i="108"/>
  <c r="R33" i="108"/>
  <c r="R32" i="108"/>
  <c r="R35" i="108"/>
  <c r="R31" i="108"/>
  <c r="R25" i="108"/>
  <c r="X12" i="108"/>
  <c r="R22" i="108"/>
  <c r="R39" i="108"/>
  <c r="R42" i="108"/>
  <c r="R23" i="108"/>
  <c r="L33" i="108"/>
  <c r="F37" i="108"/>
  <c r="Z13" i="109"/>
  <c r="R83" i="107"/>
  <c r="R81" i="107"/>
  <c r="R67" i="107"/>
  <c r="R66" i="107"/>
  <c r="R59" i="107"/>
  <c r="R58" i="107"/>
  <c r="R47" i="107"/>
  <c r="R46" i="107"/>
  <c r="R72" i="107"/>
  <c r="R68" i="107"/>
  <c r="R61" i="107"/>
  <c r="R60" i="107"/>
  <c r="R85" i="107"/>
  <c r="R90" i="107"/>
  <c r="R87" i="107"/>
  <c r="R18" i="107"/>
  <c r="R41" i="107"/>
  <c r="R63" i="107"/>
  <c r="R74" i="107"/>
  <c r="Z20" i="109"/>
  <c r="X20" i="109"/>
  <c r="N45" i="107"/>
  <c r="N57" i="107"/>
  <c r="P35" i="108"/>
  <c r="X16" i="108"/>
  <c r="Z38" i="109"/>
  <c r="X38" i="109"/>
  <c r="X40" i="109"/>
  <c r="Z40" i="109" s="1"/>
  <c r="X12" i="107"/>
  <c r="Z12" i="107" s="1"/>
  <c r="R17" i="107"/>
  <c r="R36" i="107"/>
  <c r="R73" i="107"/>
  <c r="X81" i="107"/>
  <c r="R16" i="108"/>
  <c r="F19" i="108"/>
  <c r="R20" i="108"/>
  <c r="R37" i="108"/>
  <c r="R53" i="107"/>
  <c r="N67" i="107"/>
  <c r="T35" i="108"/>
  <c r="Z16" i="108"/>
  <c r="R27" i="108"/>
  <c r="F32" i="108"/>
  <c r="R26" i="107"/>
  <c r="R30" i="107"/>
  <c r="R52" i="107"/>
  <c r="Z53" i="107"/>
  <c r="R57" i="107"/>
  <c r="R70" i="107"/>
  <c r="R79" i="107"/>
  <c r="L14" i="108"/>
  <c r="X27" i="108"/>
  <c r="Z27" i="108" s="1"/>
  <c r="N14" i="107"/>
  <c r="R35" i="107"/>
  <c r="R39" i="107"/>
  <c r="R45" i="107"/>
  <c r="R76" i="107"/>
  <c r="L19" i="108"/>
  <c r="N19" i="108" s="1"/>
  <c r="J32" i="108"/>
  <c r="R44" i="107"/>
  <c r="R56" i="107"/>
  <c r="Z76" i="107"/>
  <c r="X14" i="108"/>
  <c r="J18" i="108"/>
  <c r="R24" i="108"/>
  <c r="R26" i="108"/>
  <c r="H31" i="108"/>
  <c r="V59" i="109"/>
  <c r="V43" i="109"/>
  <c r="V34" i="109"/>
  <c r="V30" i="109"/>
  <c r="V61" i="109"/>
  <c r="V53" i="109"/>
  <c r="V45" i="109"/>
  <c r="V29" i="109"/>
  <c r="V25" i="109"/>
  <c r="V21" i="109"/>
  <c r="V41" i="109"/>
  <c r="V67" i="109"/>
  <c r="V56" i="109"/>
  <c r="V22" i="109"/>
  <c r="V46" i="109"/>
  <c r="V62" i="109"/>
  <c r="V57" i="109"/>
  <c r="V47" i="109"/>
  <c r="V36" i="109"/>
  <c r="V35" i="109"/>
  <c r="V32" i="109"/>
  <c r="V28" i="109"/>
  <c r="V50" i="109"/>
  <c r="V39" i="109"/>
  <c r="V15" i="109"/>
  <c r="V40" i="109"/>
  <c r="V26" i="109"/>
  <c r="V23" i="109"/>
  <c r="V17" i="109"/>
  <c r="V69" i="109"/>
  <c r="V65" i="109"/>
  <c r="V55" i="109"/>
  <c r="V48" i="109"/>
  <c r="V58" i="109"/>
  <c r="V37" i="109"/>
  <c r="V49" i="109"/>
  <c r="V38" i="109"/>
  <c r="V27" i="109"/>
  <c r="V24" i="109"/>
  <c r="P21" i="107"/>
  <c r="R25" i="107"/>
  <c r="R29" i="107"/>
  <c r="R33" i="107"/>
  <c r="R34" i="107"/>
  <c r="N59" i="107"/>
  <c r="R64" i="107"/>
  <c r="R75" i="107"/>
  <c r="F25" i="108"/>
  <c r="F21" i="108"/>
  <c r="F28" i="108"/>
  <c r="F27" i="108"/>
  <c r="F20" i="108"/>
  <c r="F18" i="108"/>
  <c r="F16" i="108"/>
  <c r="F14" i="108"/>
  <c r="F39" i="108"/>
  <c r="D16" i="108"/>
  <c r="F42" i="108"/>
  <c r="F24" i="108"/>
  <c r="F29" i="108"/>
  <c r="F35" i="108"/>
  <c r="F26" i="108"/>
  <c r="R14" i="108"/>
  <c r="F23" i="108"/>
  <c r="V51" i="109"/>
  <c r="R21" i="107"/>
  <c r="R23" i="107"/>
  <c r="R38" i="107"/>
  <c r="R43" i="107"/>
  <c r="R50" i="107"/>
  <c r="R51" i="107"/>
  <c r="R78" i="107"/>
  <c r="L81" i="107"/>
  <c r="J39" i="108"/>
  <c r="J42" i="108"/>
  <c r="J24" i="108"/>
  <c r="J29" i="108"/>
  <c r="J21" i="108"/>
  <c r="J37" i="108"/>
  <c r="R19" i="108"/>
  <c r="J23" i="108"/>
  <c r="R28" i="108"/>
  <c r="J35" i="108"/>
  <c r="D12" i="109"/>
  <c r="L13" i="109"/>
  <c r="Z49" i="109"/>
  <c r="X49" i="109"/>
  <c r="R19" i="107"/>
  <c r="R24" i="107"/>
  <c r="R42" i="107"/>
  <c r="Z51" i="107"/>
  <c r="R55" i="107"/>
  <c r="R69" i="107"/>
  <c r="L12" i="108"/>
  <c r="H16" i="108"/>
  <c r="X18" i="108"/>
  <c r="Z18" i="108" s="1"/>
  <c r="Z19" i="108"/>
  <c r="N13" i="109"/>
  <c r="H12" i="109"/>
  <c r="P17" i="109"/>
  <c r="V31" i="109"/>
  <c r="V33" i="109"/>
  <c r="X65" i="109"/>
  <c r="R52" i="109"/>
  <c r="R28" i="109"/>
  <c r="R24" i="109"/>
  <c r="R59" i="109"/>
  <c r="R43" i="109"/>
  <c r="R20" i="109"/>
  <c r="R34" i="109"/>
  <c r="R19" i="109"/>
  <c r="R17" i="109"/>
  <c r="R15" i="109"/>
  <c r="R58" i="109"/>
  <c r="R51" i="109"/>
  <c r="R50" i="109"/>
  <c r="R31" i="109"/>
  <c r="R38" i="109"/>
  <c r="R49" i="109"/>
  <c r="L51" i="109"/>
  <c r="X12" i="109"/>
  <c r="Z12" i="109" s="1"/>
  <c r="L19" i="109"/>
  <c r="N19" i="109" s="1"/>
  <c r="R21" i="109"/>
  <c r="R37" i="109"/>
  <c r="R41" i="109"/>
  <c r="R55" i="109"/>
  <c r="R61" i="109"/>
  <c r="R65" i="109"/>
  <c r="R45" i="109"/>
  <c r="R48" i="109"/>
  <c r="Z55" i="109"/>
  <c r="Z61" i="109"/>
  <c r="R64" i="109"/>
  <c r="Z65" i="109"/>
  <c r="R69" i="109"/>
  <c r="R30" i="109"/>
  <c r="R33" i="109"/>
  <c r="R44" i="109"/>
  <c r="Z45" i="109"/>
  <c r="R54" i="109"/>
  <c r="R60" i="109"/>
  <c r="V14" i="108"/>
  <c r="V16" i="108"/>
  <c r="V18" i="108"/>
  <c r="V27" i="108"/>
  <c r="L32" i="108"/>
  <c r="N32" i="108" s="1"/>
  <c r="R36" i="109"/>
  <c r="R39" i="109"/>
  <c r="R47" i="109"/>
  <c r="R57" i="109"/>
  <c r="V19" i="108"/>
  <c r="V22" i="108"/>
  <c r="R32" i="109"/>
  <c r="R35" i="109"/>
  <c r="Z36" i="109"/>
  <c r="Z47" i="109"/>
  <c r="R62" i="109"/>
  <c r="Z12" i="108"/>
  <c r="R46" i="109"/>
  <c r="R53" i="109"/>
  <c r="V25" i="108"/>
  <c r="R22" i="109"/>
  <c r="R25" i="109"/>
  <c r="R56" i="109"/>
  <c r="V31" i="108"/>
  <c r="Z32" i="108"/>
  <c r="V35" i="108"/>
  <c r="R42" i="109"/>
  <c r="D79" i="58" l="1"/>
  <c r="J69" i="109"/>
  <c r="J57" i="109"/>
  <c r="J49" i="109"/>
  <c r="J39" i="109"/>
  <c r="J27" i="109"/>
  <c r="J58" i="109"/>
  <c r="J50" i="109"/>
  <c r="J40" i="109"/>
  <c r="J51" i="109"/>
  <c r="J41" i="109"/>
  <c r="J33" i="109"/>
  <c r="J65" i="109"/>
  <c r="J55" i="109"/>
  <c r="J47" i="109"/>
  <c r="J37" i="109"/>
  <c r="J64" i="109"/>
  <c r="J45" i="109"/>
  <c r="J21" i="109"/>
  <c r="J61" i="109"/>
  <c r="J52" i="109"/>
  <c r="J34" i="109"/>
  <c r="J42" i="109"/>
  <c r="J38" i="109"/>
  <c r="J31" i="109"/>
  <c r="J59" i="109"/>
  <c r="J56" i="109"/>
  <c r="J28" i="109"/>
  <c r="J25" i="109"/>
  <c r="J22" i="109"/>
  <c r="J53" i="109"/>
  <c r="J36" i="109"/>
  <c r="J26" i="109"/>
  <c r="J23" i="109"/>
  <c r="J15" i="109"/>
  <c r="J29" i="109"/>
  <c r="J48" i="109"/>
  <c r="J30" i="109"/>
  <c r="J24" i="109"/>
  <c r="J20" i="109"/>
  <c r="J60" i="109"/>
  <c r="H17" i="109"/>
  <c r="J62" i="109"/>
  <c r="J43" i="109"/>
  <c r="J35" i="109"/>
  <c r="J46" i="109"/>
  <c r="J32" i="109"/>
  <c r="J19" i="109"/>
  <c r="J44" i="109"/>
  <c r="J54" i="109"/>
  <c r="P83" i="107"/>
  <c r="X21" i="107"/>
  <c r="L31" i="108"/>
  <c r="N31" i="108" s="1"/>
  <c r="T53" i="102"/>
  <c r="R42" i="98"/>
  <c r="R41" i="98"/>
  <c r="R33" i="98"/>
  <c r="R28" i="98"/>
  <c r="R24" i="98"/>
  <c r="R43" i="98"/>
  <c r="R34" i="98"/>
  <c r="R29" i="98"/>
  <c r="R25" i="98"/>
  <c r="R45" i="98"/>
  <c r="R44" i="98"/>
  <c r="R36" i="98"/>
  <c r="R35" i="98"/>
  <c r="R16" i="98"/>
  <c r="R46" i="98"/>
  <c r="R31" i="98"/>
  <c r="R30" i="98"/>
  <c r="R26" i="98"/>
  <c r="R48" i="98"/>
  <c r="R38" i="98"/>
  <c r="R37" i="98"/>
  <c r="R22" i="98"/>
  <c r="R32" i="98"/>
  <c r="R21" i="98"/>
  <c r="X12" i="98"/>
  <c r="Z12" i="98" s="1"/>
  <c r="R40" i="98"/>
  <c r="R39" i="98"/>
  <c r="R27" i="98"/>
  <c r="R23" i="98"/>
  <c r="P19" i="98"/>
  <c r="R52" i="98"/>
  <c r="R17" i="98"/>
  <c r="T50" i="98"/>
  <c r="D47" i="99"/>
  <c r="L43" i="99"/>
  <c r="N43" i="99" s="1"/>
  <c r="H90" i="95"/>
  <c r="P121" i="84"/>
  <c r="J70" i="79"/>
  <c r="J46" i="79"/>
  <c r="J36" i="79"/>
  <c r="J59" i="79"/>
  <c r="J47" i="79"/>
  <c r="J31" i="79"/>
  <c r="J27" i="79"/>
  <c r="J54" i="79"/>
  <c r="J32" i="79"/>
  <c r="J18" i="79"/>
  <c r="J37" i="79"/>
  <c r="J33" i="79"/>
  <c r="J23" i="79"/>
  <c r="J60" i="79"/>
  <c r="J48" i="79"/>
  <c r="J38" i="79"/>
  <c r="J28" i="79"/>
  <c r="J24" i="79"/>
  <c r="J22" i="79"/>
  <c r="J20" i="79"/>
  <c r="J61" i="79"/>
  <c r="J55" i="79"/>
  <c r="J39" i="79"/>
  <c r="J62" i="79"/>
  <c r="J56" i="79"/>
  <c r="J40" i="79"/>
  <c r="J34" i="79"/>
  <c r="J63" i="79"/>
  <c r="J57" i="79"/>
  <c r="J49" i="79"/>
  <c r="J41" i="79"/>
  <c r="J29" i="79"/>
  <c r="J25" i="79"/>
  <c r="J64" i="79"/>
  <c r="J50" i="79"/>
  <c r="J42" i="79"/>
  <c r="J51" i="79"/>
  <c r="J43" i="79"/>
  <c r="J35" i="79"/>
  <c r="J66" i="79"/>
  <c r="J58" i="79"/>
  <c r="J52" i="79"/>
  <c r="J44" i="79"/>
  <c r="J53" i="79"/>
  <c r="J45" i="79"/>
  <c r="H20" i="79"/>
  <c r="J17" i="79"/>
  <c r="L12" i="79"/>
  <c r="N12" i="79" s="1"/>
  <c r="J26" i="79"/>
  <c r="J30" i="79"/>
  <c r="J16" i="79"/>
  <c r="D80" i="83"/>
  <c r="L20" i="83"/>
  <c r="H73" i="72"/>
  <c r="T120" i="70"/>
  <c r="F124" i="42"/>
  <c r="F120" i="42"/>
  <c r="F89" i="42"/>
  <c r="F65" i="42"/>
  <c r="F64" i="42"/>
  <c r="F37" i="42"/>
  <c r="F33" i="42"/>
  <c r="F112" i="42"/>
  <c r="F104" i="42"/>
  <c r="F100" i="42"/>
  <c r="F76" i="42"/>
  <c r="F75" i="42"/>
  <c r="F56" i="42"/>
  <c r="F24" i="42"/>
  <c r="F23" i="42"/>
  <c r="F95" i="42"/>
  <c r="F83" i="42"/>
  <c r="F67" i="42"/>
  <c r="F66" i="42"/>
  <c r="F47" i="42"/>
  <c r="F43" i="42"/>
  <c r="F90" i="42"/>
  <c r="F78" i="42"/>
  <c r="F77" i="42"/>
  <c r="F38" i="42"/>
  <c r="F34" i="42"/>
  <c r="F113" i="42"/>
  <c r="F105" i="42"/>
  <c r="F101" i="42"/>
  <c r="F97" i="42"/>
  <c r="F96" i="42"/>
  <c r="F85" i="42"/>
  <c r="F84" i="42"/>
  <c r="F69" i="42"/>
  <c r="F68" i="42"/>
  <c r="F57" i="42"/>
  <c r="F49" i="42"/>
  <c r="F48" i="42"/>
  <c r="F25" i="42"/>
  <c r="F80" i="42"/>
  <c r="F79" i="42"/>
  <c r="F44" i="42"/>
  <c r="L12" i="42"/>
  <c r="N12" i="42" s="1"/>
  <c r="F115" i="42"/>
  <c r="F114" i="42"/>
  <c r="F107" i="42"/>
  <c r="F106" i="42"/>
  <c r="F91" i="42"/>
  <c r="F59" i="42"/>
  <c r="F58" i="42"/>
  <c r="F51" i="42"/>
  <c r="F50" i="42"/>
  <c r="F39" i="42"/>
  <c r="F35" i="42"/>
  <c r="F31" i="42"/>
  <c r="F30" i="42"/>
  <c r="F102" i="42"/>
  <c r="F98" i="42"/>
  <c r="F86" i="42"/>
  <c r="F70" i="42"/>
  <c r="F29" i="42"/>
  <c r="F27" i="42"/>
  <c r="F109" i="42"/>
  <c r="F108" i="42"/>
  <c r="F81" i="42"/>
  <c r="F61" i="42"/>
  <c r="F60" i="42"/>
  <c r="F53" i="42"/>
  <c r="F52" i="42"/>
  <c r="F45" i="42"/>
  <c r="F41" i="42"/>
  <c r="F40" i="42"/>
  <c r="D27" i="42"/>
  <c r="F118" i="42"/>
  <c r="F117" i="42"/>
  <c r="F92" i="42"/>
  <c r="F88" i="42"/>
  <c r="F87" i="42"/>
  <c r="F72" i="42"/>
  <c r="F71" i="42"/>
  <c r="F36" i="42"/>
  <c r="F32" i="42"/>
  <c r="F119" i="42"/>
  <c r="F94" i="42"/>
  <c r="F93" i="42"/>
  <c r="F82" i="42"/>
  <c r="F74" i="42"/>
  <c r="F73" i="42"/>
  <c r="F46" i="42"/>
  <c r="F42" i="42"/>
  <c r="F63" i="42"/>
  <c r="F110" i="42"/>
  <c r="F103" i="42"/>
  <c r="F55" i="42"/>
  <c r="F62" i="42"/>
  <c r="F99" i="42"/>
  <c r="F54" i="42"/>
  <c r="F111" i="42"/>
  <c r="V125" i="39"/>
  <c r="V123" i="39"/>
  <c r="V115" i="39"/>
  <c r="V99" i="39"/>
  <c r="V95" i="39"/>
  <c r="V79" i="39"/>
  <c r="V71" i="39"/>
  <c r="V43" i="39"/>
  <c r="V39" i="39"/>
  <c r="V132" i="39"/>
  <c r="V118" i="39"/>
  <c r="V110" i="39"/>
  <c r="V106" i="39"/>
  <c r="V94" i="39"/>
  <c r="V78" i="39"/>
  <c r="V70" i="39"/>
  <c r="V62" i="39"/>
  <c r="V30" i="39"/>
  <c r="V100" i="39"/>
  <c r="V96" i="39"/>
  <c r="V80" i="39"/>
  <c r="V72" i="39"/>
  <c r="V44" i="39"/>
  <c r="V40" i="39"/>
  <c r="V119" i="39"/>
  <c r="V111" i="39"/>
  <c r="V107" i="39"/>
  <c r="V83" i="39"/>
  <c r="V63" i="39"/>
  <c r="V55" i="39"/>
  <c r="V102" i="39"/>
  <c r="V90" i="39"/>
  <c r="V82" i="39"/>
  <c r="V74" i="39"/>
  <c r="V54" i="39"/>
  <c r="V50" i="39"/>
  <c r="V97" i="39"/>
  <c r="V85" i="39"/>
  <c r="V65" i="39"/>
  <c r="V57" i="39"/>
  <c r="V45" i="39"/>
  <c r="V41" i="39"/>
  <c r="V37" i="39"/>
  <c r="V120" i="39"/>
  <c r="V112" i="39"/>
  <c r="V108" i="39"/>
  <c r="V104" i="39"/>
  <c r="V92" i="39"/>
  <c r="V84" i="39"/>
  <c r="V76" i="39"/>
  <c r="V64" i="39"/>
  <c r="V103" i="39"/>
  <c r="V128" i="39"/>
  <c r="V122" i="39"/>
  <c r="V114" i="39"/>
  <c r="V98" i="39"/>
  <c r="V86" i="39"/>
  <c r="V66" i="39"/>
  <c r="V58" i="39"/>
  <c r="V46" i="39"/>
  <c r="V42" i="39"/>
  <c r="V38" i="39"/>
  <c r="V126" i="39"/>
  <c r="V116" i="39"/>
  <c r="V88" i="39"/>
  <c r="V68" i="39"/>
  <c r="V60" i="39"/>
  <c r="V52" i="39"/>
  <c r="V48" i="39"/>
  <c r="V73" i="39"/>
  <c r="V51" i="39"/>
  <c r="T34" i="39"/>
  <c r="V31" i="39"/>
  <c r="V113" i="39"/>
  <c r="V127" i="39"/>
  <c r="V117" i="39"/>
  <c r="V87" i="39"/>
  <c r="V77" i="39"/>
  <c r="V75" i="39"/>
  <c r="V53" i="39"/>
  <c r="V105" i="39"/>
  <c r="V69" i="39"/>
  <c r="V67" i="39"/>
  <c r="V89" i="39"/>
  <c r="V47" i="39"/>
  <c r="V36" i="39"/>
  <c r="V32" i="39"/>
  <c r="V121" i="39"/>
  <c r="V59" i="39"/>
  <c r="V101" i="39"/>
  <c r="V93" i="39"/>
  <c r="V49" i="39"/>
  <c r="V91" i="39"/>
  <c r="V81" i="39"/>
  <c r="V56" i="39"/>
  <c r="V109" i="39"/>
  <c r="V61" i="39"/>
  <c r="F120" i="24"/>
  <c r="F119" i="24"/>
  <c r="F96" i="24"/>
  <c r="F95" i="24"/>
  <c r="F84" i="24"/>
  <c r="F80" i="24"/>
  <c r="F115" i="24"/>
  <c r="F114" i="24"/>
  <c r="F107" i="24"/>
  <c r="F106" i="24"/>
  <c r="F71" i="24"/>
  <c r="F67" i="24"/>
  <c r="F63" i="24"/>
  <c r="F59" i="24"/>
  <c r="F55" i="24"/>
  <c r="F51" i="24"/>
  <c r="F50" i="24"/>
  <c r="F122" i="24"/>
  <c r="F121" i="24"/>
  <c r="F98" i="24"/>
  <c r="F97" i="24"/>
  <c r="F90" i="24"/>
  <c r="F85" i="24"/>
  <c r="F81" i="24"/>
  <c r="F99" i="24"/>
  <c r="F91" i="24"/>
  <c r="F129" i="24"/>
  <c r="F127" i="24"/>
  <c r="F110" i="24"/>
  <c r="F109" i="24"/>
  <c r="F86" i="24"/>
  <c r="F82" i="24"/>
  <c r="F111" i="24"/>
  <c r="F103" i="24"/>
  <c r="F102" i="24"/>
  <c r="F83" i="24"/>
  <c r="F79" i="24"/>
  <c r="F78" i="24"/>
  <c r="F113" i="24"/>
  <c r="F112" i="24"/>
  <c r="F105" i="24"/>
  <c r="F104" i="24"/>
  <c r="F89" i="24"/>
  <c r="D75" i="24"/>
  <c r="F77" i="24"/>
  <c r="F58" i="24"/>
  <c r="F133" i="24"/>
  <c r="F100" i="24"/>
  <c r="F93" i="24"/>
  <c r="F62" i="24"/>
  <c r="F60" i="24"/>
  <c r="F117" i="24"/>
  <c r="F66" i="24"/>
  <c r="F64" i="24"/>
  <c r="L12" i="24"/>
  <c r="F124" i="24"/>
  <c r="F68" i="24"/>
  <c r="F70" i="24"/>
  <c r="F53" i="24"/>
  <c r="F131" i="24"/>
  <c r="F94" i="24"/>
  <c r="F87" i="24"/>
  <c r="F72" i="24"/>
  <c r="F101" i="24"/>
  <c r="F75" i="24"/>
  <c r="F57" i="24"/>
  <c r="F116" i="24"/>
  <c r="F61" i="24"/>
  <c r="F136" i="24"/>
  <c r="F118" i="24"/>
  <c r="F108" i="24"/>
  <c r="F88" i="24"/>
  <c r="F126" i="24"/>
  <c r="F69" i="24"/>
  <c r="F54" i="24"/>
  <c r="F123" i="24"/>
  <c r="F73" i="24"/>
  <c r="F56" i="24"/>
  <c r="F52" i="24"/>
  <c r="F65" i="24"/>
  <c r="F92" i="24"/>
  <c r="P289" i="18"/>
  <c r="V100" i="21"/>
  <c r="V98" i="21"/>
  <c r="V90" i="21"/>
  <c r="V86" i="21"/>
  <c r="V62" i="21"/>
  <c r="V73" i="21"/>
  <c r="V65" i="21"/>
  <c r="V53" i="21"/>
  <c r="V80" i="21"/>
  <c r="V64" i="21"/>
  <c r="V93" i="21"/>
  <c r="V81" i="21"/>
  <c r="V77" i="21"/>
  <c r="V69" i="21"/>
  <c r="V57" i="21"/>
  <c r="V92" i="21"/>
  <c r="V88" i="21"/>
  <c r="V84" i="21"/>
  <c r="V97" i="21"/>
  <c r="V89" i="21"/>
  <c r="V85" i="21"/>
  <c r="V61" i="21"/>
  <c r="V49" i="21"/>
  <c r="V79" i="21"/>
  <c r="V68" i="21"/>
  <c r="V48" i="21"/>
  <c r="V36" i="21"/>
  <c r="V32" i="21"/>
  <c r="V91" i="21"/>
  <c r="V96" i="21"/>
  <c r="V74" i="21"/>
  <c r="V42" i="21"/>
  <c r="V87" i="21"/>
  <c r="V72" i="21"/>
  <c r="V63" i="21"/>
  <c r="V50" i="21"/>
  <c r="V37" i="21"/>
  <c r="V33" i="21"/>
  <c r="V94" i="21"/>
  <c r="V75" i="21"/>
  <c r="V60" i="21"/>
  <c r="V24" i="21"/>
  <c r="V66" i="21"/>
  <c r="V43" i="21"/>
  <c r="V39" i="21"/>
  <c r="V83" i="21"/>
  <c r="V78" i="21"/>
  <c r="V54" i="21"/>
  <c r="V38" i="21"/>
  <c r="V34" i="21"/>
  <c r="V30" i="21"/>
  <c r="V95" i="21"/>
  <c r="V67" i="21"/>
  <c r="V52" i="21"/>
  <c r="V51" i="21"/>
  <c r="V29" i="21"/>
  <c r="V25" i="21"/>
  <c r="V76" i="21"/>
  <c r="V58" i="21"/>
  <c r="V35" i="21"/>
  <c r="V31" i="21"/>
  <c r="V71" i="21"/>
  <c r="V46" i="21"/>
  <c r="V82" i="21"/>
  <c r="V59" i="21"/>
  <c r="V45" i="21"/>
  <c r="V41" i="21"/>
  <c r="V47" i="21"/>
  <c r="V55" i="21"/>
  <c r="V70" i="21"/>
  <c r="T27" i="21"/>
  <c r="V44" i="21"/>
  <c r="V23" i="21"/>
  <c r="V104" i="21"/>
  <c r="V56" i="21"/>
  <c r="V40" i="21"/>
  <c r="T27" i="110"/>
  <c r="Z18" i="110"/>
  <c r="D27" i="49"/>
  <c r="L18" i="49"/>
  <c r="L18" i="46"/>
  <c r="D27" i="46"/>
  <c r="X18" i="43"/>
  <c r="P27" i="43"/>
  <c r="D27" i="40"/>
  <c r="L18" i="40"/>
  <c r="T27" i="34"/>
  <c r="Z18" i="34"/>
  <c r="T27" i="29"/>
  <c r="Z18" i="29"/>
  <c r="X18" i="25"/>
  <c r="P27" i="25"/>
  <c r="T27" i="23"/>
  <c r="Z18" i="23"/>
  <c r="L18" i="26"/>
  <c r="D27" i="26"/>
  <c r="H27" i="13"/>
  <c r="N18" i="13"/>
  <c r="F128" i="74"/>
  <c r="F119" i="74"/>
  <c r="F115" i="74"/>
  <c r="F114" i="74"/>
  <c r="F107" i="74"/>
  <c r="F106" i="74"/>
  <c r="F99" i="74"/>
  <c r="F98" i="74"/>
  <c r="F87" i="74"/>
  <c r="F83" i="74"/>
  <c r="F74" i="74"/>
  <c r="F70" i="74"/>
  <c r="F121" i="74"/>
  <c r="F120" i="74"/>
  <c r="F116" i="74"/>
  <c r="F100" i="74"/>
  <c r="F123" i="74"/>
  <c r="F122" i="74"/>
  <c r="F75" i="74"/>
  <c r="F71" i="74"/>
  <c r="F67" i="74"/>
  <c r="F63" i="74"/>
  <c r="F125" i="74"/>
  <c r="F124" i="74"/>
  <c r="F117" i="74"/>
  <c r="F85" i="74"/>
  <c r="F81" i="74"/>
  <c r="F80" i="74"/>
  <c r="F112" i="74"/>
  <c r="F111" i="74"/>
  <c r="F104" i="74"/>
  <c r="F103" i="74"/>
  <c r="F126" i="74"/>
  <c r="F118" i="74"/>
  <c r="F130" i="74"/>
  <c r="F113" i="74"/>
  <c r="F105" i="74"/>
  <c r="F97" i="74"/>
  <c r="F108" i="74"/>
  <c r="F73" i="74"/>
  <c r="F129" i="74"/>
  <c r="F102" i="74"/>
  <c r="F82" i="74"/>
  <c r="F77" i="74"/>
  <c r="F60" i="74"/>
  <c r="F56" i="74"/>
  <c r="D77" i="74"/>
  <c r="F109" i="74"/>
  <c r="F95" i="74"/>
  <c r="F64" i="74"/>
  <c r="F93" i="74"/>
  <c r="F91" i="74"/>
  <c r="F79" i="74"/>
  <c r="F57" i="74"/>
  <c r="F53" i="74"/>
  <c r="F52" i="74"/>
  <c r="F88" i="74"/>
  <c r="F68" i="74"/>
  <c r="F61" i="74"/>
  <c r="L12" i="74"/>
  <c r="N12" i="74" s="1"/>
  <c r="F134" i="74"/>
  <c r="F89" i="74"/>
  <c r="F72" i="74"/>
  <c r="F69" i="74"/>
  <c r="F62" i="74"/>
  <c r="F101" i="74"/>
  <c r="F96" i="74"/>
  <c r="F94" i="74"/>
  <c r="F110" i="74"/>
  <c r="F92" i="74"/>
  <c r="F90" i="74"/>
  <c r="F84" i="74"/>
  <c r="F66" i="74"/>
  <c r="F59" i="74"/>
  <c r="F55" i="74"/>
  <c r="F54" i="74"/>
  <c r="F58" i="74"/>
  <c r="F86" i="74"/>
  <c r="F65" i="74"/>
  <c r="H72" i="58"/>
  <c r="N16" i="58"/>
  <c r="N18" i="5"/>
  <c r="H27" i="5"/>
  <c r="P85" i="103"/>
  <c r="X21" i="103"/>
  <c r="H89" i="105"/>
  <c r="D86" i="97"/>
  <c r="L20" i="97"/>
  <c r="V19" i="98"/>
  <c r="X87" i="95"/>
  <c r="D90" i="95"/>
  <c r="L20" i="95"/>
  <c r="N20" i="95" s="1"/>
  <c r="P68" i="93"/>
  <c r="X20" i="93"/>
  <c r="J20" i="87"/>
  <c r="D68" i="93"/>
  <c r="L20" i="93"/>
  <c r="H72" i="92"/>
  <c r="H70" i="80"/>
  <c r="N20" i="80"/>
  <c r="H107" i="76"/>
  <c r="X54" i="76"/>
  <c r="P107" i="76"/>
  <c r="L56" i="78"/>
  <c r="L30" i="75"/>
  <c r="D83" i="75"/>
  <c r="H83" i="73"/>
  <c r="R128" i="74"/>
  <c r="H132" i="74"/>
  <c r="Z16" i="63"/>
  <c r="T101" i="63"/>
  <c r="L16" i="54"/>
  <c r="D22" i="54"/>
  <c r="N16" i="57"/>
  <c r="H67" i="57"/>
  <c r="T67" i="48"/>
  <c r="L64" i="48"/>
  <c r="Z125" i="39"/>
  <c r="X125" i="39"/>
  <c r="R127" i="39"/>
  <c r="R88" i="39"/>
  <c r="R69" i="39"/>
  <c r="R68" i="39"/>
  <c r="R61" i="39"/>
  <c r="R60" i="39"/>
  <c r="R52" i="39"/>
  <c r="R48" i="39"/>
  <c r="X12" i="39"/>
  <c r="Z12" i="39" s="1"/>
  <c r="R126" i="39"/>
  <c r="R123" i="39"/>
  <c r="R116" i="39"/>
  <c r="R115" i="39"/>
  <c r="R99" i="39"/>
  <c r="R43" i="39"/>
  <c r="R39" i="39"/>
  <c r="R118" i="39"/>
  <c r="R117" i="39"/>
  <c r="R89" i="39"/>
  <c r="R53" i="39"/>
  <c r="R49" i="39"/>
  <c r="R30" i="39"/>
  <c r="R101" i="39"/>
  <c r="R100" i="39"/>
  <c r="R96" i="39"/>
  <c r="R81" i="39"/>
  <c r="R80" i="39"/>
  <c r="R73" i="39"/>
  <c r="R72" i="39"/>
  <c r="R44" i="39"/>
  <c r="R40" i="39"/>
  <c r="R119" i="39"/>
  <c r="R111" i="39"/>
  <c r="R107" i="39"/>
  <c r="R63" i="39"/>
  <c r="R31" i="39"/>
  <c r="R102" i="39"/>
  <c r="R90" i="39"/>
  <c r="R83" i="39"/>
  <c r="R82" i="39"/>
  <c r="R74" i="39"/>
  <c r="R55" i="39"/>
  <c r="R54" i="39"/>
  <c r="R50" i="39"/>
  <c r="R97" i="39"/>
  <c r="R120" i="39"/>
  <c r="R112" i="39"/>
  <c r="R108" i="39"/>
  <c r="R104" i="39"/>
  <c r="R103" i="39"/>
  <c r="R92" i="39"/>
  <c r="R91" i="39"/>
  <c r="R76" i="39"/>
  <c r="R75" i="39"/>
  <c r="R51" i="39"/>
  <c r="R36" i="39"/>
  <c r="R128" i="39"/>
  <c r="R122" i="39"/>
  <c r="R121" i="39"/>
  <c r="R114" i="39"/>
  <c r="R113" i="39"/>
  <c r="R109" i="39"/>
  <c r="R105" i="39"/>
  <c r="R93" i="39"/>
  <c r="R77" i="39"/>
  <c r="R57" i="39"/>
  <c r="R70" i="39"/>
  <c r="R86" i="39"/>
  <c r="R79" i="39"/>
  <c r="P34" i="39"/>
  <c r="R34" i="39" s="1"/>
  <c r="R66" i="39"/>
  <c r="R132" i="39"/>
  <c r="R110" i="39"/>
  <c r="R98" i="39"/>
  <c r="R84" i="39"/>
  <c r="R71" i="39"/>
  <c r="R62" i="39"/>
  <c r="R46" i="39"/>
  <c r="R42" i="39"/>
  <c r="R38" i="39"/>
  <c r="R125" i="39"/>
  <c r="R94" i="39"/>
  <c r="R87" i="39"/>
  <c r="R58" i="39"/>
  <c r="R67" i="39"/>
  <c r="R64" i="39"/>
  <c r="R85" i="39"/>
  <c r="R32" i="39"/>
  <c r="R65" i="39"/>
  <c r="R47" i="39"/>
  <c r="R106" i="39"/>
  <c r="R59" i="39"/>
  <c r="R56" i="39"/>
  <c r="R45" i="39"/>
  <c r="R41" i="39"/>
  <c r="R37" i="39"/>
  <c r="R78" i="39"/>
  <c r="R95" i="39"/>
  <c r="N120" i="36"/>
  <c r="R115" i="36"/>
  <c r="R107" i="36"/>
  <c r="R103" i="36"/>
  <c r="R80" i="36"/>
  <c r="R79" i="36"/>
  <c r="R39" i="36"/>
  <c r="R35" i="36"/>
  <c r="R99" i="36"/>
  <c r="R98" i="36"/>
  <c r="R87" i="36"/>
  <c r="R86" i="36"/>
  <c r="R70" i="36"/>
  <c r="R59" i="36"/>
  <c r="R58" i="36"/>
  <c r="R51" i="36"/>
  <c r="R50" i="36"/>
  <c r="R31" i="36"/>
  <c r="R26" i="36"/>
  <c r="R93" i="36"/>
  <c r="R82" i="36"/>
  <c r="R81" i="36"/>
  <c r="R45" i="36"/>
  <c r="R123" i="36"/>
  <c r="R117" i="36"/>
  <c r="R116" i="36"/>
  <c r="R109" i="36"/>
  <c r="R108" i="36"/>
  <c r="R104" i="36"/>
  <c r="R100" i="36"/>
  <c r="R88" i="36"/>
  <c r="R61" i="36"/>
  <c r="R60" i="36"/>
  <c r="R53" i="36"/>
  <c r="R52" i="36"/>
  <c r="R41" i="36"/>
  <c r="R40" i="36"/>
  <c r="R36" i="36"/>
  <c r="R32" i="36"/>
  <c r="P28" i="36"/>
  <c r="R122" i="36"/>
  <c r="R83" i="36"/>
  <c r="R72" i="36"/>
  <c r="R71" i="36"/>
  <c r="R121" i="36"/>
  <c r="R118" i="36"/>
  <c r="R111" i="36"/>
  <c r="R110" i="36"/>
  <c r="R94" i="36"/>
  <c r="R63" i="36"/>
  <c r="R62" i="36"/>
  <c r="R55" i="36"/>
  <c r="R54" i="36"/>
  <c r="R46" i="36"/>
  <c r="R42" i="36"/>
  <c r="R127" i="36"/>
  <c r="R120" i="36"/>
  <c r="R105" i="36"/>
  <c r="R101" i="36"/>
  <c r="R90" i="36"/>
  <c r="R89" i="36"/>
  <c r="R74" i="36"/>
  <c r="R73" i="36"/>
  <c r="R37" i="36"/>
  <c r="R33" i="36"/>
  <c r="R113" i="36"/>
  <c r="R112" i="36"/>
  <c r="R84" i="36"/>
  <c r="R65" i="36"/>
  <c r="R64" i="36"/>
  <c r="R56" i="36"/>
  <c r="R96" i="36"/>
  <c r="R95" i="36"/>
  <c r="R91" i="36"/>
  <c r="R76" i="36"/>
  <c r="R75" i="36"/>
  <c r="R47" i="36"/>
  <c r="R43" i="36"/>
  <c r="R24" i="36"/>
  <c r="R114" i="36"/>
  <c r="R106" i="36"/>
  <c r="R102" i="36"/>
  <c r="R67" i="36"/>
  <c r="R66" i="36"/>
  <c r="R38" i="36"/>
  <c r="R34" i="36"/>
  <c r="R92" i="36"/>
  <c r="R69" i="36"/>
  <c r="R68" i="36"/>
  <c r="R49" i="36"/>
  <c r="R48" i="36"/>
  <c r="R44" i="36"/>
  <c r="X12" i="36"/>
  <c r="Z12" i="36" s="1"/>
  <c r="R85" i="36"/>
  <c r="R97" i="36"/>
  <c r="R57" i="36"/>
  <c r="R30" i="36"/>
  <c r="R25" i="36"/>
  <c r="R77" i="36"/>
  <c r="R28" i="36"/>
  <c r="R78" i="36"/>
  <c r="V91" i="33"/>
  <c r="V73" i="33"/>
  <c r="V65" i="33"/>
  <c r="V57" i="33"/>
  <c r="V49" i="33"/>
  <c r="V45" i="33"/>
  <c r="V41" i="33"/>
  <c r="V90" i="33"/>
  <c r="V88" i="33"/>
  <c r="V80" i="33"/>
  <c r="V76" i="33"/>
  <c r="V68" i="33"/>
  <c r="V56" i="33"/>
  <c r="V40" i="33"/>
  <c r="V36" i="33"/>
  <c r="V32" i="33"/>
  <c r="V70" i="33"/>
  <c r="V58" i="33"/>
  <c r="V46" i="33"/>
  <c r="V42" i="33"/>
  <c r="V81" i="33"/>
  <c r="V77" i="33"/>
  <c r="V69" i="33"/>
  <c r="V61" i="33"/>
  <c r="V33" i="33"/>
  <c r="V60" i="33"/>
  <c r="V52" i="33"/>
  <c r="V83" i="33"/>
  <c r="V71" i="33"/>
  <c r="V63" i="33"/>
  <c r="V47" i="33"/>
  <c r="V43" i="33"/>
  <c r="V96" i="33"/>
  <c r="V82" i="33"/>
  <c r="V78" i="33"/>
  <c r="V62" i="33"/>
  <c r="V95" i="33"/>
  <c r="V85" i="33"/>
  <c r="V94" i="33"/>
  <c r="V84" i="33"/>
  <c r="V72" i="33"/>
  <c r="V64" i="33"/>
  <c r="V48" i="33"/>
  <c r="V44" i="33"/>
  <c r="V100" i="33"/>
  <c r="V92" i="33"/>
  <c r="V86" i="33"/>
  <c r="V74" i="33"/>
  <c r="V66" i="33"/>
  <c r="V54" i="33"/>
  <c r="V50" i="33"/>
  <c r="V34" i="33"/>
  <c r="V53" i="33"/>
  <c r="V75" i="33"/>
  <c r="V55" i="33"/>
  <c r="V87" i="33"/>
  <c r="V31" i="33"/>
  <c r="V79" i="33"/>
  <c r="T38" i="33"/>
  <c r="V35" i="33"/>
  <c r="V93" i="33"/>
  <c r="V51" i="33"/>
  <c r="V67" i="33"/>
  <c r="V59" i="33"/>
  <c r="R158" i="30"/>
  <c r="R148" i="30"/>
  <c r="R147" i="30"/>
  <c r="R143" i="30"/>
  <c r="R120" i="30"/>
  <c r="R119" i="30"/>
  <c r="R111" i="30"/>
  <c r="R88" i="30"/>
  <c r="R83" i="30"/>
  <c r="R79" i="30"/>
  <c r="R75" i="30"/>
  <c r="R71" i="30"/>
  <c r="R67" i="30"/>
  <c r="R63" i="30"/>
  <c r="R59" i="30"/>
  <c r="R164" i="30"/>
  <c r="R131" i="30"/>
  <c r="R130" i="30"/>
  <c r="R102" i="30"/>
  <c r="R98" i="30"/>
  <c r="R87" i="30"/>
  <c r="R150" i="30"/>
  <c r="R149" i="30"/>
  <c r="R138" i="30"/>
  <c r="R137" i="30"/>
  <c r="R122" i="30"/>
  <c r="R121" i="30"/>
  <c r="R93" i="30"/>
  <c r="R89" i="30"/>
  <c r="P85" i="30"/>
  <c r="R85" i="30" s="1"/>
  <c r="R144" i="30"/>
  <c r="R132" i="30"/>
  <c r="R113" i="30"/>
  <c r="R112" i="30"/>
  <c r="R80" i="30"/>
  <c r="R76" i="30"/>
  <c r="R72" i="30"/>
  <c r="R68" i="30"/>
  <c r="R64" i="30"/>
  <c r="R60" i="30"/>
  <c r="R152" i="30"/>
  <c r="R151" i="30"/>
  <c r="R139" i="30"/>
  <c r="R124" i="30"/>
  <c r="R123" i="30"/>
  <c r="R104" i="30"/>
  <c r="R103" i="30"/>
  <c r="R99" i="30"/>
  <c r="R56" i="30"/>
  <c r="R115" i="30"/>
  <c r="R114" i="30"/>
  <c r="R94" i="30"/>
  <c r="R90" i="30"/>
  <c r="R153" i="30"/>
  <c r="R145" i="30"/>
  <c r="R134" i="30"/>
  <c r="R133" i="30"/>
  <c r="R126" i="30"/>
  <c r="R125" i="30"/>
  <c r="R106" i="30"/>
  <c r="R105" i="30"/>
  <c r="R81" i="30"/>
  <c r="R77" i="30"/>
  <c r="R73" i="30"/>
  <c r="R69" i="30"/>
  <c r="R65" i="30"/>
  <c r="R61" i="30"/>
  <c r="R57" i="30"/>
  <c r="R141" i="30"/>
  <c r="R140" i="30"/>
  <c r="R116" i="30"/>
  <c r="R100" i="30"/>
  <c r="X12" i="30"/>
  <c r="R135" i="30"/>
  <c r="R128" i="30"/>
  <c r="R127" i="30"/>
  <c r="R108" i="30"/>
  <c r="R107" i="30"/>
  <c r="R95" i="30"/>
  <c r="R91" i="30"/>
  <c r="R159" i="30"/>
  <c r="R156" i="30"/>
  <c r="R136" i="30"/>
  <c r="R97" i="30"/>
  <c r="R96" i="30"/>
  <c r="R92" i="30"/>
  <c r="R110" i="30"/>
  <c r="R82" i="30"/>
  <c r="R129" i="30"/>
  <c r="R117" i="30"/>
  <c r="R70" i="30"/>
  <c r="R62" i="30"/>
  <c r="R154" i="30"/>
  <c r="R142" i="30"/>
  <c r="R101" i="30"/>
  <c r="R118" i="30"/>
  <c r="R74" i="30"/>
  <c r="R146" i="30"/>
  <c r="R78" i="30"/>
  <c r="R58" i="30"/>
  <c r="R109" i="30"/>
  <c r="R66" i="30"/>
  <c r="R155" i="30"/>
  <c r="R160" i="30"/>
  <c r="J94" i="21"/>
  <c r="J84" i="21"/>
  <c r="J78" i="21"/>
  <c r="J70" i="21"/>
  <c r="J58" i="21"/>
  <c r="J95" i="21"/>
  <c r="J89" i="21"/>
  <c r="J85" i="21"/>
  <c r="J71" i="21"/>
  <c r="J59" i="21"/>
  <c r="J96" i="21"/>
  <c r="J72" i="21"/>
  <c r="J60" i="21"/>
  <c r="J73" i="21"/>
  <c r="J63" i="21"/>
  <c r="J53" i="21"/>
  <c r="J100" i="21"/>
  <c r="J81" i="21"/>
  <c r="J75" i="21"/>
  <c r="J67" i="21"/>
  <c r="J55" i="21"/>
  <c r="J93" i="21"/>
  <c r="J83" i="21"/>
  <c r="J77" i="21"/>
  <c r="J88" i="21"/>
  <c r="J44" i="21"/>
  <c r="J40" i="21"/>
  <c r="J30" i="21"/>
  <c r="J86" i="21"/>
  <c r="J79" i="21"/>
  <c r="J76" i="21"/>
  <c r="J98" i="21"/>
  <c r="H27" i="21"/>
  <c r="J65" i="21"/>
  <c r="J62" i="21"/>
  <c r="J45" i="21"/>
  <c r="J41" i="21"/>
  <c r="J82" i="21"/>
  <c r="J68" i="21"/>
  <c r="J46" i="21"/>
  <c r="J36" i="21"/>
  <c r="J32" i="21"/>
  <c r="J91" i="21"/>
  <c r="J74" i="21"/>
  <c r="J56" i="21"/>
  <c r="J47" i="21"/>
  <c r="J87" i="21"/>
  <c r="J69" i="21"/>
  <c r="J48" i="21"/>
  <c r="J42" i="21"/>
  <c r="J80" i="21"/>
  <c r="J57" i="21"/>
  <c r="J49" i="21"/>
  <c r="J37" i="21"/>
  <c r="J33" i="21"/>
  <c r="J23" i="21"/>
  <c r="J54" i="21"/>
  <c r="J50" i="21"/>
  <c r="J43" i="21"/>
  <c r="J104" i="21"/>
  <c r="J92" i="21"/>
  <c r="J61" i="21"/>
  <c r="J51" i="21"/>
  <c r="J38" i="21"/>
  <c r="J34" i="21"/>
  <c r="J90" i="21"/>
  <c r="J64" i="21"/>
  <c r="J39" i="21"/>
  <c r="J25" i="21"/>
  <c r="J97" i="21"/>
  <c r="J29" i="21"/>
  <c r="J31" i="21"/>
  <c r="J24" i="21"/>
  <c r="J66" i="21"/>
  <c r="J35" i="21"/>
  <c r="J27" i="21"/>
  <c r="L12" i="21"/>
  <c r="N12" i="21" s="1"/>
  <c r="J52" i="21"/>
  <c r="X275" i="18"/>
  <c r="F263" i="12"/>
  <c r="F222" i="12"/>
  <c r="F202" i="12"/>
  <c r="F201" i="12"/>
  <c r="F194" i="12"/>
  <c r="F193" i="12"/>
  <c r="F162" i="12"/>
  <c r="F158" i="12"/>
  <c r="F154" i="12"/>
  <c r="F150" i="12"/>
  <c r="F146" i="12"/>
  <c r="F142" i="12"/>
  <c r="F138" i="12"/>
  <c r="F134" i="12"/>
  <c r="F261" i="12"/>
  <c r="F244" i="12"/>
  <c r="F240" i="12"/>
  <c r="F228" i="12"/>
  <c r="F204" i="12"/>
  <c r="F203" i="12"/>
  <c r="F176" i="12"/>
  <c r="F172" i="12"/>
  <c r="F168" i="12"/>
  <c r="F167" i="12"/>
  <c r="F260" i="12"/>
  <c r="F251" i="12"/>
  <c r="F250" i="12"/>
  <c r="F223" i="12"/>
  <c r="F215" i="12"/>
  <c r="F214" i="12"/>
  <c r="F195" i="12"/>
  <c r="F187" i="12"/>
  <c r="F186" i="12"/>
  <c r="F166" i="12"/>
  <c r="F159" i="12"/>
  <c r="F155" i="12"/>
  <c r="F151" i="12"/>
  <c r="F147" i="12"/>
  <c r="F143" i="12"/>
  <c r="F139" i="12"/>
  <c r="F135" i="12"/>
  <c r="F259" i="12"/>
  <c r="F234" i="12"/>
  <c r="F230" i="12"/>
  <c r="F229" i="12"/>
  <c r="F206" i="12"/>
  <c r="F205" i="12"/>
  <c r="F182" i="12"/>
  <c r="F253" i="12"/>
  <c r="F252" i="12"/>
  <c r="F245" i="12"/>
  <c r="F241" i="12"/>
  <c r="F217" i="12"/>
  <c r="F216" i="12"/>
  <c r="F197" i="12"/>
  <c r="F196" i="12"/>
  <c r="F189" i="12"/>
  <c r="F188" i="12"/>
  <c r="F177" i="12"/>
  <c r="F173" i="12"/>
  <c r="F169" i="12"/>
  <c r="F268" i="12"/>
  <c r="F231" i="12"/>
  <c r="F219" i="12"/>
  <c r="F218" i="12"/>
  <c r="F207" i="12"/>
  <c r="F183" i="12"/>
  <c r="F179" i="12"/>
  <c r="F178" i="12"/>
  <c r="F266" i="12"/>
  <c r="F237" i="12"/>
  <c r="F221" i="12"/>
  <c r="F220" i="12"/>
  <c r="F209" i="12"/>
  <c r="F208" i="12"/>
  <c r="F161" i="12"/>
  <c r="F157" i="12"/>
  <c r="F153" i="12"/>
  <c r="F149" i="12"/>
  <c r="F145" i="12"/>
  <c r="F141" i="12"/>
  <c r="F264" i="12"/>
  <c r="F255" i="12"/>
  <c r="F243" i="12"/>
  <c r="F239" i="12"/>
  <c r="F238" i="12"/>
  <c r="F227" i="12"/>
  <c r="F211" i="12"/>
  <c r="F210" i="12"/>
  <c r="F175" i="12"/>
  <c r="F171" i="12"/>
  <c r="F254" i="12"/>
  <c r="F235" i="12"/>
  <c r="F233" i="12"/>
  <c r="F213" i="12"/>
  <c r="F200" i="12"/>
  <c r="F126" i="12"/>
  <c r="F122" i="12"/>
  <c r="F118" i="12"/>
  <c r="F114" i="12"/>
  <c r="F267" i="12"/>
  <c r="F248" i="12"/>
  <c r="F225" i="12"/>
  <c r="F185" i="12"/>
  <c r="F262" i="12"/>
  <c r="F192" i="12"/>
  <c r="F170" i="12"/>
  <c r="F137" i="12"/>
  <c r="F130" i="12"/>
  <c r="F242" i="12"/>
  <c r="F198" i="12"/>
  <c r="F180" i="12"/>
  <c r="F174" i="12"/>
  <c r="F127" i="12"/>
  <c r="F123" i="12"/>
  <c r="F119" i="12"/>
  <c r="F115" i="12"/>
  <c r="F111" i="12"/>
  <c r="F110" i="12"/>
  <c r="F246" i="12"/>
  <c r="F160" i="12"/>
  <c r="F265" i="12"/>
  <c r="F257" i="12"/>
  <c r="F236" i="12"/>
  <c r="F232" i="12"/>
  <c r="F190" i="12"/>
  <c r="F156" i="12"/>
  <c r="F152" i="12"/>
  <c r="F144" i="12"/>
  <c r="F133" i="12"/>
  <c r="F224" i="12"/>
  <c r="F131" i="12"/>
  <c r="F272" i="12"/>
  <c r="F199" i="12"/>
  <c r="F136" i="12"/>
  <c r="F125" i="12"/>
  <c r="F121" i="12"/>
  <c r="F117" i="12"/>
  <c r="F113" i="12"/>
  <c r="F256" i="12"/>
  <c r="F132" i="12"/>
  <c r="F112" i="12"/>
  <c r="F140" i="12"/>
  <c r="F212" i="12"/>
  <c r="F191" i="12"/>
  <c r="F148" i="12"/>
  <c r="F116" i="12"/>
  <c r="F120" i="12"/>
  <c r="L12" i="12"/>
  <c r="D164" i="12"/>
  <c r="F164" i="12" s="1"/>
  <c r="F184" i="12"/>
  <c r="F129" i="12"/>
  <c r="F226" i="12"/>
  <c r="F181" i="12"/>
  <c r="F124" i="12"/>
  <c r="F249" i="12"/>
  <c r="F247" i="12"/>
  <c r="F128" i="12"/>
  <c r="V267" i="12"/>
  <c r="V253" i="12"/>
  <c r="V245" i="12"/>
  <c r="V241" i="12"/>
  <c r="V225" i="12"/>
  <c r="V217" i="12"/>
  <c r="V197" i="12"/>
  <c r="V189" i="12"/>
  <c r="V177" i="12"/>
  <c r="V173" i="12"/>
  <c r="V169" i="12"/>
  <c r="V266" i="12"/>
  <c r="V265" i="12"/>
  <c r="V247" i="12"/>
  <c r="V231" i="12"/>
  <c r="V219" i="12"/>
  <c r="V207" i="12"/>
  <c r="V199" i="12"/>
  <c r="V191" i="12"/>
  <c r="V183" i="12"/>
  <c r="V179" i="12"/>
  <c r="V272" i="12"/>
  <c r="V264" i="12"/>
  <c r="V254" i="12"/>
  <c r="V246" i="12"/>
  <c r="V242" i="12"/>
  <c r="V238" i="12"/>
  <c r="V226" i="12"/>
  <c r="V210" i="12"/>
  <c r="V198" i="12"/>
  <c r="V190" i="12"/>
  <c r="V174" i="12"/>
  <c r="V170" i="12"/>
  <c r="V263" i="12"/>
  <c r="V237" i="12"/>
  <c r="V221" i="12"/>
  <c r="V209" i="12"/>
  <c r="V201" i="12"/>
  <c r="V193" i="12"/>
  <c r="V262" i="12"/>
  <c r="V256" i="12"/>
  <c r="V248" i="12"/>
  <c r="V232" i="12"/>
  <c r="V212" i="12"/>
  <c r="V200" i="12"/>
  <c r="V192" i="12"/>
  <c r="V184" i="12"/>
  <c r="V180" i="12"/>
  <c r="V260" i="12"/>
  <c r="V250" i="12"/>
  <c r="V222" i="12"/>
  <c r="V214" i="12"/>
  <c r="V202" i="12"/>
  <c r="V194" i="12"/>
  <c r="V186" i="12"/>
  <c r="V166" i="12"/>
  <c r="V162" i="12"/>
  <c r="V158" i="12"/>
  <c r="V154" i="12"/>
  <c r="V150" i="12"/>
  <c r="V146" i="12"/>
  <c r="V252" i="12"/>
  <c r="V244" i="12"/>
  <c r="V240" i="12"/>
  <c r="V228" i="12"/>
  <c r="V216" i="12"/>
  <c r="V204" i="12"/>
  <c r="V196" i="12"/>
  <c r="V188" i="12"/>
  <c r="V176" i="12"/>
  <c r="V172" i="12"/>
  <c r="V168" i="12"/>
  <c r="V268" i="12"/>
  <c r="V234" i="12"/>
  <c r="V230" i="12"/>
  <c r="V218" i="12"/>
  <c r="V206" i="12"/>
  <c r="V182" i="12"/>
  <c r="V178" i="12"/>
  <c r="V203" i="12"/>
  <c r="V160" i="12"/>
  <c r="V152" i="12"/>
  <c r="V135" i="12"/>
  <c r="V133" i="12"/>
  <c r="V128" i="12"/>
  <c r="V124" i="12"/>
  <c r="V120" i="12"/>
  <c r="V116" i="12"/>
  <c r="V112" i="12"/>
  <c r="V257" i="12"/>
  <c r="V156" i="12"/>
  <c r="V144" i="12"/>
  <c r="V236" i="12"/>
  <c r="V167" i="12"/>
  <c r="V148" i="12"/>
  <c r="V142" i="12"/>
  <c r="V140" i="12"/>
  <c r="V131" i="12"/>
  <c r="V255" i="12"/>
  <c r="V138" i="12"/>
  <c r="V125" i="12"/>
  <c r="V121" i="12"/>
  <c r="V117" i="12"/>
  <c r="V113" i="12"/>
  <c r="V261" i="12"/>
  <c r="V251" i="12"/>
  <c r="V249" i="12"/>
  <c r="V224" i="12"/>
  <c r="V208" i="12"/>
  <c r="V243" i="12"/>
  <c r="V181" i="12"/>
  <c r="V175" i="12"/>
  <c r="V153" i="12"/>
  <c r="V126" i="12"/>
  <c r="V122" i="12"/>
  <c r="V118" i="12"/>
  <c r="V114" i="12"/>
  <c r="V110" i="12"/>
  <c r="V259" i="12"/>
  <c r="V233" i="12"/>
  <c r="V227" i="12"/>
  <c r="V215" i="12"/>
  <c r="V213" i="12"/>
  <c r="V155" i="12"/>
  <c r="V151" i="12"/>
  <c r="V149" i="12"/>
  <c r="V143" i="12"/>
  <c r="V141" i="12"/>
  <c r="V223" i="12"/>
  <c r="V220" i="12"/>
  <c r="V211" i="12"/>
  <c r="V205" i="12"/>
  <c r="V187" i="12"/>
  <c r="V132" i="12"/>
  <c r="V159" i="12"/>
  <c r="V137" i="12"/>
  <c r="V134" i="12"/>
  <c r="V129" i="12"/>
  <c r="V127" i="12"/>
  <c r="V161" i="12"/>
  <c r="V145" i="12"/>
  <c r="V171" i="12"/>
  <c r="V111" i="12"/>
  <c r="V235" i="12"/>
  <c r="V139" i="12"/>
  <c r="V195" i="12"/>
  <c r="T164" i="12"/>
  <c r="V164" i="12" s="1"/>
  <c r="V119" i="12"/>
  <c r="V147" i="12"/>
  <c r="V136" i="12"/>
  <c r="V115" i="12"/>
  <c r="V130" i="12"/>
  <c r="V229" i="12"/>
  <c r="V239" i="12"/>
  <c r="V185" i="12"/>
  <c r="V157" i="12"/>
  <c r="V123" i="12"/>
  <c r="H27" i="111"/>
  <c r="N18" i="111"/>
  <c r="H27" i="50"/>
  <c r="N18" i="50"/>
  <c r="X18" i="53"/>
  <c r="P27" i="53"/>
  <c r="T27" i="52"/>
  <c r="Z18" i="52"/>
  <c r="T27" i="46"/>
  <c r="Z18" i="46"/>
  <c r="X18" i="37"/>
  <c r="P27" i="37"/>
  <c r="Z18" i="32"/>
  <c r="T27" i="32"/>
  <c r="H27" i="28"/>
  <c r="N18" i="28"/>
  <c r="T27" i="31"/>
  <c r="Z18" i="31"/>
  <c r="X18" i="31"/>
  <c r="P27" i="31"/>
  <c r="P27" i="28"/>
  <c r="X18" i="28"/>
  <c r="H27" i="4"/>
  <c r="N18" i="4"/>
  <c r="X18" i="7"/>
  <c r="P27" i="7"/>
  <c r="H27" i="14"/>
  <c r="N18" i="14"/>
  <c r="F123" i="27"/>
  <c r="F118" i="27"/>
  <c r="F81" i="27"/>
  <c r="F77" i="27"/>
  <c r="F117" i="27"/>
  <c r="F100" i="27"/>
  <c r="F92" i="27"/>
  <c r="F91" i="27"/>
  <c r="F72" i="27"/>
  <c r="F68" i="27"/>
  <c r="F116" i="27"/>
  <c r="F107" i="27"/>
  <c r="F109" i="27"/>
  <c r="F108" i="27"/>
  <c r="F93" i="27"/>
  <c r="F85" i="27"/>
  <c r="F84" i="27"/>
  <c r="F73" i="27"/>
  <c r="F69" i="27"/>
  <c r="F65" i="27"/>
  <c r="F64" i="27"/>
  <c r="F63" i="27"/>
  <c r="F61" i="27"/>
  <c r="F56" i="27"/>
  <c r="F52" i="27"/>
  <c r="F103" i="27"/>
  <c r="F95" i="27"/>
  <c r="F94" i="27"/>
  <c r="F79" i="27"/>
  <c r="F75" i="27"/>
  <c r="F74" i="27"/>
  <c r="D61" i="27"/>
  <c r="F105" i="27"/>
  <c r="F104" i="27"/>
  <c r="F97" i="27"/>
  <c r="F96" i="27"/>
  <c r="F119" i="27"/>
  <c r="F114" i="27"/>
  <c r="F113" i="27"/>
  <c r="F106" i="27"/>
  <c r="F90" i="27"/>
  <c r="F89" i="27"/>
  <c r="F58" i="27"/>
  <c r="F54" i="27"/>
  <c r="F50" i="27"/>
  <c r="F46" i="27"/>
  <c r="F98" i="27"/>
  <c r="F71" i="27"/>
  <c r="F67" i="27"/>
  <c r="F49" i="27"/>
  <c r="F82" i="27"/>
  <c r="F80" i="27"/>
  <c r="F78" i="27"/>
  <c r="F76" i="27"/>
  <c r="F47" i="27"/>
  <c r="F111" i="27"/>
  <c r="F101" i="27"/>
  <c r="F87" i="27"/>
  <c r="F45" i="27"/>
  <c r="F99" i="27"/>
  <c r="L12" i="27"/>
  <c r="F70" i="27"/>
  <c r="F66" i="27"/>
  <c r="F48" i="27"/>
  <c r="F112" i="27"/>
  <c r="F55" i="27"/>
  <c r="F44" i="27"/>
  <c r="F86" i="27"/>
  <c r="F51" i="27"/>
  <c r="F88" i="27"/>
  <c r="F53" i="27"/>
  <c r="F110" i="27"/>
  <c r="F43" i="27"/>
  <c r="F102" i="27"/>
  <c r="F83" i="27"/>
  <c r="F57" i="27"/>
  <c r="F59" i="27"/>
  <c r="H27" i="8"/>
  <c r="N18" i="8"/>
  <c r="T27" i="7"/>
  <c r="Z18" i="7"/>
  <c r="Z77" i="101"/>
  <c r="T43" i="99"/>
  <c r="Z17" i="99"/>
  <c r="H76" i="94"/>
  <c r="P80" i="83"/>
  <c r="X20" i="83"/>
  <c r="P83" i="75"/>
  <c r="P68" i="79"/>
  <c r="X20" i="79"/>
  <c r="F80" i="75"/>
  <c r="H120" i="70"/>
  <c r="T114" i="68"/>
  <c r="D58" i="67"/>
  <c r="L16" i="67"/>
  <c r="P101" i="63"/>
  <c r="X16" i="63"/>
  <c r="P67" i="57"/>
  <c r="X16" i="57"/>
  <c r="T68" i="59"/>
  <c r="T122" i="42"/>
  <c r="R100" i="33"/>
  <c r="R93" i="33"/>
  <c r="R87" i="33"/>
  <c r="R86" i="33"/>
  <c r="R55" i="33"/>
  <c r="R54" i="33"/>
  <c r="R31" i="33"/>
  <c r="R92" i="33"/>
  <c r="R74" i="33"/>
  <c r="R73" i="33"/>
  <c r="R66" i="33"/>
  <c r="R65" i="33"/>
  <c r="R50" i="33"/>
  <c r="R49" i="33"/>
  <c r="R45" i="33"/>
  <c r="R90" i="33"/>
  <c r="R76" i="33"/>
  <c r="R75" i="33"/>
  <c r="R68" i="33"/>
  <c r="R67" i="33"/>
  <c r="R51" i="33"/>
  <c r="R40" i="33"/>
  <c r="R59" i="33"/>
  <c r="R58" i="33"/>
  <c r="R46" i="33"/>
  <c r="R42" i="33"/>
  <c r="P38" i="33"/>
  <c r="R81" i="33"/>
  <c r="R77" i="33"/>
  <c r="R70" i="33"/>
  <c r="R69" i="33"/>
  <c r="R33" i="33"/>
  <c r="R61" i="33"/>
  <c r="R60" i="33"/>
  <c r="R52" i="33"/>
  <c r="X12" i="33"/>
  <c r="Z12" i="33" s="1"/>
  <c r="R71" i="33"/>
  <c r="R83" i="33"/>
  <c r="R82" i="33"/>
  <c r="R78" i="33"/>
  <c r="R96" i="33"/>
  <c r="R53" i="33"/>
  <c r="R94" i="33"/>
  <c r="R79" i="33"/>
  <c r="R35" i="33"/>
  <c r="R88" i="33"/>
  <c r="R80" i="33"/>
  <c r="R32" i="33"/>
  <c r="R57" i="33"/>
  <c r="R36" i="33"/>
  <c r="R34" i="33"/>
  <c r="R84" i="33"/>
  <c r="R44" i="33"/>
  <c r="R91" i="33"/>
  <c r="R64" i="33"/>
  <c r="R48" i="33"/>
  <c r="R72" i="33"/>
  <c r="R62" i="33"/>
  <c r="R85" i="33"/>
  <c r="R43" i="33"/>
  <c r="R41" i="33"/>
  <c r="R63" i="33"/>
  <c r="R56" i="33"/>
  <c r="R47" i="33"/>
  <c r="R95" i="33"/>
  <c r="Z158" i="30"/>
  <c r="X158" i="30"/>
  <c r="D102" i="33"/>
  <c r="L16" i="6"/>
  <c r="D22" i="6"/>
  <c r="F276" i="18"/>
  <c r="F267" i="18"/>
  <c r="F266" i="18"/>
  <c r="F239" i="18"/>
  <c r="F238" i="18"/>
  <c r="F227" i="18"/>
  <c r="F203" i="18"/>
  <c r="F199" i="18"/>
  <c r="F198" i="18"/>
  <c r="F291" i="18"/>
  <c r="F286" i="18"/>
  <c r="F269" i="18"/>
  <c r="F268" i="18"/>
  <c r="F261" i="18"/>
  <c r="F257" i="18"/>
  <c r="F245" i="18"/>
  <c r="F229" i="18"/>
  <c r="F228" i="18"/>
  <c r="F181" i="18"/>
  <c r="F177" i="18"/>
  <c r="F173" i="18"/>
  <c r="F169" i="18"/>
  <c r="F165" i="18"/>
  <c r="F161" i="18"/>
  <c r="F157" i="18"/>
  <c r="F153" i="18"/>
  <c r="F285" i="18"/>
  <c r="F240" i="18"/>
  <c r="F220" i="18"/>
  <c r="F219" i="18"/>
  <c r="F212" i="18"/>
  <c r="F211" i="18"/>
  <c r="F204" i="18"/>
  <c r="F200" i="18"/>
  <c r="F284" i="18"/>
  <c r="F251" i="18"/>
  <c r="F231" i="18"/>
  <c r="F230" i="18"/>
  <c r="F195" i="18"/>
  <c r="F191" i="18"/>
  <c r="F283" i="18"/>
  <c r="F270" i="18"/>
  <c r="F262" i="18"/>
  <c r="F258" i="18"/>
  <c r="F246" i="18"/>
  <c r="F222" i="18"/>
  <c r="F221" i="18"/>
  <c r="F214" i="18"/>
  <c r="F213" i="18"/>
  <c r="F182" i="18"/>
  <c r="F178" i="18"/>
  <c r="F174" i="18"/>
  <c r="F170" i="18"/>
  <c r="F166" i="18"/>
  <c r="F162" i="18"/>
  <c r="F158" i="18"/>
  <c r="F154" i="18"/>
  <c r="F282" i="18"/>
  <c r="F253" i="18"/>
  <c r="F252" i="18"/>
  <c r="F241" i="18"/>
  <c r="F233" i="18"/>
  <c r="F232" i="18"/>
  <c r="F205" i="18"/>
  <c r="F201" i="18"/>
  <c r="F281" i="18"/>
  <c r="F264" i="18"/>
  <c r="F263" i="18"/>
  <c r="F248" i="18"/>
  <c r="F247" i="18"/>
  <c r="F224" i="18"/>
  <c r="F223" i="18"/>
  <c r="F196" i="18"/>
  <c r="F192" i="18"/>
  <c r="F188" i="18"/>
  <c r="F187" i="18"/>
  <c r="F279" i="18"/>
  <c r="F254" i="18"/>
  <c r="F242" i="18"/>
  <c r="F226" i="18"/>
  <c r="F225" i="18"/>
  <c r="F202" i="18"/>
  <c r="D184" i="18"/>
  <c r="F278" i="18"/>
  <c r="F273" i="18"/>
  <c r="F272" i="18"/>
  <c r="F265" i="18"/>
  <c r="F249" i="18"/>
  <c r="F237" i="18"/>
  <c r="F236" i="18"/>
  <c r="F217" i="18"/>
  <c r="F216" i="18"/>
  <c r="F277" i="18"/>
  <c r="F260" i="18"/>
  <c r="F256" i="18"/>
  <c r="F255" i="18"/>
  <c r="F244" i="18"/>
  <c r="F243" i="18"/>
  <c r="F180" i="18"/>
  <c r="F176" i="18"/>
  <c r="F172" i="18"/>
  <c r="F168" i="18"/>
  <c r="F164" i="18"/>
  <c r="F160" i="18"/>
  <c r="F156" i="18"/>
  <c r="F152" i="18"/>
  <c r="F280" i="18"/>
  <c r="F259" i="18"/>
  <c r="F287" i="18"/>
  <c r="F234" i="18"/>
  <c r="F194" i="18"/>
  <c r="F189" i="18"/>
  <c r="F148" i="18"/>
  <c r="F144" i="18"/>
  <c r="F140" i="18"/>
  <c r="F136" i="18"/>
  <c r="F132" i="18"/>
  <c r="F128" i="18"/>
  <c r="F250" i="18"/>
  <c r="F208" i="18"/>
  <c r="F206" i="18"/>
  <c r="F175" i="18"/>
  <c r="F159" i="18"/>
  <c r="F210" i="18"/>
  <c r="F149" i="18"/>
  <c r="F145" i="18"/>
  <c r="F141" i="18"/>
  <c r="F137" i="18"/>
  <c r="F133" i="18"/>
  <c r="F129" i="18"/>
  <c r="F186" i="18"/>
  <c r="F171" i="18"/>
  <c r="L12" i="18"/>
  <c r="N12" i="18" s="1"/>
  <c r="F218" i="18"/>
  <c r="F155" i="18"/>
  <c r="F235" i="18"/>
  <c r="F209" i="18"/>
  <c r="F193" i="18"/>
  <c r="F150" i="18"/>
  <c r="F146" i="18"/>
  <c r="F142" i="18"/>
  <c r="F138" i="18"/>
  <c r="F134" i="18"/>
  <c r="F130" i="18"/>
  <c r="F126" i="18"/>
  <c r="F125" i="18"/>
  <c r="F215" i="18"/>
  <c r="F190" i="18"/>
  <c r="F197" i="18"/>
  <c r="F163" i="18"/>
  <c r="F275" i="18"/>
  <c r="F147" i="18"/>
  <c r="F139" i="18"/>
  <c r="F271" i="18"/>
  <c r="F131" i="18"/>
  <c r="F167" i="18"/>
  <c r="F207" i="18"/>
  <c r="F179" i="18"/>
  <c r="F151" i="18"/>
  <c r="F143" i="18"/>
  <c r="F127" i="18"/>
  <c r="F135" i="18"/>
  <c r="H22" i="6"/>
  <c r="N16" i="6"/>
  <c r="L18" i="112"/>
  <c r="D27" i="112"/>
  <c r="X18" i="50"/>
  <c r="P27" i="50"/>
  <c r="X18" i="41"/>
  <c r="P27" i="41"/>
  <c r="H27" i="35"/>
  <c r="N18" i="35"/>
  <c r="T27" i="37"/>
  <c r="Z18" i="37"/>
  <c r="H27" i="37"/>
  <c r="N18" i="37"/>
  <c r="H27" i="32"/>
  <c r="N18" i="32"/>
  <c r="D27" i="25"/>
  <c r="L18" i="25"/>
  <c r="L18" i="23"/>
  <c r="D27" i="23"/>
  <c r="T27" i="17"/>
  <c r="Z18" i="17"/>
  <c r="T27" i="16"/>
  <c r="Z18" i="16"/>
  <c r="T27" i="5"/>
  <c r="Z18" i="5"/>
  <c r="T27" i="11"/>
  <c r="Z18" i="11"/>
  <c r="X18" i="10"/>
  <c r="P27" i="10"/>
  <c r="Z18" i="10"/>
  <c r="T27" i="10"/>
  <c r="R58" i="104"/>
  <c r="R55" i="104"/>
  <c r="R26" i="104"/>
  <c r="R34" i="104"/>
  <c r="R33" i="104"/>
  <c r="R44" i="104"/>
  <c r="R17" i="104"/>
  <c r="X12" i="104"/>
  <c r="Z12" i="104" s="1"/>
  <c r="R36" i="104"/>
  <c r="R35" i="104"/>
  <c r="R28" i="104"/>
  <c r="R27" i="104"/>
  <c r="R18" i="104"/>
  <c r="R46" i="104"/>
  <c r="R45" i="104"/>
  <c r="R38" i="104"/>
  <c r="R37" i="104"/>
  <c r="R29" i="104"/>
  <c r="R47" i="104"/>
  <c r="R40" i="104"/>
  <c r="R39" i="104"/>
  <c r="R24" i="104"/>
  <c r="R42" i="104"/>
  <c r="R41" i="104"/>
  <c r="R53" i="104"/>
  <c r="R43" i="104"/>
  <c r="R32" i="104"/>
  <c r="R31" i="104"/>
  <c r="R19" i="104"/>
  <c r="R25" i="104"/>
  <c r="R23" i="104"/>
  <c r="R51" i="104"/>
  <c r="R49" i="104"/>
  <c r="R21" i="104"/>
  <c r="P21" i="104"/>
  <c r="R30" i="104"/>
  <c r="P27" i="32"/>
  <c r="X18" i="32"/>
  <c r="X18" i="5"/>
  <c r="P27" i="5"/>
  <c r="T71" i="109"/>
  <c r="T83" i="107"/>
  <c r="Z21" i="107"/>
  <c r="H51" i="104"/>
  <c r="N21" i="104"/>
  <c r="X20" i="94"/>
  <c r="P76" i="94"/>
  <c r="P72" i="92"/>
  <c r="X19" i="92"/>
  <c r="T83" i="87"/>
  <c r="T30" i="85"/>
  <c r="Z18" i="85"/>
  <c r="T72" i="88"/>
  <c r="H27" i="82"/>
  <c r="H30" i="85"/>
  <c r="D70" i="80"/>
  <c r="L20" i="80"/>
  <c r="L54" i="76"/>
  <c r="N54" i="76" s="1"/>
  <c r="D107" i="76"/>
  <c r="L24" i="78"/>
  <c r="D63" i="78"/>
  <c r="V72" i="73"/>
  <c r="V64" i="73"/>
  <c r="T51" i="73"/>
  <c r="V85" i="73"/>
  <c r="V71" i="73"/>
  <c r="V59" i="73"/>
  <c r="V55" i="73"/>
  <c r="V74" i="73"/>
  <c r="V46" i="73"/>
  <c r="V42" i="73"/>
  <c r="V38" i="73"/>
  <c r="V34" i="73"/>
  <c r="V73" i="73"/>
  <c r="V65" i="73"/>
  <c r="V76" i="73"/>
  <c r="V60" i="73"/>
  <c r="V56" i="73"/>
  <c r="V75" i="73"/>
  <c r="V67" i="73"/>
  <c r="V47" i="73"/>
  <c r="V43" i="73"/>
  <c r="V39" i="73"/>
  <c r="V35" i="73"/>
  <c r="V78" i="73"/>
  <c r="V66" i="73"/>
  <c r="V77" i="73"/>
  <c r="V69" i="73"/>
  <c r="V61" i="73"/>
  <c r="V57" i="73"/>
  <c r="V81" i="73"/>
  <c r="V79" i="73"/>
  <c r="V63" i="73"/>
  <c r="V70" i="73"/>
  <c r="V62" i="73"/>
  <c r="V58" i="73"/>
  <c r="V54" i="73"/>
  <c r="V53" i="73"/>
  <c r="V51" i="73"/>
  <c r="V49" i="73"/>
  <c r="V45" i="73"/>
  <c r="V41" i="73"/>
  <c r="V37" i="73"/>
  <c r="V36" i="73"/>
  <c r="V44" i="73"/>
  <c r="V68" i="73"/>
  <c r="V48" i="73"/>
  <c r="V40" i="73"/>
  <c r="T73" i="72"/>
  <c r="H83" i="75"/>
  <c r="N30" i="75"/>
  <c r="P83" i="73"/>
  <c r="X51" i="73"/>
  <c r="H68" i="69"/>
  <c r="H58" i="67"/>
  <c r="N16" i="67"/>
  <c r="F109" i="51"/>
  <c r="F104" i="51"/>
  <c r="F99" i="51"/>
  <c r="F98" i="51"/>
  <c r="F91" i="51"/>
  <c r="F90" i="51"/>
  <c r="F71" i="51"/>
  <c r="F103" i="51"/>
  <c r="F66" i="51"/>
  <c r="F62" i="51"/>
  <c r="F58" i="51"/>
  <c r="F57" i="51"/>
  <c r="F102" i="51"/>
  <c r="F81" i="51"/>
  <c r="F56" i="51"/>
  <c r="F49" i="51"/>
  <c r="F45" i="51"/>
  <c r="F41" i="51"/>
  <c r="F101" i="51"/>
  <c r="F92" i="51"/>
  <c r="F72" i="51"/>
  <c r="F68" i="51"/>
  <c r="F67" i="51"/>
  <c r="D54" i="51"/>
  <c r="F54" i="51" s="1"/>
  <c r="F83" i="51"/>
  <c r="F82" i="51"/>
  <c r="F63" i="51"/>
  <c r="F59" i="51"/>
  <c r="F74" i="51"/>
  <c r="F73" i="51"/>
  <c r="F50" i="51"/>
  <c r="F46" i="51"/>
  <c r="F42" i="51"/>
  <c r="F93" i="51"/>
  <c r="F85" i="51"/>
  <c r="F84" i="51"/>
  <c r="F69" i="51"/>
  <c r="F76" i="51"/>
  <c r="F75" i="51"/>
  <c r="F64" i="51"/>
  <c r="F60" i="51"/>
  <c r="F95" i="51"/>
  <c r="F94" i="51"/>
  <c r="F87" i="51"/>
  <c r="F86" i="51"/>
  <c r="F51" i="51"/>
  <c r="F47" i="51"/>
  <c r="F43" i="51"/>
  <c r="F78" i="51"/>
  <c r="F77" i="51"/>
  <c r="F70" i="51"/>
  <c r="F97" i="51"/>
  <c r="F96" i="51"/>
  <c r="F89" i="51"/>
  <c r="F88" i="51"/>
  <c r="F65" i="51"/>
  <c r="F61" i="51"/>
  <c r="F105" i="51"/>
  <c r="F80" i="51"/>
  <c r="F79" i="51"/>
  <c r="F52" i="51"/>
  <c r="F48" i="51"/>
  <c r="F44" i="51"/>
  <c r="F40" i="51"/>
  <c r="F39" i="51"/>
  <c r="L12" i="51"/>
  <c r="R53" i="48"/>
  <c r="R30" i="48"/>
  <c r="R29" i="48"/>
  <c r="R25" i="48"/>
  <c r="R21" i="48"/>
  <c r="P17" i="48"/>
  <c r="R61" i="48"/>
  <c r="R60" i="48"/>
  <c r="R45" i="48"/>
  <c r="R44" i="48"/>
  <c r="R36" i="48"/>
  <c r="R35" i="48"/>
  <c r="R31" i="48"/>
  <c r="R65" i="48"/>
  <c r="R62" i="48"/>
  <c r="R55" i="48"/>
  <c r="R54" i="48"/>
  <c r="R47" i="48"/>
  <c r="R46" i="48"/>
  <c r="R26" i="48"/>
  <c r="R22" i="48"/>
  <c r="R64" i="48"/>
  <c r="R38" i="48"/>
  <c r="R37" i="48"/>
  <c r="R57" i="48"/>
  <c r="R56" i="48"/>
  <c r="R49" i="48"/>
  <c r="R48" i="48"/>
  <c r="R32" i="48"/>
  <c r="X12" i="48"/>
  <c r="Z12" i="48" s="1"/>
  <c r="R69" i="48"/>
  <c r="R40" i="48"/>
  <c r="R39" i="48"/>
  <c r="R27" i="48"/>
  <c r="R23" i="48"/>
  <c r="R58" i="48"/>
  <c r="R51" i="48"/>
  <c r="R50" i="48"/>
  <c r="R42" i="48"/>
  <c r="R41" i="48"/>
  <c r="R33" i="48"/>
  <c r="R52" i="48"/>
  <c r="R28" i="48"/>
  <c r="R24" i="48"/>
  <c r="R34" i="48"/>
  <c r="R19" i="48"/>
  <c r="R17" i="48"/>
  <c r="R15" i="48"/>
  <c r="R59" i="48"/>
  <c r="R20" i="48"/>
  <c r="R43" i="48"/>
  <c r="T94" i="45"/>
  <c r="V104" i="27"/>
  <c r="V96" i="27"/>
  <c r="V56" i="27"/>
  <c r="V52" i="27"/>
  <c r="V48" i="27"/>
  <c r="V44" i="27"/>
  <c r="V111" i="27"/>
  <c r="V103" i="27"/>
  <c r="V95" i="27"/>
  <c r="V87" i="27"/>
  <c r="V79" i="27"/>
  <c r="V75" i="27"/>
  <c r="V110" i="27"/>
  <c r="V119" i="27"/>
  <c r="V113" i="27"/>
  <c r="V118" i="27"/>
  <c r="V112" i="27"/>
  <c r="V88" i="27"/>
  <c r="V80" i="27"/>
  <c r="V76" i="27"/>
  <c r="V117" i="27"/>
  <c r="V99" i="27"/>
  <c r="V91" i="27"/>
  <c r="V71" i="27"/>
  <c r="V67" i="27"/>
  <c r="V116" i="27"/>
  <c r="V114" i="27"/>
  <c r="V106" i="27"/>
  <c r="V90" i="27"/>
  <c r="V82" i="27"/>
  <c r="V58" i="27"/>
  <c r="V54" i="27"/>
  <c r="V50" i="27"/>
  <c r="V46" i="27"/>
  <c r="V123" i="27"/>
  <c r="V108" i="27"/>
  <c r="V100" i="27"/>
  <c r="V92" i="27"/>
  <c r="V84" i="27"/>
  <c r="V109" i="27"/>
  <c r="V93" i="27"/>
  <c r="V85" i="27"/>
  <c r="V73" i="27"/>
  <c r="V69" i="27"/>
  <c r="V65" i="27"/>
  <c r="V74" i="27"/>
  <c r="V63" i="27"/>
  <c r="V43" i="27"/>
  <c r="V72" i="27"/>
  <c r="V68" i="27"/>
  <c r="V64" i="27"/>
  <c r="V70" i="27"/>
  <c r="V66" i="27"/>
  <c r="V59" i="27"/>
  <c r="V97" i="27"/>
  <c r="V83" i="27"/>
  <c r="V57" i="27"/>
  <c r="V102" i="27"/>
  <c r="V55" i="27"/>
  <c r="V77" i="27"/>
  <c r="V53" i="27"/>
  <c r="V61" i="27"/>
  <c r="V107" i="27"/>
  <c r="V105" i="27"/>
  <c r="V94" i="27"/>
  <c r="V78" i="27"/>
  <c r="V45" i="27"/>
  <c r="V89" i="27"/>
  <c r="V81" i="27"/>
  <c r="T61" i="27"/>
  <c r="V47" i="27"/>
  <c r="V49" i="27"/>
  <c r="V101" i="27"/>
  <c r="V51" i="27"/>
  <c r="V98" i="27"/>
  <c r="V86" i="27"/>
  <c r="J116" i="27"/>
  <c r="J100" i="27"/>
  <c r="J92" i="27"/>
  <c r="J82" i="27"/>
  <c r="J72" i="27"/>
  <c r="J68" i="27"/>
  <c r="J107" i="27"/>
  <c r="J101" i="27"/>
  <c r="J83" i="27"/>
  <c r="J59" i="27"/>
  <c r="J55" i="27"/>
  <c r="J51" i="27"/>
  <c r="J47" i="27"/>
  <c r="J108" i="27"/>
  <c r="J109" i="27"/>
  <c r="J94" i="27"/>
  <c r="J74" i="27"/>
  <c r="H61" i="27"/>
  <c r="J56" i="27"/>
  <c r="J52" i="27"/>
  <c r="J48" i="27"/>
  <c r="J44" i="27"/>
  <c r="J103" i="27"/>
  <c r="J95" i="27"/>
  <c r="J79" i="27"/>
  <c r="J75" i="27"/>
  <c r="J110" i="27"/>
  <c r="J104" i="27"/>
  <c r="J96" i="27"/>
  <c r="J86" i="27"/>
  <c r="J70" i="27"/>
  <c r="J66" i="27"/>
  <c r="J112" i="27"/>
  <c r="J98" i="27"/>
  <c r="J88" i="27"/>
  <c r="J80" i="27"/>
  <c r="J123" i="27"/>
  <c r="J117" i="27"/>
  <c r="J91" i="27"/>
  <c r="J81" i="27"/>
  <c r="J77" i="27"/>
  <c r="J89" i="27"/>
  <c r="J61" i="27"/>
  <c r="J111" i="27"/>
  <c r="J87" i="27"/>
  <c r="J78" i="27"/>
  <c r="J76" i="27"/>
  <c r="J58" i="27"/>
  <c r="J105" i="27"/>
  <c r="J45" i="27"/>
  <c r="J113" i="27"/>
  <c r="J54" i="27"/>
  <c r="J99" i="27"/>
  <c r="J85" i="27"/>
  <c r="J63" i="27"/>
  <c r="J118" i="27"/>
  <c r="J90" i="27"/>
  <c r="J50" i="27"/>
  <c r="J43" i="27"/>
  <c r="J64" i="27"/>
  <c r="J53" i="27"/>
  <c r="J73" i="27"/>
  <c r="J71" i="27"/>
  <c r="J69" i="27"/>
  <c r="J67" i="27"/>
  <c r="J65" i="27"/>
  <c r="J49" i="27"/>
  <c r="J102" i="27"/>
  <c r="J57" i="27"/>
  <c r="J119" i="27"/>
  <c r="J114" i="27"/>
  <c r="J97" i="27"/>
  <c r="J46" i="27"/>
  <c r="N12" i="27"/>
  <c r="J93" i="27"/>
  <c r="J84" i="27"/>
  <c r="J106" i="27"/>
  <c r="P98" i="9"/>
  <c r="D27" i="110"/>
  <c r="L18" i="110"/>
  <c r="Z18" i="111"/>
  <c r="T27" i="111"/>
  <c r="L18" i="53"/>
  <c r="D27" i="53"/>
  <c r="T27" i="38"/>
  <c r="Z18" i="38"/>
  <c r="L18" i="31"/>
  <c r="D27" i="31"/>
  <c r="D27" i="14"/>
  <c r="L18" i="14"/>
  <c r="D27" i="16"/>
  <c r="L18" i="16"/>
  <c r="L18" i="5"/>
  <c r="D27" i="5"/>
  <c r="P27" i="8"/>
  <c r="X18" i="8"/>
  <c r="H27" i="19"/>
  <c r="N18" i="19"/>
  <c r="H35" i="108"/>
  <c r="N16" i="108"/>
  <c r="F65" i="109"/>
  <c r="F56" i="109"/>
  <c r="F55" i="109"/>
  <c r="F48" i="109"/>
  <c r="F47" i="109"/>
  <c r="F32" i="109"/>
  <c r="F69" i="109"/>
  <c r="F64" i="109"/>
  <c r="F39" i="109"/>
  <c r="F38" i="109"/>
  <c r="F27" i="109"/>
  <c r="F23" i="109"/>
  <c r="F58" i="109"/>
  <c r="F57" i="109"/>
  <c r="F50" i="109"/>
  <c r="F49" i="109"/>
  <c r="F62" i="109"/>
  <c r="F61" i="109"/>
  <c r="F54" i="109"/>
  <c r="F46" i="109"/>
  <c r="F45" i="109"/>
  <c r="F41" i="109"/>
  <c r="F37" i="109"/>
  <c r="F24" i="109"/>
  <c r="F20" i="109"/>
  <c r="F19" i="109"/>
  <c r="D17" i="109"/>
  <c r="F30" i="109"/>
  <c r="F21" i="109"/>
  <c r="L12" i="109"/>
  <c r="N12" i="109" s="1"/>
  <c r="F52" i="109"/>
  <c r="F34" i="109"/>
  <c r="F31" i="109"/>
  <c r="F59" i="109"/>
  <c r="F42" i="109"/>
  <c r="F35" i="109"/>
  <c r="F26" i="109"/>
  <c r="F60" i="109"/>
  <c r="F44" i="109"/>
  <c r="F25" i="109"/>
  <c r="F40" i="109"/>
  <c r="F22" i="109"/>
  <c r="F33" i="109"/>
  <c r="F29" i="109"/>
  <c r="F53" i="109"/>
  <c r="F43" i="109"/>
  <c r="F51" i="109"/>
  <c r="F28" i="109"/>
  <c r="F15" i="109"/>
  <c r="F36" i="109"/>
  <c r="X35" i="108"/>
  <c r="P39" i="108"/>
  <c r="D51" i="104"/>
  <c r="L21" i="104"/>
  <c r="P80" i="101"/>
  <c r="X21" i="101"/>
  <c r="P50" i="99"/>
  <c r="L21" i="82"/>
  <c r="N21" i="82" s="1"/>
  <c r="D27" i="82"/>
  <c r="J20" i="80"/>
  <c r="J24" i="72"/>
  <c r="D120" i="70"/>
  <c r="L60" i="70"/>
  <c r="N60" i="70" s="1"/>
  <c r="X16" i="59"/>
  <c r="P61" i="59"/>
  <c r="D49" i="61"/>
  <c r="L16" i="61"/>
  <c r="D70" i="56"/>
  <c r="L16" i="56"/>
  <c r="T54" i="60"/>
  <c r="X23" i="45"/>
  <c r="Z23" i="45" s="1"/>
  <c r="P94" i="45"/>
  <c r="Z117" i="42"/>
  <c r="X117" i="42"/>
  <c r="H122" i="42"/>
  <c r="N117" i="42"/>
  <c r="N250" i="15"/>
  <c r="H27" i="110"/>
  <c r="N18" i="110"/>
  <c r="H27" i="53"/>
  <c r="N18" i="53"/>
  <c r="T27" i="43"/>
  <c r="Z18" i="43"/>
  <c r="X18" i="40"/>
  <c r="P27" i="40"/>
  <c r="H27" i="40"/>
  <c r="N18" i="40"/>
  <c r="L18" i="37"/>
  <c r="D27" i="37"/>
  <c r="X18" i="35"/>
  <c r="P27" i="35"/>
  <c r="X18" i="26"/>
  <c r="P27" i="26"/>
  <c r="Z18" i="26"/>
  <c r="T27" i="26"/>
  <c r="H27" i="16"/>
  <c r="N18" i="16"/>
  <c r="H27" i="10"/>
  <c r="N18" i="10"/>
  <c r="T27" i="4"/>
  <c r="Z18" i="4"/>
  <c r="L18" i="13"/>
  <c r="D27" i="13"/>
  <c r="L18" i="47"/>
  <c r="D27" i="47"/>
  <c r="T27" i="35"/>
  <c r="Z18" i="35"/>
  <c r="H27" i="23"/>
  <c r="N18" i="23"/>
  <c r="N16" i="102"/>
  <c r="H46" i="102"/>
  <c r="H80" i="101"/>
  <c r="X20" i="88"/>
  <c r="Z20" i="88" s="1"/>
  <c r="P72" i="88"/>
  <c r="P34" i="85"/>
  <c r="X30" i="85"/>
  <c r="T68" i="93"/>
  <c r="Z20" i="93"/>
  <c r="H72" i="88"/>
  <c r="D87" i="87"/>
  <c r="T70" i="80"/>
  <c r="Z21" i="82"/>
  <c r="T27" i="82"/>
  <c r="H80" i="83"/>
  <c r="N20" i="83"/>
  <c r="P68" i="69"/>
  <c r="V57" i="69"/>
  <c r="V49" i="69"/>
  <c r="V37" i="69"/>
  <c r="V33" i="69"/>
  <c r="T20" i="69"/>
  <c r="V66" i="69"/>
  <c r="V64" i="69"/>
  <c r="V52" i="69"/>
  <c r="V40" i="69"/>
  <c r="V28" i="69"/>
  <c r="V24" i="69"/>
  <c r="V59" i="69"/>
  <c r="V51" i="69"/>
  <c r="V39" i="69"/>
  <c r="V58" i="69"/>
  <c r="V42" i="69"/>
  <c r="V34" i="69"/>
  <c r="V53" i="69"/>
  <c r="V41" i="69"/>
  <c r="V29" i="69"/>
  <c r="V25" i="69"/>
  <c r="V70" i="69"/>
  <c r="V60" i="69"/>
  <c r="V44" i="69"/>
  <c r="V16" i="69"/>
  <c r="V55" i="69"/>
  <c r="V43" i="69"/>
  <c r="V35" i="69"/>
  <c r="V54" i="69"/>
  <c r="V46" i="69"/>
  <c r="V30" i="69"/>
  <c r="V26" i="69"/>
  <c r="V61" i="69"/>
  <c r="V45" i="69"/>
  <c r="V17" i="69"/>
  <c r="V56" i="69"/>
  <c r="V48" i="69"/>
  <c r="V36" i="69"/>
  <c r="V32" i="69"/>
  <c r="V63" i="69"/>
  <c r="V47" i="69"/>
  <c r="V31" i="69"/>
  <c r="V27" i="69"/>
  <c r="V23" i="69"/>
  <c r="X12" i="69"/>
  <c r="Z12" i="69" s="1"/>
  <c r="V62" i="69"/>
  <c r="V50" i="69"/>
  <c r="V38" i="69"/>
  <c r="V22" i="69"/>
  <c r="V18" i="69"/>
  <c r="X16" i="61"/>
  <c r="P49" i="61"/>
  <c r="H61" i="59"/>
  <c r="N16" i="59"/>
  <c r="H101" i="63"/>
  <c r="N16" i="63"/>
  <c r="P79" i="58"/>
  <c r="L16" i="58"/>
  <c r="L96" i="63"/>
  <c r="N96" i="63" s="1"/>
  <c r="P70" i="56"/>
  <c r="X16" i="56"/>
  <c r="J154" i="30"/>
  <c r="J146" i="30"/>
  <c r="J142" i="30"/>
  <c r="J128" i="30"/>
  <c r="J108" i="30"/>
  <c r="J82" i="30"/>
  <c r="J78" i="30"/>
  <c r="J74" i="30"/>
  <c r="J70" i="30"/>
  <c r="J66" i="30"/>
  <c r="J62" i="30"/>
  <c r="J58" i="30"/>
  <c r="J155" i="30"/>
  <c r="J129" i="30"/>
  <c r="J117" i="30"/>
  <c r="J109" i="30"/>
  <c r="J101" i="30"/>
  <c r="J160" i="30"/>
  <c r="J156" i="30"/>
  <c r="J136" i="30"/>
  <c r="J118" i="30"/>
  <c r="J110" i="30"/>
  <c r="J96" i="30"/>
  <c r="J92" i="30"/>
  <c r="J159" i="30"/>
  <c r="J147" i="30"/>
  <c r="J143" i="30"/>
  <c r="J119" i="30"/>
  <c r="J111" i="30"/>
  <c r="J97" i="30"/>
  <c r="J83" i="30"/>
  <c r="J79" i="30"/>
  <c r="J75" i="30"/>
  <c r="J71" i="30"/>
  <c r="J67" i="30"/>
  <c r="J63" i="30"/>
  <c r="J59" i="30"/>
  <c r="J164" i="30"/>
  <c r="J158" i="30"/>
  <c r="J148" i="30"/>
  <c r="J130" i="30"/>
  <c r="J120" i="30"/>
  <c r="J102" i="30"/>
  <c r="J98" i="30"/>
  <c r="J88" i="30"/>
  <c r="J149" i="30"/>
  <c r="J137" i="30"/>
  <c r="J131" i="30"/>
  <c r="J121" i="30"/>
  <c r="J93" i="30"/>
  <c r="J89" i="30"/>
  <c r="J87" i="30"/>
  <c r="J85" i="30"/>
  <c r="J150" i="30"/>
  <c r="J144" i="30"/>
  <c r="J138" i="30"/>
  <c r="J132" i="30"/>
  <c r="J122" i="30"/>
  <c r="J112" i="30"/>
  <c r="H85" i="30"/>
  <c r="J80" i="30"/>
  <c r="J76" i="30"/>
  <c r="J72" i="30"/>
  <c r="J68" i="30"/>
  <c r="J64" i="30"/>
  <c r="J60" i="30"/>
  <c r="J151" i="30"/>
  <c r="J139" i="30"/>
  <c r="J123" i="30"/>
  <c r="J113" i="30"/>
  <c r="J103" i="30"/>
  <c r="J99" i="30"/>
  <c r="J152" i="30"/>
  <c r="J124" i="30"/>
  <c r="J114" i="30"/>
  <c r="J104" i="30"/>
  <c r="J94" i="30"/>
  <c r="J90" i="30"/>
  <c r="J56" i="30"/>
  <c r="J141" i="30"/>
  <c r="J135" i="30"/>
  <c r="J127" i="30"/>
  <c r="J107" i="30"/>
  <c r="J95" i="30"/>
  <c r="J91" i="30"/>
  <c r="J115" i="30"/>
  <c r="J73" i="30"/>
  <c r="J106" i="30"/>
  <c r="J65" i="30"/>
  <c r="J145" i="30"/>
  <c r="J125" i="30"/>
  <c r="J133" i="30"/>
  <c r="J77" i="30"/>
  <c r="J140" i="30"/>
  <c r="J57" i="30"/>
  <c r="J153" i="30"/>
  <c r="J105" i="30"/>
  <c r="J61" i="30"/>
  <c r="J100" i="30"/>
  <c r="J126" i="30"/>
  <c r="J81" i="30"/>
  <c r="J69" i="30"/>
  <c r="J116" i="30"/>
  <c r="J134" i="30"/>
  <c r="R109" i="27"/>
  <c r="R94" i="27"/>
  <c r="R93" i="27"/>
  <c r="R85" i="27"/>
  <c r="R74" i="27"/>
  <c r="R73" i="27"/>
  <c r="R69" i="27"/>
  <c r="R65" i="27"/>
  <c r="P61" i="27"/>
  <c r="R56" i="27"/>
  <c r="R52" i="27"/>
  <c r="R48" i="27"/>
  <c r="R44" i="27"/>
  <c r="R104" i="27"/>
  <c r="R111" i="27"/>
  <c r="R110" i="27"/>
  <c r="R105" i="27"/>
  <c r="R98" i="27"/>
  <c r="R97" i="27"/>
  <c r="R57" i="27"/>
  <c r="R53" i="27"/>
  <c r="R49" i="27"/>
  <c r="R45" i="27"/>
  <c r="R119" i="27"/>
  <c r="R113" i="27"/>
  <c r="R112" i="27"/>
  <c r="R89" i="27"/>
  <c r="R88" i="27"/>
  <c r="R80" i="27"/>
  <c r="R76" i="27"/>
  <c r="R118" i="27"/>
  <c r="R99" i="27"/>
  <c r="R71" i="27"/>
  <c r="R67" i="27"/>
  <c r="R117" i="27"/>
  <c r="R114" i="27"/>
  <c r="R123" i="27"/>
  <c r="R116" i="27"/>
  <c r="R82" i="27"/>
  <c r="R81" i="27"/>
  <c r="R77" i="27"/>
  <c r="R102" i="27"/>
  <c r="R78" i="27"/>
  <c r="R63" i="27"/>
  <c r="R61" i="27"/>
  <c r="R43" i="27"/>
  <c r="R107" i="27"/>
  <c r="R103" i="27"/>
  <c r="R101" i="27"/>
  <c r="R54" i="27"/>
  <c r="R92" i="27"/>
  <c r="X12" i="27"/>
  <c r="Z12" i="27" s="1"/>
  <c r="R50" i="27"/>
  <c r="R90" i="27"/>
  <c r="R72" i="27"/>
  <c r="R68" i="27"/>
  <c r="R108" i="27"/>
  <c r="R70" i="27"/>
  <c r="R66" i="27"/>
  <c r="R64" i="27"/>
  <c r="R59" i="27"/>
  <c r="R106" i="27"/>
  <c r="R83" i="27"/>
  <c r="R46" i="27"/>
  <c r="R95" i="27"/>
  <c r="R79" i="27"/>
  <c r="R75" i="27"/>
  <c r="R55" i="27"/>
  <c r="R96" i="27"/>
  <c r="R87" i="27"/>
  <c r="R47" i="27"/>
  <c r="R100" i="27"/>
  <c r="R91" i="27"/>
  <c r="R84" i="27"/>
  <c r="R86" i="27"/>
  <c r="R58" i="27"/>
  <c r="R51" i="27"/>
  <c r="D102" i="21"/>
  <c r="L27" i="21"/>
  <c r="V256" i="15"/>
  <c r="V238" i="15"/>
  <c r="V226" i="15"/>
  <c r="V222" i="15"/>
  <c r="V206" i="15"/>
  <c r="V198" i="15"/>
  <c r="V170" i="15"/>
  <c r="V166" i="15"/>
  <c r="V162" i="15"/>
  <c r="V263" i="15"/>
  <c r="V255" i="15"/>
  <c r="V245" i="15"/>
  <c r="V237" i="15"/>
  <c r="V233" i="15"/>
  <c r="V221" i="15"/>
  <c r="V209" i="15"/>
  <c r="V197" i="15"/>
  <c r="V189" i="15"/>
  <c r="V181" i="15"/>
  <c r="V161" i="15"/>
  <c r="V157" i="15"/>
  <c r="V153" i="15"/>
  <c r="V149" i="15"/>
  <c r="V145" i="15"/>
  <c r="V141" i="15"/>
  <c r="V137" i="15"/>
  <c r="V133" i="15"/>
  <c r="V129" i="15"/>
  <c r="V125" i="15"/>
  <c r="V121" i="15"/>
  <c r="V117" i="15"/>
  <c r="V113" i="15"/>
  <c r="V109" i="15"/>
  <c r="V254" i="15"/>
  <c r="V228" i="15"/>
  <c r="V216" i="15"/>
  <c r="V208" i="15"/>
  <c r="V200" i="15"/>
  <c r="V180" i="15"/>
  <c r="V176" i="15"/>
  <c r="T159" i="15"/>
  <c r="V159" i="15" s="1"/>
  <c r="V253" i="15"/>
  <c r="V247" i="15"/>
  <c r="V239" i="15"/>
  <c r="V223" i="15"/>
  <c r="V211" i="15"/>
  <c r="V199" i="15"/>
  <c r="V191" i="15"/>
  <c r="V183" i="15"/>
  <c r="V171" i="15"/>
  <c r="V167" i="15"/>
  <c r="V163" i="15"/>
  <c r="V252" i="15"/>
  <c r="V246" i="15"/>
  <c r="V234" i="15"/>
  <c r="V230" i="15"/>
  <c r="V218" i="15"/>
  <c r="V210" i="15"/>
  <c r="V190" i="15"/>
  <c r="V182" i="15"/>
  <c r="V154" i="15"/>
  <c r="V150" i="15"/>
  <c r="V146" i="15"/>
  <c r="V142" i="15"/>
  <c r="V138" i="15"/>
  <c r="V134" i="15"/>
  <c r="V130" i="15"/>
  <c r="V126" i="15"/>
  <c r="V122" i="15"/>
  <c r="V118" i="15"/>
  <c r="V114" i="15"/>
  <c r="V110" i="15"/>
  <c r="V251" i="15"/>
  <c r="V241" i="15"/>
  <c r="V229" i="15"/>
  <c r="V217" i="15"/>
  <c r="V213" i="15"/>
  <c r="V201" i="15"/>
  <c r="V177" i="15"/>
  <c r="V173" i="15"/>
  <c r="V250" i="15"/>
  <c r="V248" i="15"/>
  <c r="V240" i="15"/>
  <c r="V224" i="15"/>
  <c r="V243" i="15"/>
  <c r="V235" i="15"/>
  <c r="V231" i="15"/>
  <c r="V219" i="15"/>
  <c r="V203" i="15"/>
  <c r="V155" i="15"/>
  <c r="V151" i="15"/>
  <c r="V147" i="15"/>
  <c r="V143" i="15"/>
  <c r="V139" i="15"/>
  <c r="V135" i="15"/>
  <c r="V131" i="15"/>
  <c r="V127" i="15"/>
  <c r="V123" i="15"/>
  <c r="V119" i="15"/>
  <c r="V115" i="15"/>
  <c r="V111" i="15"/>
  <c r="V107" i="15"/>
  <c r="V259" i="15"/>
  <c r="V225" i="15"/>
  <c r="V205" i="15"/>
  <c r="V193" i="15"/>
  <c r="V185" i="15"/>
  <c r="V169" i="15"/>
  <c r="V165" i="15"/>
  <c r="V257" i="15"/>
  <c r="V227" i="15"/>
  <c r="V215" i="15"/>
  <c r="V207" i="15"/>
  <c r="V195" i="15"/>
  <c r="V187" i="15"/>
  <c r="V179" i="15"/>
  <c r="V175" i="15"/>
  <c r="V236" i="15"/>
  <c r="V202" i="15"/>
  <c r="V156" i="15"/>
  <c r="V242" i="15"/>
  <c r="V204" i="15"/>
  <c r="V112" i="15"/>
  <c r="V244" i="15"/>
  <c r="V196" i="15"/>
  <c r="V164" i="15"/>
  <c r="V140" i="15"/>
  <c r="V128" i="15"/>
  <c r="V212" i="15"/>
  <c r="V194" i="15"/>
  <c r="V178" i="15"/>
  <c r="V116" i="15"/>
  <c r="V214" i="15"/>
  <c r="V192" i="15"/>
  <c r="V188" i="15"/>
  <c r="V168" i="15"/>
  <c r="V148" i="15"/>
  <c r="V132" i="15"/>
  <c r="V108" i="15"/>
  <c r="V174" i="15"/>
  <c r="V152" i="15"/>
  <c r="V136" i="15"/>
  <c r="V124" i="15"/>
  <c r="V232" i="15"/>
  <c r="V258" i="15"/>
  <c r="V144" i="15"/>
  <c r="V172" i="15"/>
  <c r="V120" i="15"/>
  <c r="V220" i="15"/>
  <c r="V186" i="15"/>
  <c r="V184" i="15"/>
  <c r="T91" i="9"/>
  <c r="Z16" i="9"/>
  <c r="X296" i="3"/>
  <c r="J250" i="15"/>
  <c r="J242" i="15"/>
  <c r="J214" i="15"/>
  <c r="J202" i="15"/>
  <c r="J178" i="15"/>
  <c r="J174" i="15"/>
  <c r="J243" i="15"/>
  <c r="J225" i="15"/>
  <c r="J203" i="15"/>
  <c r="J193" i="15"/>
  <c r="J185" i="15"/>
  <c r="J169" i="15"/>
  <c r="J165" i="15"/>
  <c r="J107" i="15"/>
  <c r="J244" i="15"/>
  <c r="J236" i="15"/>
  <c r="J232" i="15"/>
  <c r="J220" i="15"/>
  <c r="J204" i="15"/>
  <c r="J194" i="15"/>
  <c r="J186" i="15"/>
  <c r="J156" i="15"/>
  <c r="J152" i="15"/>
  <c r="J148" i="15"/>
  <c r="J144" i="15"/>
  <c r="J140" i="15"/>
  <c r="J136" i="15"/>
  <c r="J132" i="15"/>
  <c r="J128" i="15"/>
  <c r="J124" i="15"/>
  <c r="J120" i="15"/>
  <c r="J116" i="15"/>
  <c r="J112" i="15"/>
  <c r="J108" i="15"/>
  <c r="J259" i="15"/>
  <c r="J215" i="15"/>
  <c r="J205" i="15"/>
  <c r="J195" i="15"/>
  <c r="J187" i="15"/>
  <c r="J179" i="15"/>
  <c r="J175" i="15"/>
  <c r="J258" i="15"/>
  <c r="J226" i="15"/>
  <c r="J206" i="15"/>
  <c r="J196" i="15"/>
  <c r="J188" i="15"/>
  <c r="J170" i="15"/>
  <c r="J166" i="15"/>
  <c r="J263" i="15"/>
  <c r="J257" i="15"/>
  <c r="J245" i="15"/>
  <c r="J237" i="15"/>
  <c r="J233" i="15"/>
  <c r="J227" i="15"/>
  <c r="J221" i="15"/>
  <c r="J207" i="15"/>
  <c r="J197" i="15"/>
  <c r="J189" i="15"/>
  <c r="J157" i="15"/>
  <c r="J153" i="15"/>
  <c r="J149" i="15"/>
  <c r="J145" i="15"/>
  <c r="J141" i="15"/>
  <c r="J137" i="15"/>
  <c r="J133" i="15"/>
  <c r="J129" i="15"/>
  <c r="J125" i="15"/>
  <c r="J121" i="15"/>
  <c r="J117" i="15"/>
  <c r="J113" i="15"/>
  <c r="J109" i="15"/>
  <c r="J256" i="15"/>
  <c r="J238" i="15"/>
  <c r="J228" i="15"/>
  <c r="J222" i="15"/>
  <c r="J255" i="15"/>
  <c r="J239" i="15"/>
  <c r="J223" i="15"/>
  <c r="J209" i="15"/>
  <c r="J199" i="15"/>
  <c r="J181" i="15"/>
  <c r="J171" i="15"/>
  <c r="J167" i="15"/>
  <c r="J163" i="15"/>
  <c r="J161" i="15"/>
  <c r="J253" i="15"/>
  <c r="J247" i="15"/>
  <c r="J229" i="15"/>
  <c r="J217" i="15"/>
  <c r="J211" i="15"/>
  <c r="J201" i="15"/>
  <c r="J191" i="15"/>
  <c r="J183" i="15"/>
  <c r="J177" i="15"/>
  <c r="J251" i="15"/>
  <c r="J241" i="15"/>
  <c r="J235" i="15"/>
  <c r="J231" i="15"/>
  <c r="J219" i="15"/>
  <c r="J213" i="15"/>
  <c r="J173" i="15"/>
  <c r="J155" i="15"/>
  <c r="J151" i="15"/>
  <c r="J147" i="15"/>
  <c r="J143" i="15"/>
  <c r="J139" i="15"/>
  <c r="J135" i="15"/>
  <c r="J131" i="15"/>
  <c r="J127" i="15"/>
  <c r="J123" i="15"/>
  <c r="J119" i="15"/>
  <c r="J115" i="15"/>
  <c r="J111" i="15"/>
  <c r="J234" i="15"/>
  <c r="J254" i="15"/>
  <c r="J224" i="15"/>
  <c r="J172" i="15"/>
  <c r="J154" i="15"/>
  <c r="J110" i="15"/>
  <c r="J200" i="15"/>
  <c r="J138" i="15"/>
  <c r="J126" i="15"/>
  <c r="J252" i="15"/>
  <c r="J240" i="15"/>
  <c r="J198" i="15"/>
  <c r="H159" i="15"/>
  <c r="J176" i="15"/>
  <c r="J162" i="15"/>
  <c r="J208" i="15"/>
  <c r="J114" i="15"/>
  <c r="J230" i="15"/>
  <c r="J212" i="15"/>
  <c r="J210" i="15"/>
  <c r="J118" i="15"/>
  <c r="J180" i="15"/>
  <c r="J184" i="15"/>
  <c r="J182" i="15"/>
  <c r="J122" i="15"/>
  <c r="J168" i="15"/>
  <c r="J142" i="15"/>
  <c r="J130" i="15"/>
  <c r="J216" i="15"/>
  <c r="J192" i="15"/>
  <c r="J190" i="15"/>
  <c r="J218" i="15"/>
  <c r="J146" i="15"/>
  <c r="J248" i="15"/>
  <c r="J246" i="15"/>
  <c r="J164" i="15"/>
  <c r="J150" i="15"/>
  <c r="J134" i="15"/>
  <c r="R296" i="3"/>
  <c r="H311" i="3"/>
  <c r="H27" i="112"/>
  <c r="N18" i="112"/>
  <c r="X18" i="44"/>
  <c r="P27" i="44"/>
  <c r="T27" i="41"/>
  <c r="Z18" i="41"/>
  <c r="D27" i="32"/>
  <c r="L18" i="32"/>
  <c r="P27" i="34"/>
  <c r="X18" i="34"/>
  <c r="X18" i="29"/>
  <c r="P27" i="29"/>
  <c r="X18" i="19"/>
  <c r="P27" i="19"/>
  <c r="X18" i="17"/>
  <c r="P27" i="17"/>
  <c r="X18" i="14"/>
  <c r="P27" i="14"/>
  <c r="H27" i="22"/>
  <c r="N18" i="22"/>
  <c r="H27" i="7"/>
  <c r="N18" i="7"/>
  <c r="P27" i="13"/>
  <c r="X18" i="13"/>
  <c r="P46" i="102"/>
  <c r="X16" i="102"/>
  <c r="H85" i="103"/>
  <c r="N21" i="103"/>
  <c r="P120" i="70"/>
  <c r="X60" i="70"/>
  <c r="Z60" i="70" s="1"/>
  <c r="R235" i="12"/>
  <c r="R234" i="12"/>
  <c r="R230" i="12"/>
  <c r="R206" i="12"/>
  <c r="R182" i="12"/>
  <c r="R268" i="12"/>
  <c r="R267" i="12"/>
  <c r="R236" i="12"/>
  <c r="R225" i="12"/>
  <c r="R224" i="12"/>
  <c r="R266" i="12"/>
  <c r="R231" i="12"/>
  <c r="R220" i="12"/>
  <c r="R219" i="12"/>
  <c r="R208" i="12"/>
  <c r="R207" i="12"/>
  <c r="R183" i="12"/>
  <c r="R179" i="12"/>
  <c r="R272" i="12"/>
  <c r="R265" i="12"/>
  <c r="R254" i="12"/>
  <c r="R247" i="12"/>
  <c r="R246" i="12"/>
  <c r="R242" i="12"/>
  <c r="R226" i="12"/>
  <c r="R199" i="12"/>
  <c r="R198" i="12"/>
  <c r="R191" i="12"/>
  <c r="R190" i="12"/>
  <c r="R174" i="12"/>
  <c r="R170" i="12"/>
  <c r="R264" i="12"/>
  <c r="R238" i="12"/>
  <c r="R237" i="12"/>
  <c r="R221" i="12"/>
  <c r="R210" i="12"/>
  <c r="R209" i="12"/>
  <c r="R161" i="12"/>
  <c r="R157" i="12"/>
  <c r="R153" i="12"/>
  <c r="R149" i="12"/>
  <c r="R145" i="12"/>
  <c r="R141" i="12"/>
  <c r="R137" i="12"/>
  <c r="R133" i="12"/>
  <c r="R129" i="12"/>
  <c r="R262" i="12"/>
  <c r="R256" i="12"/>
  <c r="R255" i="12"/>
  <c r="R243" i="12"/>
  <c r="R239" i="12"/>
  <c r="R227" i="12"/>
  <c r="R212" i="12"/>
  <c r="R211" i="12"/>
  <c r="R175" i="12"/>
  <c r="R171" i="12"/>
  <c r="R260" i="12"/>
  <c r="R257" i="12"/>
  <c r="R250" i="12"/>
  <c r="R249" i="12"/>
  <c r="R233" i="12"/>
  <c r="R214" i="12"/>
  <c r="R213" i="12"/>
  <c r="R186" i="12"/>
  <c r="R185" i="12"/>
  <c r="R181" i="12"/>
  <c r="R166" i="12"/>
  <c r="R252" i="12"/>
  <c r="R251" i="12"/>
  <c r="R223" i="12"/>
  <c r="R216" i="12"/>
  <c r="R215" i="12"/>
  <c r="R196" i="12"/>
  <c r="R195" i="12"/>
  <c r="R188" i="12"/>
  <c r="R187" i="12"/>
  <c r="R159" i="12"/>
  <c r="R155" i="12"/>
  <c r="R151" i="12"/>
  <c r="R147" i="12"/>
  <c r="R143" i="12"/>
  <c r="R139" i="12"/>
  <c r="R135" i="12"/>
  <c r="R131" i="12"/>
  <c r="R194" i="12"/>
  <c r="R192" i="12"/>
  <c r="R178" i="12"/>
  <c r="R176" i="12"/>
  <c r="R172" i="12"/>
  <c r="R162" i="12"/>
  <c r="R244" i="12"/>
  <c r="R240" i="12"/>
  <c r="R218" i="12"/>
  <c r="R205" i="12"/>
  <c r="R201" i="12"/>
  <c r="R180" i="12"/>
  <c r="R160" i="12"/>
  <c r="R203" i="12"/>
  <c r="R158" i="12"/>
  <c r="R154" i="12"/>
  <c r="R152" i="12"/>
  <c r="R128" i="12"/>
  <c r="R124" i="12"/>
  <c r="R120" i="12"/>
  <c r="R116" i="12"/>
  <c r="R112" i="12"/>
  <c r="R263" i="12"/>
  <c r="R232" i="12"/>
  <c r="R228" i="12"/>
  <c r="R222" i="12"/>
  <c r="R156" i="12"/>
  <c r="R150" i="12"/>
  <c r="R146" i="12"/>
  <c r="R144" i="12"/>
  <c r="R253" i="12"/>
  <c r="R193" i="12"/>
  <c r="R184" i="12"/>
  <c r="R148" i="12"/>
  <c r="R142" i="12"/>
  <c r="R140" i="12"/>
  <c r="R167" i="12"/>
  <c r="R138" i="12"/>
  <c r="R125" i="12"/>
  <c r="R121" i="12"/>
  <c r="R117" i="12"/>
  <c r="R113" i="12"/>
  <c r="R261" i="12"/>
  <c r="R241" i="12"/>
  <c r="R197" i="12"/>
  <c r="R177" i="12"/>
  <c r="R173" i="12"/>
  <c r="P164" i="12"/>
  <c r="R164" i="12" s="1"/>
  <c r="R136" i="12"/>
  <c r="R134" i="12"/>
  <c r="R202" i="12"/>
  <c r="R200" i="12"/>
  <c r="R189" i="12"/>
  <c r="R132" i="12"/>
  <c r="R110" i="12"/>
  <c r="R248" i="12"/>
  <c r="R168" i="12"/>
  <c r="R130" i="12"/>
  <c r="R127" i="12"/>
  <c r="R123" i="12"/>
  <c r="R119" i="12"/>
  <c r="R115" i="12"/>
  <c r="R111" i="12"/>
  <c r="R229" i="12"/>
  <c r="R114" i="12"/>
  <c r="R169" i="12"/>
  <c r="R118" i="12"/>
  <c r="X12" i="12"/>
  <c r="Z12" i="12" s="1"/>
  <c r="R122" i="12"/>
  <c r="R245" i="12"/>
  <c r="R204" i="12"/>
  <c r="R126" i="12"/>
  <c r="R217" i="12"/>
  <c r="R259" i="12"/>
  <c r="X18" i="49"/>
  <c r="P27" i="49"/>
  <c r="T27" i="25"/>
  <c r="Z18" i="25"/>
  <c r="L18" i="19"/>
  <c r="D27" i="19"/>
  <c r="F66" i="105"/>
  <c r="F85" i="105"/>
  <c r="F84" i="105"/>
  <c r="F77" i="105"/>
  <c r="F73" i="105"/>
  <c r="F61" i="105"/>
  <c r="F67" i="105"/>
  <c r="F87" i="105"/>
  <c r="F78" i="105"/>
  <c r="F74" i="105"/>
  <c r="F62" i="105"/>
  <c r="F91" i="105"/>
  <c r="F69" i="105"/>
  <c r="F68" i="105"/>
  <c r="F79" i="105"/>
  <c r="F75" i="105"/>
  <c r="F71" i="105"/>
  <c r="F70" i="105"/>
  <c r="F83" i="105"/>
  <c r="F82" i="105"/>
  <c r="F72" i="105"/>
  <c r="F54" i="105"/>
  <c r="F47" i="105"/>
  <c r="F39" i="105"/>
  <c r="F35" i="105"/>
  <c r="F34" i="105"/>
  <c r="D21" i="105"/>
  <c r="F65" i="105"/>
  <c r="F48" i="105"/>
  <c r="F30" i="105"/>
  <c r="F26" i="105"/>
  <c r="F49" i="105"/>
  <c r="F40" i="105"/>
  <c r="F36" i="105"/>
  <c r="L12" i="105"/>
  <c r="N12" i="105" s="1"/>
  <c r="F59" i="105"/>
  <c r="F55" i="105"/>
  <c r="F50" i="105"/>
  <c r="F31" i="105"/>
  <c r="F27" i="105"/>
  <c r="F60" i="105"/>
  <c r="F56" i="105"/>
  <c r="F42" i="105"/>
  <c r="F41" i="105"/>
  <c r="F18" i="105"/>
  <c r="F17" i="105"/>
  <c r="F81" i="105"/>
  <c r="F63" i="105"/>
  <c r="F37" i="105"/>
  <c r="F51" i="105"/>
  <c r="F44" i="105"/>
  <c r="F43" i="105"/>
  <c r="F32" i="105"/>
  <c r="F28" i="105"/>
  <c r="F46" i="105"/>
  <c r="F45" i="105"/>
  <c r="F38" i="105"/>
  <c r="F57" i="105"/>
  <c r="F33" i="105"/>
  <c r="F29" i="105"/>
  <c r="F25" i="105"/>
  <c r="F24" i="105"/>
  <c r="F80" i="105"/>
  <c r="F76" i="105"/>
  <c r="F58" i="105"/>
  <c r="F53" i="105"/>
  <c r="F23" i="105"/>
  <c r="F21" i="105"/>
  <c r="F19" i="105"/>
  <c r="F64" i="105"/>
  <c r="F52" i="105"/>
  <c r="T55" i="104"/>
  <c r="L19" i="98"/>
  <c r="D50" i="98"/>
  <c r="H61" i="100"/>
  <c r="X58" i="100"/>
  <c r="Z58" i="100" s="1"/>
  <c r="Z21" i="103"/>
  <c r="T85" i="103"/>
  <c r="V77" i="101"/>
  <c r="P90" i="97"/>
  <c r="X20" i="95"/>
  <c r="P90" i="95"/>
  <c r="L20" i="88"/>
  <c r="N20" i="88" s="1"/>
  <c r="D72" i="88"/>
  <c r="L19" i="92"/>
  <c r="N19" i="92" s="1"/>
  <c r="D72" i="92"/>
  <c r="H96" i="91"/>
  <c r="V18" i="85"/>
  <c r="J21" i="82"/>
  <c r="T107" i="76"/>
  <c r="Z54" i="76"/>
  <c r="Z115" i="70"/>
  <c r="L51" i="73"/>
  <c r="N51" i="73" s="1"/>
  <c r="D83" i="73"/>
  <c r="J20" i="69"/>
  <c r="D114" i="68"/>
  <c r="L67" i="68"/>
  <c r="P62" i="67"/>
  <c r="X96" i="63"/>
  <c r="T33" i="55"/>
  <c r="Z16" i="55"/>
  <c r="N16" i="55"/>
  <c r="H33" i="55"/>
  <c r="J103" i="39"/>
  <c r="J91" i="39"/>
  <c r="J85" i="39"/>
  <c r="J75" i="39"/>
  <c r="J65" i="39"/>
  <c r="J57" i="39"/>
  <c r="J51" i="39"/>
  <c r="J37" i="39"/>
  <c r="J104" i="39"/>
  <c r="J98" i="39"/>
  <c r="J92" i="39"/>
  <c r="J86" i="39"/>
  <c r="J76" i="39"/>
  <c r="J66" i="39"/>
  <c r="J58" i="39"/>
  <c r="J46" i="39"/>
  <c r="J42" i="39"/>
  <c r="J38" i="39"/>
  <c r="J36" i="39"/>
  <c r="J128" i="39"/>
  <c r="J122" i="39"/>
  <c r="J114" i="39"/>
  <c r="J88" i="39"/>
  <c r="J68" i="39"/>
  <c r="J60" i="39"/>
  <c r="J52" i="39"/>
  <c r="J48" i="39"/>
  <c r="N12" i="39"/>
  <c r="J127" i="39"/>
  <c r="J123" i="39"/>
  <c r="J115" i="39"/>
  <c r="J99" i="39"/>
  <c r="J69" i="39"/>
  <c r="J61" i="39"/>
  <c r="J43" i="39"/>
  <c r="J39" i="39"/>
  <c r="J132" i="39"/>
  <c r="J126" i="39"/>
  <c r="J116" i="39"/>
  <c r="J110" i="39"/>
  <c r="J106" i="39"/>
  <c r="J94" i="39"/>
  <c r="J78" i="39"/>
  <c r="J70" i="39"/>
  <c r="J62" i="39"/>
  <c r="J125" i="39"/>
  <c r="J117" i="39"/>
  <c r="J95" i="39"/>
  <c r="J89" i="39"/>
  <c r="J79" i="39"/>
  <c r="J71" i="39"/>
  <c r="J53" i="39"/>
  <c r="J49" i="39"/>
  <c r="J118" i="39"/>
  <c r="J100" i="39"/>
  <c r="J96" i="39"/>
  <c r="J80" i="39"/>
  <c r="J72" i="39"/>
  <c r="J119" i="39"/>
  <c r="J111" i="39"/>
  <c r="J107" i="39"/>
  <c r="J101" i="39"/>
  <c r="J102" i="39"/>
  <c r="J90" i="39"/>
  <c r="J82" i="39"/>
  <c r="J74" i="39"/>
  <c r="J54" i="39"/>
  <c r="J50" i="39"/>
  <c r="J120" i="39"/>
  <c r="J112" i="39"/>
  <c r="J108" i="39"/>
  <c r="J84" i="39"/>
  <c r="J64" i="39"/>
  <c r="J56" i="39"/>
  <c r="J32" i="39"/>
  <c r="J121" i="39"/>
  <c r="J109" i="39"/>
  <c r="J97" i="39"/>
  <c r="J83" i="39"/>
  <c r="J63" i="39"/>
  <c r="J59" i="39"/>
  <c r="J93" i="39"/>
  <c r="J81" i="39"/>
  <c r="J45" i="39"/>
  <c r="J41" i="39"/>
  <c r="H34" i="39"/>
  <c r="J34" i="39" s="1"/>
  <c r="J31" i="39"/>
  <c r="J113" i="39"/>
  <c r="J73" i="39"/>
  <c r="J55" i="39"/>
  <c r="L12" i="39"/>
  <c r="J105" i="39"/>
  <c r="J77" i="39"/>
  <c r="J44" i="39"/>
  <c r="J40" i="39"/>
  <c r="J30" i="39"/>
  <c r="J87" i="39"/>
  <c r="J47" i="39"/>
  <c r="J67" i="39"/>
  <c r="J83" i="33"/>
  <c r="J63" i="33"/>
  <c r="J53" i="33"/>
  <c r="J96" i="33"/>
  <c r="J84" i="33"/>
  <c r="J72" i="33"/>
  <c r="J64" i="33"/>
  <c r="J48" i="33"/>
  <c r="J44" i="33"/>
  <c r="J100" i="33"/>
  <c r="J94" i="33"/>
  <c r="J86" i="33"/>
  <c r="J54" i="33"/>
  <c r="J93" i="33"/>
  <c r="J87" i="33"/>
  <c r="J73" i="33"/>
  <c r="J65" i="33"/>
  <c r="J55" i="33"/>
  <c r="J49" i="33"/>
  <c r="J45" i="33"/>
  <c r="J31" i="33"/>
  <c r="J92" i="33"/>
  <c r="J88" i="33"/>
  <c r="J80" i="33"/>
  <c r="J74" i="33"/>
  <c r="J66" i="33"/>
  <c r="J56" i="33"/>
  <c r="J50" i="33"/>
  <c r="J36" i="33"/>
  <c r="J32" i="33"/>
  <c r="J91" i="33"/>
  <c r="J75" i="33"/>
  <c r="J67" i="33"/>
  <c r="J57" i="33"/>
  <c r="J51" i="33"/>
  <c r="J41" i="33"/>
  <c r="J90" i="33"/>
  <c r="J76" i="33"/>
  <c r="J68" i="33"/>
  <c r="J58" i="33"/>
  <c r="J81" i="33"/>
  <c r="J77" i="33"/>
  <c r="J70" i="33"/>
  <c r="J60" i="33"/>
  <c r="J52" i="33"/>
  <c r="J82" i="33"/>
  <c r="J78" i="33"/>
  <c r="J62" i="33"/>
  <c r="J34" i="33"/>
  <c r="J61" i="33"/>
  <c r="J47" i="33"/>
  <c r="J95" i="33"/>
  <c r="J71" i="33"/>
  <c r="J69" i="33"/>
  <c r="J59" i="33"/>
  <c r="J42" i="33"/>
  <c r="J46" i="33"/>
  <c r="J40" i="33"/>
  <c r="J79" i="33"/>
  <c r="J33" i="33"/>
  <c r="J43" i="33"/>
  <c r="J35" i="33"/>
  <c r="H38" i="33"/>
  <c r="J85" i="33"/>
  <c r="L12" i="33"/>
  <c r="N12" i="33" s="1"/>
  <c r="X27" i="42"/>
  <c r="Z27" i="42" s="1"/>
  <c r="Z275" i="18"/>
  <c r="F252" i="15"/>
  <c r="F235" i="15"/>
  <c r="F231" i="15"/>
  <c r="F230" i="15"/>
  <c r="F219" i="15"/>
  <c r="F218" i="15"/>
  <c r="F155" i="15"/>
  <c r="F151" i="15"/>
  <c r="F147" i="15"/>
  <c r="F143" i="15"/>
  <c r="F139" i="15"/>
  <c r="F135" i="15"/>
  <c r="F131" i="15"/>
  <c r="F127" i="15"/>
  <c r="F123" i="15"/>
  <c r="F119" i="15"/>
  <c r="F115" i="15"/>
  <c r="F111" i="15"/>
  <c r="F251" i="15"/>
  <c r="F242" i="15"/>
  <c r="F241" i="15"/>
  <c r="F214" i="15"/>
  <c r="F213" i="15"/>
  <c r="F202" i="15"/>
  <c r="F178" i="15"/>
  <c r="F174" i="15"/>
  <c r="F173" i="15"/>
  <c r="F250" i="15"/>
  <c r="F225" i="15"/>
  <c r="F193" i="15"/>
  <c r="F185" i="15"/>
  <c r="F169" i="15"/>
  <c r="F165" i="15"/>
  <c r="F244" i="15"/>
  <c r="F243" i="15"/>
  <c r="F236" i="15"/>
  <c r="F232" i="15"/>
  <c r="F220" i="15"/>
  <c r="F204" i="15"/>
  <c r="F203" i="15"/>
  <c r="F156" i="15"/>
  <c r="F152" i="15"/>
  <c r="F148" i="15"/>
  <c r="F144" i="15"/>
  <c r="F140" i="15"/>
  <c r="F136" i="15"/>
  <c r="F132" i="15"/>
  <c r="F128" i="15"/>
  <c r="F124" i="15"/>
  <c r="F120" i="15"/>
  <c r="F116" i="15"/>
  <c r="F112" i="15"/>
  <c r="F108" i="15"/>
  <c r="F107" i="15"/>
  <c r="F215" i="15"/>
  <c r="F195" i="15"/>
  <c r="F194" i="15"/>
  <c r="F187" i="15"/>
  <c r="F186" i="15"/>
  <c r="F179" i="15"/>
  <c r="F175" i="15"/>
  <c r="F259" i="15"/>
  <c r="F226" i="15"/>
  <c r="F206" i="15"/>
  <c r="F205" i="15"/>
  <c r="F170" i="15"/>
  <c r="F166" i="15"/>
  <c r="F263" i="15"/>
  <c r="F258" i="15"/>
  <c r="F245" i="15"/>
  <c r="F237" i="15"/>
  <c r="F233" i="15"/>
  <c r="F221" i="15"/>
  <c r="F257" i="15"/>
  <c r="F228" i="15"/>
  <c r="F227" i="15"/>
  <c r="F216" i="15"/>
  <c r="F208" i="15"/>
  <c r="F207" i="15"/>
  <c r="F180" i="15"/>
  <c r="F176" i="15"/>
  <c r="L12" i="15"/>
  <c r="N12" i="15" s="1"/>
  <c r="F255" i="15"/>
  <c r="F246" i="15"/>
  <c r="F234" i="15"/>
  <c r="F210" i="15"/>
  <c r="F209" i="15"/>
  <c r="F190" i="15"/>
  <c r="F182" i="15"/>
  <c r="F181" i="15"/>
  <c r="F161" i="15"/>
  <c r="F154" i="15"/>
  <c r="F150" i="15"/>
  <c r="F146" i="15"/>
  <c r="F142" i="15"/>
  <c r="F138" i="15"/>
  <c r="F134" i="15"/>
  <c r="F130" i="15"/>
  <c r="F126" i="15"/>
  <c r="F122" i="15"/>
  <c r="F118" i="15"/>
  <c r="F114" i="15"/>
  <c r="F110" i="15"/>
  <c r="F253" i="15"/>
  <c r="F248" i="15"/>
  <c r="F247" i="15"/>
  <c r="F240" i="15"/>
  <c r="F224" i="15"/>
  <c r="F212" i="15"/>
  <c r="F211" i="15"/>
  <c r="F192" i="15"/>
  <c r="F191" i="15"/>
  <c r="F184" i="15"/>
  <c r="F183" i="15"/>
  <c r="F172" i="15"/>
  <c r="F168" i="15"/>
  <c r="F164" i="15"/>
  <c r="F222" i="15"/>
  <c r="F197" i="15"/>
  <c r="F177" i="15"/>
  <c r="F117" i="15"/>
  <c r="F229" i="15"/>
  <c r="F167" i="15"/>
  <c r="F145" i="15"/>
  <c r="F256" i="15"/>
  <c r="F254" i="15"/>
  <c r="F238" i="15"/>
  <c r="F149" i="15"/>
  <c r="F133" i="15"/>
  <c r="F200" i="15"/>
  <c r="F189" i="15"/>
  <c r="D159" i="15"/>
  <c r="F121" i="15"/>
  <c r="F223" i="15"/>
  <c r="F198" i="15"/>
  <c r="F171" i="15"/>
  <c r="F109" i="15"/>
  <c r="F239" i="15"/>
  <c r="F153" i="15"/>
  <c r="F137" i="15"/>
  <c r="F125" i="15"/>
  <c r="F199" i="15"/>
  <c r="F157" i="15"/>
  <c r="F188" i="15"/>
  <c r="F141" i="15"/>
  <c r="F129" i="15"/>
  <c r="F217" i="15"/>
  <c r="F201" i="15"/>
  <c r="F113" i="15"/>
  <c r="F162" i="15"/>
  <c r="F196" i="15"/>
  <c r="F163" i="15"/>
  <c r="P26" i="6"/>
  <c r="X250" i="15"/>
  <c r="T27" i="53"/>
  <c r="Z18" i="53"/>
  <c r="T27" i="44"/>
  <c r="Z18" i="44"/>
  <c r="H27" i="46"/>
  <c r="N18" i="46"/>
  <c r="T27" i="40"/>
  <c r="Z18" i="40"/>
  <c r="H27" i="47"/>
  <c r="N18" i="47"/>
  <c r="L18" i="41"/>
  <c r="D27" i="41"/>
  <c r="H27" i="43"/>
  <c r="N18" i="43"/>
  <c r="L18" i="43"/>
  <c r="D27" i="43"/>
  <c r="L18" i="34"/>
  <c r="D27" i="34"/>
  <c r="L18" i="29"/>
  <c r="D27" i="29"/>
  <c r="L18" i="22"/>
  <c r="D27" i="22"/>
  <c r="P27" i="20"/>
  <c r="X18" i="20"/>
  <c r="L18" i="17"/>
  <c r="D27" i="17"/>
  <c r="X18" i="4"/>
  <c r="P27" i="4"/>
  <c r="P27" i="11"/>
  <c r="X18" i="11"/>
  <c r="V99" i="24"/>
  <c r="V91" i="24"/>
  <c r="V87" i="24"/>
  <c r="V110" i="24"/>
  <c r="V102" i="24"/>
  <c r="V86" i="24"/>
  <c r="V82" i="24"/>
  <c r="V78" i="24"/>
  <c r="V131" i="24"/>
  <c r="V117" i="24"/>
  <c r="V101" i="24"/>
  <c r="V93" i="24"/>
  <c r="V77" i="24"/>
  <c r="V73" i="24"/>
  <c r="V69" i="24"/>
  <c r="V65" i="24"/>
  <c r="V61" i="24"/>
  <c r="V57" i="24"/>
  <c r="V53" i="24"/>
  <c r="V112" i="24"/>
  <c r="V104" i="24"/>
  <c r="V92" i="24"/>
  <c r="V88" i="24"/>
  <c r="V118" i="24"/>
  <c r="V114" i="24"/>
  <c r="V106" i="24"/>
  <c r="V94" i="24"/>
  <c r="V70" i="24"/>
  <c r="V66" i="24"/>
  <c r="V62" i="24"/>
  <c r="V58" i="24"/>
  <c r="V54" i="24"/>
  <c r="V50" i="24"/>
  <c r="V121" i="24"/>
  <c r="V113" i="24"/>
  <c r="V105" i="24"/>
  <c r="V97" i="24"/>
  <c r="V89" i="24"/>
  <c r="V122" i="24"/>
  <c r="V98" i="24"/>
  <c r="V90" i="24"/>
  <c r="V126" i="24"/>
  <c r="V124" i="24"/>
  <c r="V116" i="24"/>
  <c r="V108" i="24"/>
  <c r="V100" i="24"/>
  <c r="V72" i="24"/>
  <c r="V68" i="24"/>
  <c r="V64" i="24"/>
  <c r="V60" i="24"/>
  <c r="V56" i="24"/>
  <c r="V52" i="24"/>
  <c r="V107" i="24"/>
  <c r="V83" i="24"/>
  <c r="V111" i="24"/>
  <c r="V96" i="24"/>
  <c r="V85" i="24"/>
  <c r="T75" i="24"/>
  <c r="V75" i="24" s="1"/>
  <c r="V55" i="24"/>
  <c r="V51" i="24"/>
  <c r="V103" i="24"/>
  <c r="V80" i="24"/>
  <c r="V59" i="24"/>
  <c r="V63" i="24"/>
  <c r="V123" i="24"/>
  <c r="V120" i="24"/>
  <c r="V95" i="24"/>
  <c r="V67" i="24"/>
  <c r="V84" i="24"/>
  <c r="V119" i="24"/>
  <c r="V81" i="24"/>
  <c r="V127" i="24"/>
  <c r="V115" i="24"/>
  <c r="V109" i="24"/>
  <c r="V71" i="24"/>
  <c r="V79" i="24"/>
  <c r="T27" i="50"/>
  <c r="Z18" i="50"/>
  <c r="H27" i="11"/>
  <c r="N18" i="11"/>
  <c r="D35" i="108"/>
  <c r="L16" i="108"/>
  <c r="J21" i="105"/>
  <c r="H50" i="98"/>
  <c r="N19" i="98"/>
  <c r="H86" i="97"/>
  <c r="N20" i="97"/>
  <c r="J21" i="101"/>
  <c r="D80" i="101"/>
  <c r="L21" i="101"/>
  <c r="N21" i="101" s="1"/>
  <c r="Z21" i="101"/>
  <c r="T80" i="101"/>
  <c r="Z19" i="92"/>
  <c r="T72" i="92"/>
  <c r="V19" i="92"/>
  <c r="X16" i="91"/>
  <c r="P92" i="91"/>
  <c r="N20" i="87"/>
  <c r="H83" i="87"/>
  <c r="L83" i="87" s="1"/>
  <c r="V20" i="93"/>
  <c r="V119" i="84"/>
  <c r="V117" i="84"/>
  <c r="V109" i="84"/>
  <c r="V105" i="84"/>
  <c r="V97" i="84"/>
  <c r="V89" i="84"/>
  <c r="V77" i="84"/>
  <c r="V65" i="84"/>
  <c r="V61" i="84"/>
  <c r="V104" i="84"/>
  <c r="V88" i="84"/>
  <c r="V76" i="84"/>
  <c r="V52" i="84"/>
  <c r="V48" i="84"/>
  <c r="V44" i="84"/>
  <c r="V40" i="84"/>
  <c r="V99" i="84"/>
  <c r="V91" i="84"/>
  <c r="V79" i="84"/>
  <c r="V71" i="84"/>
  <c r="V110" i="84"/>
  <c r="V106" i="84"/>
  <c r="V90" i="84"/>
  <c r="V78" i="84"/>
  <c r="V66" i="84"/>
  <c r="V62" i="84"/>
  <c r="V93" i="84"/>
  <c r="V81" i="84"/>
  <c r="V53" i="84"/>
  <c r="V49" i="84"/>
  <c r="V45" i="84"/>
  <c r="V41" i="84"/>
  <c r="V112" i="84"/>
  <c r="V100" i="84"/>
  <c r="V92" i="84"/>
  <c r="V80" i="84"/>
  <c r="V72" i="84"/>
  <c r="Z12" i="84"/>
  <c r="V123" i="84"/>
  <c r="V111" i="84"/>
  <c r="V107" i="84"/>
  <c r="V95" i="84"/>
  <c r="V83" i="84"/>
  <c r="V67" i="84"/>
  <c r="V63" i="84"/>
  <c r="V114" i="84"/>
  <c r="V102" i="84"/>
  <c r="V94" i="84"/>
  <c r="V82" i="84"/>
  <c r="V54" i="84"/>
  <c r="V50" i="84"/>
  <c r="V46" i="84"/>
  <c r="V42" i="84"/>
  <c r="V113" i="84"/>
  <c r="V101" i="84"/>
  <c r="V85" i="84"/>
  <c r="V73" i="84"/>
  <c r="V69" i="84"/>
  <c r="V116" i="84"/>
  <c r="V108" i="84"/>
  <c r="V96" i="84"/>
  <c r="V84" i="84"/>
  <c r="V68" i="84"/>
  <c r="V64" i="84"/>
  <c r="V60" i="84"/>
  <c r="V115" i="84"/>
  <c r="V103" i="84"/>
  <c r="V87" i="84"/>
  <c r="V75" i="84"/>
  <c r="V59" i="84"/>
  <c r="V55" i="84"/>
  <c r="V51" i="84"/>
  <c r="V47" i="84"/>
  <c r="V43" i="84"/>
  <c r="V98" i="84"/>
  <c r="V86" i="84"/>
  <c r="V74" i="84"/>
  <c r="V70" i="84"/>
  <c r="T57" i="84"/>
  <c r="V57" i="84" s="1"/>
  <c r="R57" i="84"/>
  <c r="V21" i="82"/>
  <c r="J20" i="83"/>
  <c r="V80" i="75"/>
  <c r="V78" i="75"/>
  <c r="V70" i="75"/>
  <c r="V66" i="75"/>
  <c r="V58" i="75"/>
  <c r="V46" i="75"/>
  <c r="V42" i="75"/>
  <c r="V65" i="75"/>
  <c r="V57" i="75"/>
  <c r="V49" i="75"/>
  <c r="V41" i="75"/>
  <c r="V37" i="75"/>
  <c r="V33" i="75"/>
  <c r="V60" i="75"/>
  <c r="V48" i="75"/>
  <c r="V32" i="75"/>
  <c r="V28" i="75"/>
  <c r="V85" i="75"/>
  <c r="V71" i="75"/>
  <c r="V67" i="75"/>
  <c r="V59" i="75"/>
  <c r="V51" i="75"/>
  <c r="V43" i="75"/>
  <c r="T30" i="75"/>
  <c r="V50" i="75"/>
  <c r="V38" i="75"/>
  <c r="V34" i="75"/>
  <c r="V73" i="75"/>
  <c r="V61" i="75"/>
  <c r="V53" i="75"/>
  <c r="V72" i="75"/>
  <c r="V68" i="75"/>
  <c r="V52" i="75"/>
  <c r="V44" i="75"/>
  <c r="Z12" i="75"/>
  <c r="V75" i="75"/>
  <c r="V55" i="75"/>
  <c r="V39" i="75"/>
  <c r="V35" i="75"/>
  <c r="V74" i="75"/>
  <c r="V62" i="75"/>
  <c r="V54" i="75"/>
  <c r="V77" i="75"/>
  <c r="V69" i="75"/>
  <c r="V45" i="75"/>
  <c r="V76" i="75"/>
  <c r="V64" i="75"/>
  <c r="V56" i="75"/>
  <c r="V40" i="75"/>
  <c r="V36" i="75"/>
  <c r="V81" i="75"/>
  <c r="V63" i="75"/>
  <c r="V47" i="75"/>
  <c r="P132" i="74"/>
  <c r="X77" i="74"/>
  <c r="H114" i="68"/>
  <c r="N67" i="68"/>
  <c r="H22" i="54"/>
  <c r="N16" i="54"/>
  <c r="Z16" i="54"/>
  <c r="T22" i="54"/>
  <c r="T67" i="57"/>
  <c r="Z16" i="57"/>
  <c r="J102" i="51"/>
  <c r="J66" i="51"/>
  <c r="J62" i="51"/>
  <c r="J58" i="51"/>
  <c r="J56" i="51"/>
  <c r="J101" i="51"/>
  <c r="J81" i="51"/>
  <c r="J67" i="51"/>
  <c r="H54" i="51"/>
  <c r="J54" i="51" s="1"/>
  <c r="J49" i="51"/>
  <c r="J45" i="51"/>
  <c r="J41" i="51"/>
  <c r="J92" i="51"/>
  <c r="J82" i="51"/>
  <c r="J72" i="51"/>
  <c r="J68" i="51"/>
  <c r="N12" i="51"/>
  <c r="J83" i="51"/>
  <c r="J73" i="51"/>
  <c r="J63" i="51"/>
  <c r="J59" i="51"/>
  <c r="J84" i="51"/>
  <c r="J74" i="51"/>
  <c r="J50" i="51"/>
  <c r="J46" i="51"/>
  <c r="J42" i="51"/>
  <c r="J93" i="51"/>
  <c r="J85" i="51"/>
  <c r="J75" i="51"/>
  <c r="J69" i="51"/>
  <c r="J94" i="51"/>
  <c r="J86" i="51"/>
  <c r="J76" i="51"/>
  <c r="J64" i="51"/>
  <c r="J60" i="51"/>
  <c r="J95" i="51"/>
  <c r="J87" i="51"/>
  <c r="J77" i="51"/>
  <c r="J51" i="51"/>
  <c r="J47" i="51"/>
  <c r="J43" i="51"/>
  <c r="J96" i="51"/>
  <c r="J88" i="51"/>
  <c r="J78" i="51"/>
  <c r="J70" i="51"/>
  <c r="J105" i="51"/>
  <c r="J97" i="51"/>
  <c r="J89" i="51"/>
  <c r="J79" i="51"/>
  <c r="J65" i="51"/>
  <c r="J61" i="51"/>
  <c r="J39" i="51"/>
  <c r="J104" i="51"/>
  <c r="J98" i="51"/>
  <c r="J90" i="51"/>
  <c r="J80" i="51"/>
  <c r="J52" i="51"/>
  <c r="J48" i="51"/>
  <c r="J44" i="51"/>
  <c r="J40" i="51"/>
  <c r="J109" i="51"/>
  <c r="J103" i="51"/>
  <c r="J99" i="51"/>
  <c r="J91" i="51"/>
  <c r="J71" i="51"/>
  <c r="J57" i="51"/>
  <c r="F84" i="45"/>
  <c r="F80" i="45"/>
  <c r="F76" i="45"/>
  <c r="F75" i="45"/>
  <c r="F32" i="45"/>
  <c r="F28" i="45"/>
  <c r="F63" i="45"/>
  <c r="F62" i="45"/>
  <c r="F51" i="45"/>
  <c r="F50" i="45"/>
  <c r="F81" i="45"/>
  <c r="F77" i="45"/>
  <c r="F65" i="45"/>
  <c r="F64" i="45"/>
  <c r="F53" i="45"/>
  <c r="F52" i="45"/>
  <c r="F33" i="45"/>
  <c r="F29" i="45"/>
  <c r="F88" i="45"/>
  <c r="F87" i="45"/>
  <c r="F20" i="45"/>
  <c r="F19" i="45"/>
  <c r="F71" i="45"/>
  <c r="F55" i="45"/>
  <c r="F54" i="45"/>
  <c r="F43" i="45"/>
  <c r="F39" i="45"/>
  <c r="F90" i="45"/>
  <c r="F89" i="45"/>
  <c r="F82" i="45"/>
  <c r="F78" i="45"/>
  <c r="F66" i="45"/>
  <c r="F34" i="45"/>
  <c r="F30" i="45"/>
  <c r="F57" i="45"/>
  <c r="F56" i="45"/>
  <c r="F45" i="45"/>
  <c r="F44" i="45"/>
  <c r="F21" i="45"/>
  <c r="F72" i="45"/>
  <c r="F40" i="45"/>
  <c r="L12" i="45"/>
  <c r="F92" i="45"/>
  <c r="F83" i="45"/>
  <c r="F79" i="45"/>
  <c r="F67" i="45"/>
  <c r="F59" i="45"/>
  <c r="F58" i="45"/>
  <c r="F47" i="45"/>
  <c r="F46" i="45"/>
  <c r="F35" i="45"/>
  <c r="F31" i="45"/>
  <c r="F27" i="45"/>
  <c r="F26" i="45"/>
  <c r="F69" i="45"/>
  <c r="F68" i="45"/>
  <c r="F61" i="45"/>
  <c r="F60" i="45"/>
  <c r="F49" i="45"/>
  <c r="F48" i="45"/>
  <c r="F41" i="45"/>
  <c r="F37" i="45"/>
  <c r="F36" i="45"/>
  <c r="D23" i="45"/>
  <c r="F73" i="45"/>
  <c r="F74" i="45"/>
  <c r="F42" i="45"/>
  <c r="F96" i="45"/>
  <c r="F25" i="45"/>
  <c r="F70" i="45"/>
  <c r="F85" i="45"/>
  <c r="F23" i="45"/>
  <c r="F38" i="45"/>
  <c r="F86" i="45"/>
  <c r="P126" i="42"/>
  <c r="X122" i="42"/>
  <c r="H125" i="36"/>
  <c r="L16" i="9"/>
  <c r="D91" i="9"/>
  <c r="J261" i="12"/>
  <c r="J257" i="12"/>
  <c r="J249" i="12"/>
  <c r="J233" i="12"/>
  <c r="J213" i="12"/>
  <c r="J203" i="12"/>
  <c r="J185" i="12"/>
  <c r="J181" i="12"/>
  <c r="J167" i="12"/>
  <c r="J259" i="12"/>
  <c r="J251" i="12"/>
  <c r="J229" i="12"/>
  <c r="J223" i="12"/>
  <c r="J215" i="12"/>
  <c r="J205" i="12"/>
  <c r="J195" i="12"/>
  <c r="J187" i="12"/>
  <c r="J252" i="12"/>
  <c r="J234" i="12"/>
  <c r="J230" i="12"/>
  <c r="J216" i="12"/>
  <c r="J206" i="12"/>
  <c r="J196" i="12"/>
  <c r="J188" i="12"/>
  <c r="J182" i="12"/>
  <c r="J253" i="12"/>
  <c r="J245" i="12"/>
  <c r="J241" i="12"/>
  <c r="J235" i="12"/>
  <c r="J217" i="12"/>
  <c r="J197" i="12"/>
  <c r="J189" i="12"/>
  <c r="J177" i="12"/>
  <c r="J173" i="12"/>
  <c r="J169" i="12"/>
  <c r="J268" i="12"/>
  <c r="J236" i="12"/>
  <c r="J224" i="12"/>
  <c r="J218" i="12"/>
  <c r="J178" i="12"/>
  <c r="J160" i="12"/>
  <c r="J156" i="12"/>
  <c r="J152" i="12"/>
  <c r="J148" i="12"/>
  <c r="J144" i="12"/>
  <c r="J140" i="12"/>
  <c r="J136" i="12"/>
  <c r="J132" i="12"/>
  <c r="J272" i="12"/>
  <c r="J266" i="12"/>
  <c r="J254" i="12"/>
  <c r="J246" i="12"/>
  <c r="J242" i="12"/>
  <c r="J226" i="12"/>
  <c r="J220" i="12"/>
  <c r="J208" i="12"/>
  <c r="J198" i="12"/>
  <c r="J190" i="12"/>
  <c r="J174" i="12"/>
  <c r="J170" i="12"/>
  <c r="J264" i="12"/>
  <c r="J248" i="12"/>
  <c r="J238" i="12"/>
  <c r="J232" i="12"/>
  <c r="J210" i="12"/>
  <c r="J200" i="12"/>
  <c r="J192" i="12"/>
  <c r="J184" i="12"/>
  <c r="J180" i="12"/>
  <c r="J262" i="12"/>
  <c r="J256" i="12"/>
  <c r="J222" i="12"/>
  <c r="J212" i="12"/>
  <c r="J202" i="12"/>
  <c r="J194" i="12"/>
  <c r="J162" i="12"/>
  <c r="J158" i="12"/>
  <c r="J154" i="12"/>
  <c r="J150" i="12"/>
  <c r="J146" i="12"/>
  <c r="J142" i="12"/>
  <c r="J138" i="12"/>
  <c r="J134" i="12"/>
  <c r="J130" i="12"/>
  <c r="J237" i="12"/>
  <c r="J227" i="12"/>
  <c r="J151" i="12"/>
  <c r="J149" i="12"/>
  <c r="J147" i="12"/>
  <c r="J143" i="12"/>
  <c r="J141" i="12"/>
  <c r="J168" i="12"/>
  <c r="J139" i="12"/>
  <c r="J137" i="12"/>
  <c r="J110" i="12"/>
  <c r="J211" i="12"/>
  <c r="J172" i="12"/>
  <c r="J166" i="12"/>
  <c r="J127" i="12"/>
  <c r="J123" i="12"/>
  <c r="J119" i="12"/>
  <c r="J115" i="12"/>
  <c r="J111" i="12"/>
  <c r="J265" i="12"/>
  <c r="J244" i="12"/>
  <c r="J214" i="12"/>
  <c r="J209" i="12"/>
  <c r="J207" i="12"/>
  <c r="J176" i="12"/>
  <c r="J135" i="12"/>
  <c r="J260" i="12"/>
  <c r="J240" i="12"/>
  <c r="J201" i="12"/>
  <c r="J186" i="12"/>
  <c r="J133" i="12"/>
  <c r="J228" i="12"/>
  <c r="J128" i="12"/>
  <c r="J124" i="12"/>
  <c r="J120" i="12"/>
  <c r="J116" i="12"/>
  <c r="J112" i="12"/>
  <c r="J255" i="12"/>
  <c r="J199" i="12"/>
  <c r="J193" i="12"/>
  <c r="J221" i="12"/>
  <c r="J219" i="12"/>
  <c r="J171" i="12"/>
  <c r="H164" i="12"/>
  <c r="J164" i="12" s="1"/>
  <c r="J161" i="12"/>
  <c r="J129" i="12"/>
  <c r="N12" i="12"/>
  <c r="J267" i="12"/>
  <c r="J250" i="12"/>
  <c r="J239" i="12"/>
  <c r="J225" i="12"/>
  <c r="J183" i="12"/>
  <c r="J159" i="12"/>
  <c r="J157" i="12"/>
  <c r="J155" i="12"/>
  <c r="J145" i="12"/>
  <c r="J126" i="12"/>
  <c r="J122" i="12"/>
  <c r="J118" i="12"/>
  <c r="J114" i="12"/>
  <c r="J175" i="12"/>
  <c r="J263" i="12"/>
  <c r="J191" i="12"/>
  <c r="J231" i="12"/>
  <c r="J125" i="12"/>
  <c r="J179" i="12"/>
  <c r="J243" i="12"/>
  <c r="J153" i="12"/>
  <c r="J131" i="12"/>
  <c r="J247" i="12"/>
  <c r="J113" i="12"/>
  <c r="J204" i="12"/>
  <c r="J117" i="12"/>
  <c r="J121" i="12"/>
  <c r="L18" i="111"/>
  <c r="D27" i="111"/>
  <c r="T27" i="112"/>
  <c r="Z18" i="112"/>
  <c r="X18" i="47"/>
  <c r="P27" i="47"/>
  <c r="X18" i="46"/>
  <c r="P27" i="46"/>
  <c r="L18" i="38"/>
  <c r="D27" i="38"/>
  <c r="T27" i="22"/>
  <c r="Z18" i="22"/>
  <c r="L18" i="20"/>
  <c r="D27" i="20"/>
  <c r="T27" i="19"/>
  <c r="Z18" i="19"/>
  <c r="L18" i="11"/>
  <c r="D27" i="11"/>
  <c r="P67" i="109"/>
  <c r="X17" i="109"/>
  <c r="Z17" i="109" s="1"/>
  <c r="H27" i="34"/>
  <c r="N18" i="34"/>
  <c r="T39" i="108"/>
  <c r="Z35" i="108"/>
  <c r="H83" i="107"/>
  <c r="L83" i="107" s="1"/>
  <c r="N21" i="107"/>
  <c r="D87" i="107"/>
  <c r="T61" i="100"/>
  <c r="D76" i="94"/>
  <c r="L20" i="94"/>
  <c r="N20" i="94" s="1"/>
  <c r="D92" i="91"/>
  <c r="L16" i="91"/>
  <c r="H68" i="93"/>
  <c r="N20" i="93"/>
  <c r="P83" i="87"/>
  <c r="X20" i="87"/>
  <c r="Z20" i="87" s="1"/>
  <c r="L57" i="84"/>
  <c r="D121" i="84"/>
  <c r="D68" i="79"/>
  <c r="L20" i="79"/>
  <c r="T80" i="83"/>
  <c r="Z20" i="83"/>
  <c r="R65" i="78"/>
  <c r="R48" i="78"/>
  <c r="R47" i="78"/>
  <c r="R19" i="78"/>
  <c r="R70" i="78"/>
  <c r="R39" i="78"/>
  <c r="R38" i="78"/>
  <c r="R50" i="78"/>
  <c r="R49" i="78"/>
  <c r="R33" i="78"/>
  <c r="R29" i="78"/>
  <c r="R41" i="78"/>
  <c r="R40" i="78"/>
  <c r="R20" i="78"/>
  <c r="R51" i="78"/>
  <c r="R43" i="78"/>
  <c r="R42" i="78"/>
  <c r="R35" i="78"/>
  <c r="R34" i="78"/>
  <c r="R30" i="78"/>
  <c r="R21" i="78"/>
  <c r="R61" i="78"/>
  <c r="R60" i="78"/>
  <c r="R59" i="78"/>
  <c r="R53" i="78"/>
  <c r="R52" i="78"/>
  <c r="R44" i="78"/>
  <c r="R36" i="78"/>
  <c r="R17" i="78"/>
  <c r="X12" i="78"/>
  <c r="Z12" i="78" s="1"/>
  <c r="R67" i="78"/>
  <c r="R58" i="78"/>
  <c r="R31" i="78"/>
  <c r="R57" i="78"/>
  <c r="R54" i="78"/>
  <c r="R27" i="78"/>
  <c r="R22" i="78"/>
  <c r="R18" i="78"/>
  <c r="R63" i="78"/>
  <c r="R56" i="78"/>
  <c r="R46" i="78"/>
  <c r="R45" i="78"/>
  <c r="R37" i="78"/>
  <c r="R26" i="78"/>
  <c r="R24" i="78"/>
  <c r="R32" i="78"/>
  <c r="R28" i="78"/>
  <c r="P24" i="78"/>
  <c r="P27" i="82"/>
  <c r="X21" i="82"/>
  <c r="N24" i="78"/>
  <c r="H63" i="78"/>
  <c r="L101" i="76"/>
  <c r="N101" i="76" s="1"/>
  <c r="R115" i="70"/>
  <c r="F62" i="72"/>
  <c r="F38" i="72"/>
  <c r="D24" i="72"/>
  <c r="F69" i="72"/>
  <c r="F68" i="72"/>
  <c r="F45" i="72"/>
  <c r="F44" i="72"/>
  <c r="F33" i="72"/>
  <c r="F29" i="72"/>
  <c r="F56" i="72"/>
  <c r="F63" i="72"/>
  <c r="F47" i="72"/>
  <c r="F46" i="72"/>
  <c r="F39" i="72"/>
  <c r="F73" i="72"/>
  <c r="F71" i="72"/>
  <c r="F34" i="72"/>
  <c r="F30" i="72"/>
  <c r="F75" i="72"/>
  <c r="F57" i="72"/>
  <c r="F49" i="72"/>
  <c r="F48" i="72"/>
  <c r="F21" i="72"/>
  <c r="F20" i="72"/>
  <c r="F64" i="72"/>
  <c r="F40" i="72"/>
  <c r="L12" i="72"/>
  <c r="N12" i="72" s="1"/>
  <c r="F59" i="72"/>
  <c r="F58" i="72"/>
  <c r="F51" i="72"/>
  <c r="F50" i="72"/>
  <c r="F35" i="72"/>
  <c r="F31" i="72"/>
  <c r="F65" i="72"/>
  <c r="F61" i="72"/>
  <c r="F60" i="72"/>
  <c r="F53" i="72"/>
  <c r="F52" i="72"/>
  <c r="F41" i="72"/>
  <c r="F37" i="72"/>
  <c r="F36" i="72"/>
  <c r="F32" i="72"/>
  <c r="F28" i="72"/>
  <c r="F27" i="72"/>
  <c r="F67" i="72"/>
  <c r="F66" i="72"/>
  <c r="F55" i="72"/>
  <c r="F54" i="72"/>
  <c r="F43" i="72"/>
  <c r="F42" i="72"/>
  <c r="F26" i="72"/>
  <c r="F24" i="72"/>
  <c r="F22" i="72"/>
  <c r="F80" i="72"/>
  <c r="F77" i="72"/>
  <c r="V60" i="70"/>
  <c r="T58" i="67"/>
  <c r="Z16" i="67"/>
  <c r="J60" i="70"/>
  <c r="N16" i="60"/>
  <c r="H50" i="60"/>
  <c r="Z16" i="58"/>
  <c r="T72" i="58"/>
  <c r="N16" i="56"/>
  <c r="H70" i="56"/>
  <c r="L16" i="57"/>
  <c r="D67" i="57"/>
  <c r="T70" i="56"/>
  <c r="Z16" i="56"/>
  <c r="P54" i="60"/>
  <c r="X50" i="60"/>
  <c r="Z50" i="60" s="1"/>
  <c r="J85" i="45"/>
  <c r="J63" i="45"/>
  <c r="J51" i="45"/>
  <c r="J86" i="45"/>
  <c r="J70" i="45"/>
  <c r="J64" i="45"/>
  <c r="J52" i="45"/>
  <c r="J42" i="45"/>
  <c r="J38" i="45"/>
  <c r="J88" i="45"/>
  <c r="J54" i="45"/>
  <c r="J20" i="45"/>
  <c r="J89" i="45"/>
  <c r="J71" i="45"/>
  <c r="J55" i="45"/>
  <c r="J43" i="45"/>
  <c r="J39" i="45"/>
  <c r="J90" i="45"/>
  <c r="J82" i="45"/>
  <c r="J78" i="45"/>
  <c r="J66" i="45"/>
  <c r="J56" i="45"/>
  <c r="J44" i="45"/>
  <c r="J34" i="45"/>
  <c r="J30" i="45"/>
  <c r="J57" i="45"/>
  <c r="J45" i="45"/>
  <c r="J21" i="45"/>
  <c r="J92" i="45"/>
  <c r="J72" i="45"/>
  <c r="J58" i="45"/>
  <c r="J46" i="45"/>
  <c r="J40" i="45"/>
  <c r="J26" i="45"/>
  <c r="N12" i="45"/>
  <c r="J83" i="45"/>
  <c r="J79" i="45"/>
  <c r="J73" i="45"/>
  <c r="J67" i="45"/>
  <c r="J59" i="45"/>
  <c r="J47" i="45"/>
  <c r="J35" i="45"/>
  <c r="J31" i="45"/>
  <c r="J27" i="45"/>
  <c r="J25" i="45"/>
  <c r="J23" i="45"/>
  <c r="J96" i="45"/>
  <c r="J74" i="45"/>
  <c r="J68" i="45"/>
  <c r="J60" i="45"/>
  <c r="J48" i="45"/>
  <c r="J36" i="45"/>
  <c r="H23" i="45"/>
  <c r="J84" i="45"/>
  <c r="J80" i="45"/>
  <c r="J76" i="45"/>
  <c r="J62" i="45"/>
  <c r="J50" i="45"/>
  <c r="J32" i="45"/>
  <c r="J28" i="45"/>
  <c r="J49" i="45"/>
  <c r="J33" i="45"/>
  <c r="J81" i="45"/>
  <c r="J53" i="45"/>
  <c r="J37" i="45"/>
  <c r="J87" i="45"/>
  <c r="J75" i="45"/>
  <c r="J61" i="45"/>
  <c r="J19" i="45"/>
  <c r="J41" i="45"/>
  <c r="J29" i="45"/>
  <c r="J77" i="45"/>
  <c r="J65" i="45"/>
  <c r="J69" i="45"/>
  <c r="T107" i="51"/>
  <c r="V164" i="30"/>
  <c r="V150" i="30"/>
  <c r="V138" i="30"/>
  <c r="V130" i="30"/>
  <c r="V122" i="30"/>
  <c r="V102" i="30"/>
  <c r="V98" i="30"/>
  <c r="T85" i="30"/>
  <c r="V149" i="30"/>
  <c r="V137" i="30"/>
  <c r="V121" i="30"/>
  <c r="V113" i="30"/>
  <c r="V93" i="30"/>
  <c r="V89" i="30"/>
  <c r="V152" i="30"/>
  <c r="V144" i="30"/>
  <c r="V132" i="30"/>
  <c r="V124" i="30"/>
  <c r="V112" i="30"/>
  <c r="V104" i="30"/>
  <c r="V80" i="30"/>
  <c r="V76" i="30"/>
  <c r="V72" i="30"/>
  <c r="V68" i="30"/>
  <c r="V64" i="30"/>
  <c r="V60" i="30"/>
  <c r="V56" i="30"/>
  <c r="V151" i="30"/>
  <c r="V139" i="30"/>
  <c r="V123" i="30"/>
  <c r="V115" i="30"/>
  <c r="V103" i="30"/>
  <c r="V99" i="30"/>
  <c r="V134" i="30"/>
  <c r="V126" i="30"/>
  <c r="V114" i="30"/>
  <c r="V106" i="30"/>
  <c r="V94" i="30"/>
  <c r="V90" i="30"/>
  <c r="V153" i="30"/>
  <c r="V145" i="30"/>
  <c r="V141" i="30"/>
  <c r="V133" i="30"/>
  <c r="V125" i="30"/>
  <c r="V105" i="30"/>
  <c r="V81" i="30"/>
  <c r="V77" i="30"/>
  <c r="V73" i="30"/>
  <c r="V69" i="30"/>
  <c r="V65" i="30"/>
  <c r="V61" i="30"/>
  <c r="V57" i="30"/>
  <c r="V140" i="30"/>
  <c r="V128" i="30"/>
  <c r="V116" i="30"/>
  <c r="V108" i="30"/>
  <c r="V100" i="30"/>
  <c r="Z12" i="30"/>
  <c r="V155" i="30"/>
  <c r="V135" i="30"/>
  <c r="V127" i="30"/>
  <c r="V107" i="30"/>
  <c r="V95" i="30"/>
  <c r="V91" i="30"/>
  <c r="V160" i="30"/>
  <c r="V154" i="30"/>
  <c r="V146" i="30"/>
  <c r="V142" i="30"/>
  <c r="V118" i="30"/>
  <c r="V110" i="30"/>
  <c r="V82" i="30"/>
  <c r="V78" i="30"/>
  <c r="V74" i="30"/>
  <c r="V70" i="30"/>
  <c r="V66" i="30"/>
  <c r="V62" i="30"/>
  <c r="V58" i="30"/>
  <c r="V147" i="30"/>
  <c r="V143" i="30"/>
  <c r="V131" i="30"/>
  <c r="V119" i="30"/>
  <c r="V111" i="30"/>
  <c r="V87" i="30"/>
  <c r="V83" i="30"/>
  <c r="V79" i="30"/>
  <c r="V75" i="30"/>
  <c r="V71" i="30"/>
  <c r="V67" i="30"/>
  <c r="V63" i="30"/>
  <c r="V59" i="30"/>
  <c r="V129" i="30"/>
  <c r="V117" i="30"/>
  <c r="V159" i="30"/>
  <c r="V101" i="30"/>
  <c r="V156" i="30"/>
  <c r="V96" i="30"/>
  <c r="V88" i="30"/>
  <c r="V120" i="30"/>
  <c r="V109" i="30"/>
  <c r="V136" i="30"/>
  <c r="V148" i="30"/>
  <c r="V158" i="30"/>
  <c r="V92" i="30"/>
  <c r="V97" i="30"/>
  <c r="L90" i="33"/>
  <c r="N90" i="33" s="1"/>
  <c r="R127" i="24"/>
  <c r="R124" i="24"/>
  <c r="R116" i="24"/>
  <c r="R109" i="24"/>
  <c r="R108" i="24"/>
  <c r="R72" i="24"/>
  <c r="R68" i="24"/>
  <c r="R64" i="24"/>
  <c r="R60" i="24"/>
  <c r="R56" i="24"/>
  <c r="R52" i="24"/>
  <c r="R126" i="24"/>
  <c r="R100" i="24"/>
  <c r="R99" i="24"/>
  <c r="R91" i="24"/>
  <c r="R110" i="24"/>
  <c r="R87" i="24"/>
  <c r="R86" i="24"/>
  <c r="R82" i="24"/>
  <c r="R131" i="24"/>
  <c r="R117" i="24"/>
  <c r="R102" i="24"/>
  <c r="R101" i="24"/>
  <c r="R78" i="24"/>
  <c r="R112" i="24"/>
  <c r="R111" i="24"/>
  <c r="R104" i="24"/>
  <c r="R103" i="24"/>
  <c r="R83" i="24"/>
  <c r="R79" i="24"/>
  <c r="P75" i="24"/>
  <c r="R119" i="24"/>
  <c r="R118" i="24"/>
  <c r="R95" i="24"/>
  <c r="R94" i="24"/>
  <c r="R70" i="24"/>
  <c r="R66" i="24"/>
  <c r="R62" i="24"/>
  <c r="R58" i="24"/>
  <c r="R54" i="24"/>
  <c r="R115" i="24"/>
  <c r="R107" i="24"/>
  <c r="R71" i="24"/>
  <c r="R67" i="24"/>
  <c r="R63" i="24"/>
  <c r="R59" i="24"/>
  <c r="R55" i="24"/>
  <c r="R51" i="24"/>
  <c r="R85" i="24"/>
  <c r="R81" i="24"/>
  <c r="R98" i="24"/>
  <c r="R89" i="24"/>
  <c r="X12" i="24"/>
  <c r="Z12" i="24" s="1"/>
  <c r="R113" i="24"/>
  <c r="R53" i="24"/>
  <c r="R105" i="24"/>
  <c r="R96" i="24"/>
  <c r="R75" i="24"/>
  <c r="R57" i="24"/>
  <c r="R122" i="24"/>
  <c r="R80" i="24"/>
  <c r="R61" i="24"/>
  <c r="R114" i="24"/>
  <c r="R92" i="24"/>
  <c r="R65" i="24"/>
  <c r="R106" i="24"/>
  <c r="R97" i="24"/>
  <c r="R90" i="24"/>
  <c r="R88" i="24"/>
  <c r="R120" i="24"/>
  <c r="R77" i="24"/>
  <c r="R69" i="24"/>
  <c r="R50" i="24"/>
  <c r="R121" i="24"/>
  <c r="R93" i="24"/>
  <c r="R123" i="24"/>
  <c r="R73" i="24"/>
  <c r="R84" i="24"/>
  <c r="Z16" i="6"/>
  <c r="T22" i="6"/>
  <c r="Z296" i="3"/>
  <c r="V280" i="18"/>
  <c r="V270" i="18"/>
  <c r="V262" i="18"/>
  <c r="V258" i="18"/>
  <c r="V246" i="18"/>
  <c r="V234" i="18"/>
  <c r="V222" i="18"/>
  <c r="V214" i="18"/>
  <c r="V206" i="18"/>
  <c r="V186" i="18"/>
  <c r="V182" i="18"/>
  <c r="V178" i="18"/>
  <c r="V174" i="18"/>
  <c r="V170" i="18"/>
  <c r="V166" i="18"/>
  <c r="V162" i="18"/>
  <c r="V158" i="18"/>
  <c r="V278" i="18"/>
  <c r="V272" i="18"/>
  <c r="V264" i="18"/>
  <c r="V248" i="18"/>
  <c r="V236" i="18"/>
  <c r="V224" i="18"/>
  <c r="V216" i="18"/>
  <c r="V208" i="18"/>
  <c r="V196" i="18"/>
  <c r="V192" i="18"/>
  <c r="V188" i="18"/>
  <c r="V277" i="18"/>
  <c r="V271" i="18"/>
  <c r="V259" i="18"/>
  <c r="V255" i="18"/>
  <c r="V243" i="18"/>
  <c r="V235" i="18"/>
  <c r="V215" i="18"/>
  <c r="V207" i="18"/>
  <c r="V179" i="18"/>
  <c r="V276" i="18"/>
  <c r="V266" i="18"/>
  <c r="V254" i="18"/>
  <c r="V242" i="18"/>
  <c r="V238" i="18"/>
  <c r="V226" i="18"/>
  <c r="V202" i="18"/>
  <c r="V198" i="18"/>
  <c r="V287" i="18"/>
  <c r="V275" i="18"/>
  <c r="V273" i="18"/>
  <c r="V265" i="18"/>
  <c r="V249" i="18"/>
  <c r="V237" i="18"/>
  <c r="V217" i="18"/>
  <c r="V209" i="18"/>
  <c r="V197" i="18"/>
  <c r="V193" i="18"/>
  <c r="V189" i="18"/>
  <c r="V286" i="18"/>
  <c r="V268" i="18"/>
  <c r="V260" i="18"/>
  <c r="V256" i="18"/>
  <c r="V244" i="18"/>
  <c r="V228" i="18"/>
  <c r="V180" i="18"/>
  <c r="V176" i="18"/>
  <c r="V172" i="18"/>
  <c r="V168" i="18"/>
  <c r="V164" i="18"/>
  <c r="V285" i="18"/>
  <c r="V267" i="18"/>
  <c r="V239" i="18"/>
  <c r="V227" i="18"/>
  <c r="V219" i="18"/>
  <c r="V211" i="18"/>
  <c r="V203" i="18"/>
  <c r="V199" i="18"/>
  <c r="V291" i="18"/>
  <c r="V283" i="18"/>
  <c r="V269" i="18"/>
  <c r="V261" i="18"/>
  <c r="V257" i="18"/>
  <c r="V245" i="18"/>
  <c r="V229" i="18"/>
  <c r="V221" i="18"/>
  <c r="V213" i="18"/>
  <c r="V181" i="18"/>
  <c r="V282" i="18"/>
  <c r="V252" i="18"/>
  <c r="V240" i="18"/>
  <c r="V232" i="18"/>
  <c r="V220" i="18"/>
  <c r="V212" i="18"/>
  <c r="V281" i="18"/>
  <c r="V263" i="18"/>
  <c r="V251" i="18"/>
  <c r="V247" i="18"/>
  <c r="V231" i="18"/>
  <c r="V223" i="18"/>
  <c r="V195" i="18"/>
  <c r="V191" i="18"/>
  <c r="V187" i="18"/>
  <c r="V241" i="18"/>
  <c r="V210" i="18"/>
  <c r="V204" i="18"/>
  <c r="V173" i="18"/>
  <c r="Z12" i="18"/>
  <c r="V201" i="18"/>
  <c r="V171" i="18"/>
  <c r="V169" i="18"/>
  <c r="V160" i="18"/>
  <c r="V155" i="18"/>
  <c r="V150" i="18"/>
  <c r="V146" i="18"/>
  <c r="V142" i="18"/>
  <c r="V138" i="18"/>
  <c r="V134" i="18"/>
  <c r="V130" i="18"/>
  <c r="V126" i="18"/>
  <c r="V279" i="18"/>
  <c r="V218" i="18"/>
  <c r="V167" i="18"/>
  <c r="V284" i="18"/>
  <c r="V233" i="18"/>
  <c r="V153" i="18"/>
  <c r="V147" i="18"/>
  <c r="V143" i="18"/>
  <c r="V139" i="18"/>
  <c r="V135" i="18"/>
  <c r="V131" i="18"/>
  <c r="V127" i="18"/>
  <c r="V230" i="18"/>
  <c r="V190" i="18"/>
  <c r="V165" i="18"/>
  <c r="V156" i="18"/>
  <c r="V205" i="18"/>
  <c r="V200" i="18"/>
  <c r="V151" i="18"/>
  <c r="V253" i="18"/>
  <c r="V250" i="18"/>
  <c r="V157" i="18"/>
  <c r="V152" i="18"/>
  <c r="V149" i="18"/>
  <c r="V145" i="18"/>
  <c r="V141" i="18"/>
  <c r="V137" i="18"/>
  <c r="V133" i="18"/>
  <c r="V129" i="18"/>
  <c r="V125" i="18"/>
  <c r="T184" i="18"/>
  <c r="V184" i="18" s="1"/>
  <c r="V175" i="18"/>
  <c r="V144" i="18"/>
  <c r="V136" i="18"/>
  <c r="V128" i="18"/>
  <c r="V177" i="18"/>
  <c r="V159" i="18"/>
  <c r="V154" i="18"/>
  <c r="V225" i="18"/>
  <c r="V132" i="18"/>
  <c r="V140" i="18"/>
  <c r="V194" i="18"/>
  <c r="V148" i="18"/>
  <c r="V161" i="18"/>
  <c r="V163" i="18"/>
  <c r="L196" i="3"/>
  <c r="N196" i="3" s="1"/>
  <c r="D311" i="3"/>
  <c r="L296" i="3"/>
  <c r="P311" i="3"/>
  <c r="X196" i="3"/>
  <c r="X18" i="110"/>
  <c r="P27" i="110"/>
  <c r="X18" i="52"/>
  <c r="P27" i="52"/>
  <c r="D27" i="50"/>
  <c r="L18" i="50"/>
  <c r="Z18" i="49"/>
  <c r="T27" i="49"/>
  <c r="N18" i="49"/>
  <c r="H27" i="49"/>
  <c r="L18" i="35"/>
  <c r="D27" i="35"/>
  <c r="T27" i="28"/>
  <c r="Z18" i="28"/>
  <c r="X18" i="23"/>
  <c r="P27" i="23"/>
  <c r="H27" i="25"/>
  <c r="N18" i="25"/>
  <c r="X18" i="16"/>
  <c r="P27" i="16"/>
  <c r="T27" i="14"/>
  <c r="Z18" i="14"/>
  <c r="T27" i="13"/>
  <c r="Z18" i="13"/>
  <c r="L18" i="8"/>
  <c r="D27" i="8"/>
  <c r="D27" i="4"/>
  <c r="L18" i="4"/>
  <c r="L16" i="102"/>
  <c r="D46" i="102"/>
  <c r="T89" i="105"/>
  <c r="D85" i="103"/>
  <c r="L21" i="103"/>
  <c r="D61" i="100"/>
  <c r="L19" i="100"/>
  <c r="N19" i="100" s="1"/>
  <c r="H50" i="99"/>
  <c r="Z87" i="95"/>
  <c r="V67" i="97"/>
  <c r="V51" i="97"/>
  <c r="V43" i="97"/>
  <c r="V35" i="97"/>
  <c r="V78" i="97"/>
  <c r="V66" i="97"/>
  <c r="V54" i="97"/>
  <c r="V42" i="97"/>
  <c r="V30" i="97"/>
  <c r="V26" i="97"/>
  <c r="V77" i="97"/>
  <c r="V73" i="97"/>
  <c r="V61" i="97"/>
  <c r="V53" i="97"/>
  <c r="V45" i="97"/>
  <c r="V17" i="97"/>
  <c r="V80" i="97"/>
  <c r="V68" i="97"/>
  <c r="V56" i="97"/>
  <c r="V44" i="97"/>
  <c r="V36" i="97"/>
  <c r="V32" i="97"/>
  <c r="V88" i="97"/>
  <c r="V79" i="97"/>
  <c r="V63" i="97"/>
  <c r="V55" i="97"/>
  <c r="V31" i="97"/>
  <c r="V27" i="97"/>
  <c r="V23" i="97"/>
  <c r="V84" i="97"/>
  <c r="V74" i="97"/>
  <c r="V70" i="97"/>
  <c r="V62" i="97"/>
  <c r="V46" i="97"/>
  <c r="V22" i="97"/>
  <c r="V20" i="97"/>
  <c r="V18" i="97"/>
  <c r="V83" i="97"/>
  <c r="V81" i="97"/>
  <c r="V69" i="97"/>
  <c r="V57" i="97"/>
  <c r="V37" i="97"/>
  <c r="V33" i="97"/>
  <c r="T20" i="97"/>
  <c r="V64" i="97"/>
  <c r="V48" i="97"/>
  <c r="V28" i="97"/>
  <c r="V24" i="97"/>
  <c r="V58" i="97"/>
  <c r="V50" i="97"/>
  <c r="V38" i="97"/>
  <c r="V34" i="97"/>
  <c r="V65" i="97"/>
  <c r="V49" i="97"/>
  <c r="V41" i="97"/>
  <c r="V29" i="97"/>
  <c r="V25" i="97"/>
  <c r="V76" i="97"/>
  <c r="V72" i="97"/>
  <c r="V60" i="97"/>
  <c r="V52" i="97"/>
  <c r="V40" i="97"/>
  <c r="V16" i="97"/>
  <c r="V71" i="97"/>
  <c r="V39" i="97"/>
  <c r="V59" i="97"/>
  <c r="V75" i="97"/>
  <c r="V47" i="97"/>
  <c r="X12" i="97"/>
  <c r="Z12" i="97" s="1"/>
  <c r="N65" i="93"/>
  <c r="X19" i="100"/>
  <c r="Z19" i="100" s="1"/>
  <c r="P61" i="100"/>
  <c r="Z20" i="94"/>
  <c r="T76" i="94"/>
  <c r="T96" i="91"/>
  <c r="T90" i="95"/>
  <c r="Z20" i="95"/>
  <c r="N56" i="78"/>
  <c r="T63" i="78"/>
  <c r="T68" i="79"/>
  <c r="Z20" i="79"/>
  <c r="T132" i="74"/>
  <c r="Z77" i="74"/>
  <c r="X24" i="72"/>
  <c r="Z24" i="72" s="1"/>
  <c r="P73" i="72"/>
  <c r="X12" i="73"/>
  <c r="Z12" i="73" s="1"/>
  <c r="V115" i="70"/>
  <c r="H49" i="61"/>
  <c r="N16" i="61"/>
  <c r="Z96" i="63"/>
  <c r="Z101" i="51"/>
  <c r="L16" i="55"/>
  <c r="D33" i="55"/>
  <c r="F41" i="48"/>
  <c r="F40" i="48"/>
  <c r="F33" i="48"/>
  <c r="F52" i="48"/>
  <c r="F51" i="48"/>
  <c r="F28" i="48"/>
  <c r="F24" i="48"/>
  <c r="F59" i="48"/>
  <c r="F43" i="48"/>
  <c r="F42" i="48"/>
  <c r="F34" i="48"/>
  <c r="F53" i="48"/>
  <c r="F29" i="48"/>
  <c r="F25" i="48"/>
  <c r="F21" i="48"/>
  <c r="F20" i="48"/>
  <c r="F60" i="48"/>
  <c r="F44" i="48"/>
  <c r="F19" i="48"/>
  <c r="F17" i="48"/>
  <c r="F15" i="48"/>
  <c r="F35" i="48"/>
  <c r="F31" i="48"/>
  <c r="F30" i="48"/>
  <c r="D17" i="48"/>
  <c r="F62" i="48"/>
  <c r="F61" i="48"/>
  <c r="F54" i="48"/>
  <c r="F46" i="48"/>
  <c r="F45" i="48"/>
  <c r="F26" i="48"/>
  <c r="F22" i="48"/>
  <c r="F37" i="48"/>
  <c r="F36" i="48"/>
  <c r="F65" i="48"/>
  <c r="F56" i="48"/>
  <c r="F55" i="48"/>
  <c r="F48" i="48"/>
  <c r="F47" i="48"/>
  <c r="F32" i="48"/>
  <c r="L12" i="48"/>
  <c r="N12" i="48" s="1"/>
  <c r="F58" i="48"/>
  <c r="F57" i="48"/>
  <c r="F50" i="48"/>
  <c r="F49" i="48"/>
  <c r="F38" i="48"/>
  <c r="F23" i="48"/>
  <c r="F39" i="48"/>
  <c r="F64" i="48"/>
  <c r="F27" i="48"/>
  <c r="F69" i="48"/>
  <c r="L34" i="39"/>
  <c r="D130" i="39"/>
  <c r="T125" i="36"/>
  <c r="V28" i="36"/>
  <c r="F120" i="36"/>
  <c r="R79" i="21"/>
  <c r="R98" i="21"/>
  <c r="R90" i="21"/>
  <c r="R86" i="21"/>
  <c r="R63" i="21"/>
  <c r="R62" i="21"/>
  <c r="R100" i="21"/>
  <c r="R73" i="21"/>
  <c r="R104" i="21"/>
  <c r="R75" i="21"/>
  <c r="R74" i="21"/>
  <c r="R67" i="21"/>
  <c r="R66" i="21"/>
  <c r="R55" i="21"/>
  <c r="R54" i="21"/>
  <c r="R95" i="21"/>
  <c r="R94" i="21"/>
  <c r="R78" i="21"/>
  <c r="R71" i="21"/>
  <c r="R70" i="21"/>
  <c r="R59" i="21"/>
  <c r="R58" i="21"/>
  <c r="R97" i="21"/>
  <c r="R96" i="21"/>
  <c r="R65" i="21"/>
  <c r="R46" i="21"/>
  <c r="R45" i="21"/>
  <c r="R41" i="21"/>
  <c r="R82" i="21"/>
  <c r="R77" i="21"/>
  <c r="R68" i="21"/>
  <c r="R91" i="21"/>
  <c r="R56" i="21"/>
  <c r="R48" i="21"/>
  <c r="R47" i="21"/>
  <c r="R89" i="21"/>
  <c r="R69" i="21"/>
  <c r="R42" i="21"/>
  <c r="R23" i="21"/>
  <c r="R87" i="21"/>
  <c r="R80" i="21"/>
  <c r="R72" i="21"/>
  <c r="R57" i="21"/>
  <c r="R49" i="21"/>
  <c r="R37" i="21"/>
  <c r="R33" i="21"/>
  <c r="R85" i="21"/>
  <c r="R60" i="21"/>
  <c r="R50" i="21"/>
  <c r="R24" i="21"/>
  <c r="R43" i="21"/>
  <c r="R92" i="21"/>
  <c r="R83" i="21"/>
  <c r="R39" i="21"/>
  <c r="R38" i="21"/>
  <c r="R34" i="21"/>
  <c r="R88" i="21"/>
  <c r="R52" i="21"/>
  <c r="R44" i="21"/>
  <c r="R40" i="21"/>
  <c r="R29" i="21"/>
  <c r="R27" i="21"/>
  <c r="X12" i="21"/>
  <c r="Z12" i="21" s="1"/>
  <c r="R81" i="21"/>
  <c r="R76" i="21"/>
  <c r="R35" i="21"/>
  <c r="R31" i="21"/>
  <c r="P27" i="21"/>
  <c r="R93" i="21"/>
  <c r="R84" i="21"/>
  <c r="R64" i="21"/>
  <c r="R51" i="21"/>
  <c r="R53" i="21"/>
  <c r="R61" i="21"/>
  <c r="R30" i="21"/>
  <c r="R32" i="21"/>
  <c r="R36" i="21"/>
  <c r="R25" i="21"/>
  <c r="H289" i="18"/>
  <c r="Z250" i="15"/>
  <c r="R258" i="15"/>
  <c r="R215" i="15"/>
  <c r="R196" i="15"/>
  <c r="R195" i="15"/>
  <c r="R188" i="15"/>
  <c r="R187" i="15"/>
  <c r="R179" i="15"/>
  <c r="R175" i="15"/>
  <c r="R257" i="15"/>
  <c r="R227" i="15"/>
  <c r="R226" i="15"/>
  <c r="R207" i="15"/>
  <c r="R206" i="15"/>
  <c r="R170" i="15"/>
  <c r="R166" i="15"/>
  <c r="R263" i="15"/>
  <c r="R256" i="15"/>
  <c r="R245" i="15"/>
  <c r="R238" i="15"/>
  <c r="R237" i="15"/>
  <c r="R233" i="15"/>
  <c r="R222" i="15"/>
  <c r="R221" i="15"/>
  <c r="R198" i="15"/>
  <c r="R197" i="15"/>
  <c r="R189" i="15"/>
  <c r="R162" i="15"/>
  <c r="R157" i="15"/>
  <c r="R153" i="15"/>
  <c r="R149" i="15"/>
  <c r="R145" i="15"/>
  <c r="R141" i="15"/>
  <c r="R137" i="15"/>
  <c r="R133" i="15"/>
  <c r="R129" i="15"/>
  <c r="R125" i="15"/>
  <c r="R121" i="15"/>
  <c r="R117" i="15"/>
  <c r="R113" i="15"/>
  <c r="R109" i="15"/>
  <c r="R255" i="15"/>
  <c r="R228" i="15"/>
  <c r="R216" i="15"/>
  <c r="R209" i="15"/>
  <c r="R208" i="15"/>
  <c r="R181" i="15"/>
  <c r="R180" i="15"/>
  <c r="R176" i="15"/>
  <c r="R161" i="15"/>
  <c r="R159" i="15"/>
  <c r="X12" i="15"/>
  <c r="Z12" i="15" s="1"/>
  <c r="R254" i="15"/>
  <c r="R239" i="15"/>
  <c r="R223" i="15"/>
  <c r="R200" i="15"/>
  <c r="R199" i="15"/>
  <c r="R171" i="15"/>
  <c r="R167" i="15"/>
  <c r="R163" i="15"/>
  <c r="P159" i="15"/>
  <c r="R253" i="15"/>
  <c r="R247" i="15"/>
  <c r="R246" i="15"/>
  <c r="R234" i="15"/>
  <c r="R211" i="15"/>
  <c r="R210" i="15"/>
  <c r="R191" i="15"/>
  <c r="R190" i="15"/>
  <c r="R183" i="15"/>
  <c r="R182" i="15"/>
  <c r="R154" i="15"/>
  <c r="R150" i="15"/>
  <c r="R146" i="15"/>
  <c r="R142" i="15"/>
  <c r="R138" i="15"/>
  <c r="R134" i="15"/>
  <c r="R130" i="15"/>
  <c r="R126" i="15"/>
  <c r="R122" i="15"/>
  <c r="R118" i="15"/>
  <c r="R114" i="15"/>
  <c r="R110" i="15"/>
  <c r="R252" i="15"/>
  <c r="R230" i="15"/>
  <c r="R229" i="15"/>
  <c r="R251" i="15"/>
  <c r="R248" i="15"/>
  <c r="R241" i="15"/>
  <c r="R240" i="15"/>
  <c r="R224" i="15"/>
  <c r="R213" i="15"/>
  <c r="R212" i="15"/>
  <c r="R192" i="15"/>
  <c r="R184" i="15"/>
  <c r="R173" i="15"/>
  <c r="R172" i="15"/>
  <c r="R168" i="15"/>
  <c r="R164" i="15"/>
  <c r="R243" i="15"/>
  <c r="R242" i="15"/>
  <c r="R214" i="15"/>
  <c r="R203" i="15"/>
  <c r="R202" i="15"/>
  <c r="R178" i="15"/>
  <c r="R174" i="15"/>
  <c r="R107" i="15"/>
  <c r="R259" i="15"/>
  <c r="R244" i="15"/>
  <c r="R236" i="15"/>
  <c r="R232" i="15"/>
  <c r="R220" i="15"/>
  <c r="R205" i="15"/>
  <c r="R204" i="15"/>
  <c r="R156" i="15"/>
  <c r="R152" i="15"/>
  <c r="R148" i="15"/>
  <c r="R144" i="15"/>
  <c r="R140" i="15"/>
  <c r="R136" i="15"/>
  <c r="R132" i="15"/>
  <c r="R128" i="15"/>
  <c r="R124" i="15"/>
  <c r="R120" i="15"/>
  <c r="R116" i="15"/>
  <c r="R112" i="15"/>
  <c r="R108" i="15"/>
  <c r="R147" i="15"/>
  <c r="R119" i="15"/>
  <c r="R250" i="15"/>
  <c r="R231" i="15"/>
  <c r="R169" i="15"/>
  <c r="R219" i="15"/>
  <c r="R193" i="15"/>
  <c r="R185" i="15"/>
  <c r="R151" i="15"/>
  <c r="R135" i="15"/>
  <c r="R217" i="15"/>
  <c r="R123" i="15"/>
  <c r="R235" i="15"/>
  <c r="R155" i="15"/>
  <c r="R218" i="15"/>
  <c r="R139" i="15"/>
  <c r="R127" i="15"/>
  <c r="R115" i="15"/>
  <c r="R143" i="15"/>
  <c r="R131" i="15"/>
  <c r="R201" i="15"/>
  <c r="R194" i="15"/>
  <c r="R225" i="15"/>
  <c r="R177" i="15"/>
  <c r="R186" i="15"/>
  <c r="R165" i="15"/>
  <c r="R111" i="15"/>
  <c r="P27" i="112"/>
  <c r="X18" i="112"/>
  <c r="T27" i="47"/>
  <c r="Z18" i="47"/>
  <c r="L18" i="44"/>
  <c r="D27" i="44"/>
  <c r="H27" i="41"/>
  <c r="N18" i="41"/>
  <c r="X18" i="38"/>
  <c r="P27" i="38"/>
  <c r="H27" i="29"/>
  <c r="N18" i="29"/>
  <c r="H27" i="31"/>
  <c r="N18" i="31"/>
  <c r="H27" i="38"/>
  <c r="N18" i="38"/>
  <c r="P27" i="22"/>
  <c r="X18" i="22"/>
  <c r="T27" i="20"/>
  <c r="Z18" i="20"/>
  <c r="L18" i="7"/>
  <c r="D27" i="7"/>
  <c r="Z16" i="61"/>
  <c r="T49" i="61"/>
  <c r="X16" i="55"/>
  <c r="P33" i="55"/>
  <c r="R84" i="51"/>
  <c r="R83" i="51"/>
  <c r="R63" i="51"/>
  <c r="R59" i="51"/>
  <c r="R75" i="51"/>
  <c r="R74" i="51"/>
  <c r="R50" i="51"/>
  <c r="R46" i="51"/>
  <c r="R42" i="51"/>
  <c r="R94" i="51"/>
  <c r="R93" i="51"/>
  <c r="R86" i="51"/>
  <c r="R85" i="51"/>
  <c r="R69" i="51"/>
  <c r="R77" i="51"/>
  <c r="R76" i="51"/>
  <c r="R64" i="51"/>
  <c r="R60" i="51"/>
  <c r="R96" i="51"/>
  <c r="R95" i="51"/>
  <c r="R88" i="51"/>
  <c r="R87" i="51"/>
  <c r="R51" i="51"/>
  <c r="R47" i="51"/>
  <c r="R43" i="51"/>
  <c r="R105" i="51"/>
  <c r="R79" i="51"/>
  <c r="R78" i="51"/>
  <c r="R70" i="51"/>
  <c r="R39" i="51"/>
  <c r="R104" i="51"/>
  <c r="R98" i="51"/>
  <c r="R97" i="51"/>
  <c r="R90" i="51"/>
  <c r="R89" i="51"/>
  <c r="R65" i="51"/>
  <c r="R61" i="51"/>
  <c r="R103" i="51"/>
  <c r="R80" i="51"/>
  <c r="R57" i="51"/>
  <c r="R52" i="51"/>
  <c r="R48" i="51"/>
  <c r="R44" i="51"/>
  <c r="R40" i="51"/>
  <c r="R109" i="51"/>
  <c r="R102" i="51"/>
  <c r="R99" i="51"/>
  <c r="R91" i="51"/>
  <c r="R71" i="51"/>
  <c r="R56" i="51"/>
  <c r="R101" i="51"/>
  <c r="R67" i="51"/>
  <c r="R66" i="51"/>
  <c r="R62" i="51"/>
  <c r="R58" i="51"/>
  <c r="P54" i="51"/>
  <c r="R54" i="51" s="1"/>
  <c r="R82" i="51"/>
  <c r="R81" i="51"/>
  <c r="R49" i="51"/>
  <c r="R45" i="51"/>
  <c r="R41" i="51"/>
  <c r="R92" i="51"/>
  <c r="R73" i="51"/>
  <c r="R72" i="51"/>
  <c r="R68" i="51"/>
  <c r="X12" i="51"/>
  <c r="Z12" i="51" s="1"/>
  <c r="H95" i="9"/>
  <c r="T311" i="3"/>
  <c r="Z196" i="3"/>
  <c r="H27" i="44"/>
  <c r="N18" i="44"/>
  <c r="P89" i="105"/>
  <c r="X21" i="105"/>
  <c r="Z21" i="105" s="1"/>
  <c r="J19" i="98"/>
  <c r="D30" i="85"/>
  <c r="L18" i="85"/>
  <c r="N18" i="85" s="1"/>
  <c r="N57" i="84"/>
  <c r="H121" i="84"/>
  <c r="P70" i="80"/>
  <c r="X20" i="80"/>
  <c r="Z20" i="80" s="1"/>
  <c r="J24" i="78"/>
  <c r="F30" i="75"/>
  <c r="V20" i="79"/>
  <c r="V24" i="72"/>
  <c r="R104" i="68"/>
  <c r="R76" i="68"/>
  <c r="R72" i="68"/>
  <c r="R99" i="68"/>
  <c r="R63" i="68"/>
  <c r="R59" i="68"/>
  <c r="R55" i="68"/>
  <c r="R51" i="68"/>
  <c r="R47" i="68"/>
  <c r="R91" i="68"/>
  <c r="R90" i="68"/>
  <c r="R82" i="68"/>
  <c r="R106" i="68"/>
  <c r="R105" i="68"/>
  <c r="R77" i="68"/>
  <c r="R73" i="68"/>
  <c r="R101" i="68"/>
  <c r="R100" i="68"/>
  <c r="R93" i="68"/>
  <c r="R92" i="68"/>
  <c r="R64" i="68"/>
  <c r="R60" i="68"/>
  <c r="R56" i="68"/>
  <c r="R52" i="68"/>
  <c r="R48" i="68"/>
  <c r="R108" i="68"/>
  <c r="R107" i="68"/>
  <c r="R84" i="68"/>
  <c r="R83" i="68"/>
  <c r="R102" i="68"/>
  <c r="R95" i="68"/>
  <c r="R94" i="68"/>
  <c r="R79" i="68"/>
  <c r="R78" i="68"/>
  <c r="R74" i="68"/>
  <c r="R112" i="68"/>
  <c r="R109" i="68"/>
  <c r="R86" i="68"/>
  <c r="R85" i="68"/>
  <c r="R70" i="68"/>
  <c r="R65" i="68"/>
  <c r="R61" i="68"/>
  <c r="R57" i="68"/>
  <c r="R53" i="68"/>
  <c r="R49" i="68"/>
  <c r="R111" i="68"/>
  <c r="R96" i="68"/>
  <c r="R80" i="68"/>
  <c r="R69" i="68"/>
  <c r="R45" i="68"/>
  <c r="X12" i="68"/>
  <c r="Z12" i="68" s="1"/>
  <c r="R103" i="68"/>
  <c r="R88" i="68"/>
  <c r="R87" i="68"/>
  <c r="R75" i="68"/>
  <c r="R71" i="68"/>
  <c r="P67" i="68"/>
  <c r="R116" i="68"/>
  <c r="R62" i="68"/>
  <c r="R58" i="68"/>
  <c r="R54" i="68"/>
  <c r="R50" i="68"/>
  <c r="R46" i="68"/>
  <c r="R98" i="68"/>
  <c r="R97" i="68"/>
  <c r="R89" i="68"/>
  <c r="R81" i="68"/>
  <c r="L20" i="69"/>
  <c r="N20" i="69" s="1"/>
  <c r="D68" i="69"/>
  <c r="L16" i="60"/>
  <c r="D50" i="60"/>
  <c r="L101" i="63"/>
  <c r="D105" i="63"/>
  <c r="X16" i="54"/>
  <c r="P22" i="54"/>
  <c r="N64" i="48"/>
  <c r="H67" i="48"/>
  <c r="F135" i="30"/>
  <c r="F134" i="30"/>
  <c r="F127" i="30"/>
  <c r="F126" i="30"/>
  <c r="F107" i="30"/>
  <c r="F106" i="30"/>
  <c r="F95" i="30"/>
  <c r="F91" i="30"/>
  <c r="F154" i="30"/>
  <c r="F146" i="30"/>
  <c r="F142" i="30"/>
  <c r="F141" i="30"/>
  <c r="F82" i="30"/>
  <c r="F78" i="30"/>
  <c r="F74" i="30"/>
  <c r="F70" i="30"/>
  <c r="F66" i="30"/>
  <c r="F62" i="30"/>
  <c r="F58" i="30"/>
  <c r="F129" i="30"/>
  <c r="F128" i="30"/>
  <c r="F117" i="30"/>
  <c r="F109" i="30"/>
  <c r="F108" i="30"/>
  <c r="F101" i="30"/>
  <c r="F156" i="30"/>
  <c r="F155" i="30"/>
  <c r="F136" i="30"/>
  <c r="F96" i="30"/>
  <c r="F92" i="30"/>
  <c r="F160" i="30"/>
  <c r="F147" i="30"/>
  <c r="F143" i="30"/>
  <c r="F119" i="30"/>
  <c r="F118" i="30"/>
  <c r="F111" i="30"/>
  <c r="F110" i="30"/>
  <c r="F83" i="30"/>
  <c r="F79" i="30"/>
  <c r="F75" i="30"/>
  <c r="F71" i="30"/>
  <c r="F67" i="30"/>
  <c r="F63" i="30"/>
  <c r="F59" i="30"/>
  <c r="F164" i="30"/>
  <c r="F159" i="30"/>
  <c r="F130" i="30"/>
  <c r="F102" i="30"/>
  <c r="F98" i="30"/>
  <c r="F97" i="30"/>
  <c r="F158" i="30"/>
  <c r="F149" i="30"/>
  <c r="F148" i="30"/>
  <c r="F137" i="30"/>
  <c r="F121" i="30"/>
  <c r="F120" i="30"/>
  <c r="F93" i="30"/>
  <c r="F89" i="30"/>
  <c r="F88" i="30"/>
  <c r="F144" i="30"/>
  <c r="F132" i="30"/>
  <c r="F131" i="30"/>
  <c r="F112" i="30"/>
  <c r="F87" i="30"/>
  <c r="F80" i="30"/>
  <c r="F76" i="30"/>
  <c r="F72" i="30"/>
  <c r="F68" i="30"/>
  <c r="F64" i="30"/>
  <c r="F60" i="30"/>
  <c r="F151" i="30"/>
  <c r="F150" i="30"/>
  <c r="F139" i="30"/>
  <c r="F138" i="30"/>
  <c r="F123" i="30"/>
  <c r="F122" i="30"/>
  <c r="F103" i="30"/>
  <c r="F99" i="30"/>
  <c r="D85" i="30"/>
  <c r="F140" i="30"/>
  <c r="F116" i="30"/>
  <c r="F115" i="30"/>
  <c r="F100" i="30"/>
  <c r="L12" i="30"/>
  <c r="N12" i="30" s="1"/>
  <c r="F113" i="30"/>
  <c r="F94" i="30"/>
  <c r="F73" i="30"/>
  <c r="F104" i="30"/>
  <c r="F65" i="30"/>
  <c r="F152" i="30"/>
  <c r="F145" i="30"/>
  <c r="F125" i="30"/>
  <c r="F133" i="30"/>
  <c r="F77" i="30"/>
  <c r="F57" i="30"/>
  <c r="F81" i="30"/>
  <c r="F69" i="30"/>
  <c r="F56" i="30"/>
  <c r="F61" i="30"/>
  <c r="F124" i="30"/>
  <c r="F105" i="30"/>
  <c r="F153" i="30"/>
  <c r="F114" i="30"/>
  <c r="F90" i="30"/>
  <c r="J121" i="24"/>
  <c r="J115" i="24"/>
  <c r="J107" i="24"/>
  <c r="J97" i="24"/>
  <c r="J71" i="24"/>
  <c r="J67" i="24"/>
  <c r="J63" i="24"/>
  <c r="J59" i="24"/>
  <c r="J55" i="24"/>
  <c r="J51" i="24"/>
  <c r="J122" i="24"/>
  <c r="J98" i="24"/>
  <c r="J90" i="24"/>
  <c r="J123" i="24"/>
  <c r="J85" i="24"/>
  <c r="J81" i="24"/>
  <c r="J124" i="24"/>
  <c r="J116" i="24"/>
  <c r="J108" i="24"/>
  <c r="J126" i="24"/>
  <c r="J110" i="24"/>
  <c r="J100" i="24"/>
  <c r="J86" i="24"/>
  <c r="J82" i="24"/>
  <c r="J131" i="24"/>
  <c r="J117" i="24"/>
  <c r="J101" i="24"/>
  <c r="J87" i="24"/>
  <c r="J73" i="24"/>
  <c r="J69" i="24"/>
  <c r="J65" i="24"/>
  <c r="J61" i="24"/>
  <c r="J57" i="24"/>
  <c r="J53" i="24"/>
  <c r="J118" i="24"/>
  <c r="J112" i="24"/>
  <c r="J104" i="24"/>
  <c r="J94" i="24"/>
  <c r="H75" i="24"/>
  <c r="J70" i="24"/>
  <c r="J66" i="24"/>
  <c r="J62" i="24"/>
  <c r="J58" i="24"/>
  <c r="J54" i="24"/>
  <c r="J120" i="24"/>
  <c r="J114" i="24"/>
  <c r="J106" i="24"/>
  <c r="J96" i="24"/>
  <c r="J84" i="24"/>
  <c r="J80" i="24"/>
  <c r="J50" i="24"/>
  <c r="J60" i="24"/>
  <c r="J64" i="24"/>
  <c r="N12" i="24"/>
  <c r="J119" i="24"/>
  <c r="J109" i="24"/>
  <c r="J91" i="24"/>
  <c r="J83" i="24"/>
  <c r="J78" i="24"/>
  <c r="J68" i="24"/>
  <c r="J127" i="24"/>
  <c r="J89" i="24"/>
  <c r="J113" i="24"/>
  <c r="J111" i="24"/>
  <c r="J72" i="24"/>
  <c r="J105" i="24"/>
  <c r="J75" i="24"/>
  <c r="J103" i="24"/>
  <c r="J92" i="24"/>
  <c r="J102" i="24"/>
  <c r="J95" i="24"/>
  <c r="J79" i="24"/>
  <c r="J77" i="24"/>
  <c r="J56" i="24"/>
  <c r="J52" i="24"/>
  <c r="J93" i="24"/>
  <c r="J88" i="24"/>
  <c r="J99" i="24"/>
  <c r="L28" i="36"/>
  <c r="N28" i="36" s="1"/>
  <c r="D125" i="36"/>
  <c r="X259" i="12"/>
  <c r="Z259" i="12" s="1"/>
  <c r="N259" i="12"/>
  <c r="N296" i="3"/>
  <c r="X18" i="111"/>
  <c r="P27" i="111"/>
  <c r="H27" i="52"/>
  <c r="N18" i="52"/>
  <c r="L18" i="52"/>
  <c r="D27" i="52"/>
  <c r="L18" i="28"/>
  <c r="D27" i="28"/>
  <c r="H27" i="26"/>
  <c r="N18" i="26"/>
  <c r="H27" i="20"/>
  <c r="N18" i="20"/>
  <c r="H27" i="17"/>
  <c r="N18" i="17"/>
  <c r="L18" i="10"/>
  <c r="D27" i="10"/>
  <c r="T27" i="8"/>
  <c r="Z18" i="8"/>
  <c r="X67" i="68" l="1"/>
  <c r="Z67" i="68" s="1"/>
  <c r="P114" i="68"/>
  <c r="T68" i="69"/>
  <c r="H71" i="48"/>
  <c r="J67" i="48"/>
  <c r="P74" i="80"/>
  <c r="X70" i="80"/>
  <c r="D134" i="39"/>
  <c r="F130" i="39"/>
  <c r="L85" i="103"/>
  <c r="D89" i="103"/>
  <c r="F85" i="103"/>
  <c r="Z27" i="14"/>
  <c r="T31" i="14"/>
  <c r="L311" i="3"/>
  <c r="D315" i="3"/>
  <c r="F311" i="3"/>
  <c r="D71" i="57"/>
  <c r="L67" i="57"/>
  <c r="H72" i="93"/>
  <c r="J68" i="93"/>
  <c r="T42" i="108"/>
  <c r="T31" i="19"/>
  <c r="Z27" i="19"/>
  <c r="Z27" i="112"/>
  <c r="T31" i="112"/>
  <c r="H129" i="36"/>
  <c r="J125" i="36"/>
  <c r="H26" i="54"/>
  <c r="N22" i="54"/>
  <c r="X27" i="11"/>
  <c r="P31" i="11"/>
  <c r="H31" i="46"/>
  <c r="N27" i="46"/>
  <c r="D118" i="68"/>
  <c r="L114" i="68"/>
  <c r="N114" i="68" s="1"/>
  <c r="P93" i="97"/>
  <c r="H31" i="22"/>
  <c r="N27" i="22"/>
  <c r="D31" i="32"/>
  <c r="L27" i="32"/>
  <c r="H261" i="15"/>
  <c r="T95" i="9"/>
  <c r="X91" i="9"/>
  <c r="Z91" i="9" s="1"/>
  <c r="X70" i="56"/>
  <c r="P74" i="56"/>
  <c r="D31" i="37"/>
  <c r="L27" i="37"/>
  <c r="D31" i="5"/>
  <c r="L27" i="5"/>
  <c r="Z27" i="111"/>
  <c r="T31" i="111"/>
  <c r="P67" i="48"/>
  <c r="X17" i="48"/>
  <c r="Z17" i="48" s="1"/>
  <c r="L107" i="76"/>
  <c r="D111" i="76"/>
  <c r="F107" i="76"/>
  <c r="P31" i="10"/>
  <c r="X27" i="10"/>
  <c r="P31" i="50"/>
  <c r="X27" i="50"/>
  <c r="H31" i="8"/>
  <c r="N27" i="8"/>
  <c r="H31" i="111"/>
  <c r="N27" i="111"/>
  <c r="H102" i="21"/>
  <c r="N27" i="21"/>
  <c r="P125" i="36"/>
  <c r="X28" i="36"/>
  <c r="Z28" i="36" s="1"/>
  <c r="T31" i="34"/>
  <c r="Z27" i="34"/>
  <c r="X57" i="84"/>
  <c r="X19" i="98"/>
  <c r="Z19" i="98" s="1"/>
  <c r="P50" i="98"/>
  <c r="H67" i="109"/>
  <c r="N17" i="109"/>
  <c r="P129" i="42"/>
  <c r="R126" i="42"/>
  <c r="X27" i="17"/>
  <c r="P31" i="17"/>
  <c r="T71" i="48"/>
  <c r="V67" i="48"/>
  <c r="D129" i="36"/>
  <c r="L125" i="36"/>
  <c r="N125" i="36" s="1"/>
  <c r="F125" i="36"/>
  <c r="L85" i="30"/>
  <c r="D162" i="30"/>
  <c r="D72" i="69"/>
  <c r="L68" i="69"/>
  <c r="H125" i="84"/>
  <c r="J121" i="84"/>
  <c r="N27" i="44"/>
  <c r="H31" i="44"/>
  <c r="Z27" i="20"/>
  <c r="T31" i="20"/>
  <c r="N27" i="41"/>
  <c r="H31" i="41"/>
  <c r="H53" i="61"/>
  <c r="X27" i="16"/>
  <c r="P31" i="16"/>
  <c r="Z27" i="49"/>
  <c r="T31" i="49"/>
  <c r="Z22" i="6"/>
  <c r="T26" i="6"/>
  <c r="L27" i="20"/>
  <c r="D31" i="20"/>
  <c r="L27" i="111"/>
  <c r="D31" i="111"/>
  <c r="T83" i="75"/>
  <c r="X83" i="75" s="1"/>
  <c r="Z30" i="75"/>
  <c r="P96" i="91"/>
  <c r="X92" i="91"/>
  <c r="Z92" i="91" s="1"/>
  <c r="Z27" i="50"/>
  <c r="T31" i="50"/>
  <c r="X27" i="4"/>
  <c r="P31" i="4"/>
  <c r="L27" i="43"/>
  <c r="D31" i="43"/>
  <c r="H98" i="33"/>
  <c r="L38" i="33"/>
  <c r="N38" i="33" s="1"/>
  <c r="L27" i="19"/>
  <c r="D31" i="19"/>
  <c r="X27" i="14"/>
  <c r="P31" i="14"/>
  <c r="H84" i="83"/>
  <c r="J80" i="83"/>
  <c r="T72" i="93"/>
  <c r="V68" i="93"/>
  <c r="Z27" i="4"/>
  <c r="T31" i="4"/>
  <c r="D53" i="61"/>
  <c r="L49" i="61"/>
  <c r="N49" i="61" s="1"/>
  <c r="D107" i="51"/>
  <c r="L54" i="51"/>
  <c r="T34" i="85"/>
  <c r="Z30" i="85"/>
  <c r="V30" i="85"/>
  <c r="H55" i="104"/>
  <c r="D31" i="25"/>
  <c r="L27" i="25"/>
  <c r="X38" i="33"/>
  <c r="P98" i="33"/>
  <c r="X27" i="37"/>
  <c r="P31" i="37"/>
  <c r="H136" i="74"/>
  <c r="J132" i="74"/>
  <c r="D94" i="95"/>
  <c r="L90" i="95"/>
  <c r="H77" i="72"/>
  <c r="J73" i="72"/>
  <c r="P125" i="84"/>
  <c r="R121" i="84"/>
  <c r="T315" i="3"/>
  <c r="V311" i="3"/>
  <c r="N27" i="40"/>
  <c r="H31" i="40"/>
  <c r="N27" i="26"/>
  <c r="H31" i="26"/>
  <c r="L27" i="28"/>
  <c r="D31" i="28"/>
  <c r="D31" i="44"/>
  <c r="L27" i="44"/>
  <c r="P65" i="100"/>
  <c r="X61" i="100"/>
  <c r="T93" i="105"/>
  <c r="V89" i="105"/>
  <c r="T111" i="51"/>
  <c r="V107" i="51"/>
  <c r="N23" i="45"/>
  <c r="H94" i="45"/>
  <c r="H74" i="56"/>
  <c r="P31" i="82"/>
  <c r="X27" i="82"/>
  <c r="R27" i="82"/>
  <c r="D96" i="91"/>
  <c r="L92" i="91"/>
  <c r="N92" i="91" s="1"/>
  <c r="L23" i="45"/>
  <c r="D94" i="45"/>
  <c r="H90" i="97"/>
  <c r="N86" i="97"/>
  <c r="J86" i="97"/>
  <c r="T31" i="44"/>
  <c r="Z27" i="44"/>
  <c r="L83" i="73"/>
  <c r="D87" i="73"/>
  <c r="H99" i="91"/>
  <c r="T89" i="103"/>
  <c r="V85" i="103"/>
  <c r="X120" i="70"/>
  <c r="P124" i="70"/>
  <c r="R120" i="70"/>
  <c r="Z27" i="41"/>
  <c r="T31" i="41"/>
  <c r="D106" i="21"/>
  <c r="P121" i="27"/>
  <c r="X61" i="27"/>
  <c r="V20" i="69"/>
  <c r="T31" i="82"/>
  <c r="Z27" i="82"/>
  <c r="V27" i="82"/>
  <c r="P65" i="59"/>
  <c r="X61" i="59"/>
  <c r="Z61" i="59" s="1"/>
  <c r="D67" i="109"/>
  <c r="L17" i="109"/>
  <c r="P87" i="73"/>
  <c r="D31" i="112"/>
  <c r="L27" i="112"/>
  <c r="H124" i="70"/>
  <c r="J120" i="70"/>
  <c r="H31" i="4"/>
  <c r="N27" i="4"/>
  <c r="N107" i="76"/>
  <c r="H111" i="76"/>
  <c r="J107" i="76"/>
  <c r="H76" i="58"/>
  <c r="L72" i="58"/>
  <c r="N72" i="58" s="1"/>
  <c r="H31" i="13"/>
  <c r="N27" i="13"/>
  <c r="L27" i="40"/>
  <c r="D31" i="40"/>
  <c r="D122" i="42"/>
  <c r="L27" i="42"/>
  <c r="N27" i="42" s="1"/>
  <c r="L27" i="26"/>
  <c r="D31" i="26"/>
  <c r="P87" i="107"/>
  <c r="X83" i="107"/>
  <c r="L27" i="52"/>
  <c r="D31" i="52"/>
  <c r="D34" i="85"/>
  <c r="L30" i="85"/>
  <c r="X54" i="51"/>
  <c r="Z54" i="51" s="1"/>
  <c r="P107" i="51"/>
  <c r="X33" i="55"/>
  <c r="P37" i="55"/>
  <c r="H31" i="25"/>
  <c r="N27" i="25"/>
  <c r="L27" i="50"/>
  <c r="D31" i="50"/>
  <c r="T289" i="18"/>
  <c r="P129" i="24"/>
  <c r="X75" i="24"/>
  <c r="T76" i="58"/>
  <c r="X72" i="58"/>
  <c r="Z72" i="58" s="1"/>
  <c r="T84" i="83"/>
  <c r="V80" i="83"/>
  <c r="L76" i="94"/>
  <c r="D80" i="94"/>
  <c r="N27" i="34"/>
  <c r="H31" i="34"/>
  <c r="T31" i="22"/>
  <c r="Z27" i="22"/>
  <c r="H118" i="68"/>
  <c r="J114" i="68"/>
  <c r="H54" i="98"/>
  <c r="J50" i="98"/>
  <c r="H31" i="43"/>
  <c r="N27" i="43"/>
  <c r="Z27" i="53"/>
  <c r="T31" i="53"/>
  <c r="D261" i="15"/>
  <c r="L159" i="15"/>
  <c r="N159" i="15" s="1"/>
  <c r="H37" i="55"/>
  <c r="Z27" i="25"/>
  <c r="T31" i="25"/>
  <c r="N85" i="103"/>
  <c r="H89" i="103"/>
  <c r="J85" i="103"/>
  <c r="P76" i="88"/>
  <c r="X72" i="88"/>
  <c r="X27" i="40"/>
  <c r="P31" i="40"/>
  <c r="H87" i="75"/>
  <c r="J83" i="75"/>
  <c r="T74" i="109"/>
  <c r="V71" i="109"/>
  <c r="D26" i="6"/>
  <c r="L22" i="6"/>
  <c r="X67" i="57"/>
  <c r="Z67" i="57" s="1"/>
  <c r="P71" i="57"/>
  <c r="X27" i="28"/>
  <c r="P31" i="28"/>
  <c r="Z27" i="46"/>
  <c r="T31" i="46"/>
  <c r="H71" i="57"/>
  <c r="N67" i="57"/>
  <c r="H74" i="80"/>
  <c r="N70" i="80"/>
  <c r="J70" i="80"/>
  <c r="T162" i="30"/>
  <c r="Z85" i="30"/>
  <c r="Z27" i="8"/>
  <c r="T31" i="8"/>
  <c r="D108" i="63"/>
  <c r="H98" i="9"/>
  <c r="H31" i="38"/>
  <c r="N27" i="38"/>
  <c r="Z27" i="47"/>
  <c r="T31" i="47"/>
  <c r="L17" i="48"/>
  <c r="N17" i="48" s="1"/>
  <c r="D67" i="48"/>
  <c r="P77" i="72"/>
  <c r="X73" i="72"/>
  <c r="Z73" i="72" s="1"/>
  <c r="X27" i="23"/>
  <c r="P31" i="23"/>
  <c r="X27" i="52"/>
  <c r="P31" i="52"/>
  <c r="Z61" i="100"/>
  <c r="T65" i="100"/>
  <c r="V61" i="100"/>
  <c r="D31" i="38"/>
  <c r="L27" i="38"/>
  <c r="L27" i="41"/>
  <c r="D31" i="41"/>
  <c r="J38" i="33"/>
  <c r="X27" i="49"/>
  <c r="P31" i="49"/>
  <c r="X27" i="19"/>
  <c r="P31" i="19"/>
  <c r="J159" i="15"/>
  <c r="T261" i="15"/>
  <c r="Z70" i="80"/>
  <c r="T74" i="80"/>
  <c r="V70" i="80"/>
  <c r="T31" i="35"/>
  <c r="Z27" i="35"/>
  <c r="N27" i="16"/>
  <c r="H31" i="16"/>
  <c r="X80" i="101"/>
  <c r="P84" i="101"/>
  <c r="D31" i="14"/>
  <c r="L27" i="14"/>
  <c r="T77" i="72"/>
  <c r="V73" i="72"/>
  <c r="N30" i="85"/>
  <c r="H34" i="85"/>
  <c r="J30" i="85"/>
  <c r="T31" i="5"/>
  <c r="Z27" i="5"/>
  <c r="H31" i="37"/>
  <c r="N27" i="37"/>
  <c r="H26" i="6"/>
  <c r="N22" i="6"/>
  <c r="X68" i="79"/>
  <c r="Z68" i="79" s="1"/>
  <c r="P72" i="79"/>
  <c r="R68" i="79"/>
  <c r="X27" i="31"/>
  <c r="P31" i="31"/>
  <c r="T98" i="33"/>
  <c r="Z38" i="33"/>
  <c r="N72" i="92"/>
  <c r="H76" i="92"/>
  <c r="J72" i="92"/>
  <c r="L86" i="97"/>
  <c r="D90" i="97"/>
  <c r="D31" i="46"/>
  <c r="L27" i="46"/>
  <c r="T102" i="21"/>
  <c r="H94" i="95"/>
  <c r="N90" i="95"/>
  <c r="J90" i="95"/>
  <c r="X24" i="78"/>
  <c r="Z24" i="78" s="1"/>
  <c r="P63" i="78"/>
  <c r="L72" i="92"/>
  <c r="D76" i="92"/>
  <c r="H31" i="10"/>
  <c r="N27" i="10"/>
  <c r="L27" i="16"/>
  <c r="D31" i="16"/>
  <c r="T87" i="107"/>
  <c r="Z83" i="107"/>
  <c r="V83" i="107"/>
  <c r="P162" i="30"/>
  <c r="X85" i="30"/>
  <c r="L27" i="10"/>
  <c r="D31" i="10"/>
  <c r="F85" i="30"/>
  <c r="T53" i="61"/>
  <c r="P261" i="15"/>
  <c r="X159" i="15"/>
  <c r="Z159" i="15" s="1"/>
  <c r="L27" i="4"/>
  <c r="D31" i="4"/>
  <c r="H54" i="60"/>
  <c r="D73" i="72"/>
  <c r="L24" i="72"/>
  <c r="N24" i="72" s="1"/>
  <c r="D72" i="79"/>
  <c r="X132" i="74"/>
  <c r="P136" i="74"/>
  <c r="R132" i="74"/>
  <c r="T76" i="92"/>
  <c r="V72" i="92"/>
  <c r="P31" i="20"/>
  <c r="X27" i="20"/>
  <c r="X26" i="6"/>
  <c r="P31" i="6"/>
  <c r="T111" i="76"/>
  <c r="V107" i="76"/>
  <c r="H65" i="100"/>
  <c r="X46" i="102"/>
  <c r="Z46" i="102" s="1"/>
  <c r="P50" i="102"/>
  <c r="H31" i="112"/>
  <c r="N27" i="112"/>
  <c r="H105" i="63"/>
  <c r="N101" i="63"/>
  <c r="D31" i="47"/>
  <c r="L27" i="47"/>
  <c r="T31" i="26"/>
  <c r="Z27" i="26"/>
  <c r="X94" i="45"/>
  <c r="P98" i="45"/>
  <c r="R94" i="45"/>
  <c r="L27" i="31"/>
  <c r="D31" i="31"/>
  <c r="H121" i="27"/>
  <c r="X27" i="5"/>
  <c r="P31" i="5"/>
  <c r="D105" i="33"/>
  <c r="F102" i="33"/>
  <c r="R38" i="33"/>
  <c r="X101" i="63"/>
  <c r="Z101" i="63" s="1"/>
  <c r="P105" i="63"/>
  <c r="P87" i="75"/>
  <c r="R83" i="75"/>
  <c r="Z27" i="52"/>
  <c r="T31" i="52"/>
  <c r="V38" i="33"/>
  <c r="L22" i="54"/>
  <c r="D26" i="54"/>
  <c r="N83" i="73"/>
  <c r="H87" i="73"/>
  <c r="J83" i="73"/>
  <c r="Z27" i="23"/>
  <c r="T31" i="23"/>
  <c r="R19" i="98"/>
  <c r="J17" i="109"/>
  <c r="P26" i="54"/>
  <c r="X22" i="54"/>
  <c r="D50" i="102"/>
  <c r="L46" i="102"/>
  <c r="X27" i="44"/>
  <c r="P31" i="44"/>
  <c r="H126" i="42"/>
  <c r="J122" i="42"/>
  <c r="L27" i="110"/>
  <c r="D31" i="110"/>
  <c r="H31" i="32"/>
  <c r="N27" i="32"/>
  <c r="N27" i="31"/>
  <c r="H31" i="31"/>
  <c r="P31" i="112"/>
  <c r="X27" i="112"/>
  <c r="T94" i="95"/>
  <c r="V90" i="95"/>
  <c r="D31" i="8"/>
  <c r="L27" i="8"/>
  <c r="P31" i="110"/>
  <c r="X27" i="110"/>
  <c r="D125" i="84"/>
  <c r="L121" i="84"/>
  <c r="N121" i="84" s="1"/>
  <c r="F121" i="84"/>
  <c r="D90" i="107"/>
  <c r="X27" i="46"/>
  <c r="P31" i="46"/>
  <c r="H107" i="51"/>
  <c r="N54" i="51"/>
  <c r="T121" i="84"/>
  <c r="X121" i="84" s="1"/>
  <c r="Z57" i="84"/>
  <c r="D31" i="22"/>
  <c r="L27" i="22"/>
  <c r="X22" i="6"/>
  <c r="Z33" i="55"/>
  <c r="T37" i="55"/>
  <c r="D76" i="88"/>
  <c r="L72" i="88"/>
  <c r="D54" i="98"/>
  <c r="L50" i="98"/>
  <c r="N50" i="98" s="1"/>
  <c r="F50" i="98"/>
  <c r="X27" i="29"/>
  <c r="P31" i="29"/>
  <c r="Z27" i="43"/>
  <c r="T31" i="43"/>
  <c r="D124" i="70"/>
  <c r="L120" i="70"/>
  <c r="N120" i="70" s="1"/>
  <c r="F120" i="70"/>
  <c r="D55" i="104"/>
  <c r="L51" i="104"/>
  <c r="N51" i="104" s="1"/>
  <c r="H39" i="108"/>
  <c r="Z51" i="73"/>
  <c r="T83" i="73"/>
  <c r="T87" i="87"/>
  <c r="V83" i="87"/>
  <c r="Z27" i="16"/>
  <c r="T31" i="16"/>
  <c r="Z27" i="37"/>
  <c r="T31" i="37"/>
  <c r="X30" i="75"/>
  <c r="T47" i="99"/>
  <c r="Z43" i="99"/>
  <c r="X43" i="99"/>
  <c r="X27" i="53"/>
  <c r="P31" i="53"/>
  <c r="X27" i="25"/>
  <c r="P31" i="25"/>
  <c r="D50" i="99"/>
  <c r="L50" i="99" s="1"/>
  <c r="N50" i="99" s="1"/>
  <c r="L47" i="99"/>
  <c r="N47" i="99" s="1"/>
  <c r="H31" i="23"/>
  <c r="N27" i="23"/>
  <c r="X27" i="43"/>
  <c r="P31" i="43"/>
  <c r="N27" i="52"/>
  <c r="H31" i="52"/>
  <c r="X27" i="111"/>
  <c r="P31" i="111"/>
  <c r="D37" i="55"/>
  <c r="L33" i="55"/>
  <c r="N33" i="55" s="1"/>
  <c r="Z132" i="74"/>
  <c r="T136" i="74"/>
  <c r="V132" i="74"/>
  <c r="T99" i="91"/>
  <c r="T86" i="97"/>
  <c r="X20" i="97"/>
  <c r="Z20" i="97" s="1"/>
  <c r="Z27" i="28"/>
  <c r="T31" i="28"/>
  <c r="P71" i="109"/>
  <c r="X67" i="109"/>
  <c r="Z67" i="109" s="1"/>
  <c r="R67" i="109"/>
  <c r="T71" i="57"/>
  <c r="Z80" i="101"/>
  <c r="T84" i="101"/>
  <c r="V80" i="101"/>
  <c r="H31" i="47"/>
  <c r="N27" i="47"/>
  <c r="X27" i="13"/>
  <c r="P31" i="13"/>
  <c r="N311" i="3"/>
  <c r="H315" i="3"/>
  <c r="J311" i="3"/>
  <c r="H162" i="30"/>
  <c r="N85" i="30"/>
  <c r="H65" i="59"/>
  <c r="N61" i="59"/>
  <c r="L61" i="59"/>
  <c r="X20" i="69"/>
  <c r="Z20" i="69" s="1"/>
  <c r="X27" i="26"/>
  <c r="P31" i="26"/>
  <c r="P42" i="108"/>
  <c r="X42" i="108" s="1"/>
  <c r="X39" i="108"/>
  <c r="Z39" i="108" s="1"/>
  <c r="T121" i="27"/>
  <c r="Z61" i="27"/>
  <c r="H31" i="82"/>
  <c r="J27" i="82"/>
  <c r="T126" i="42"/>
  <c r="Z122" i="42"/>
  <c r="V122" i="42"/>
  <c r="D62" i="67"/>
  <c r="L58" i="67"/>
  <c r="Z27" i="31"/>
  <c r="T31" i="31"/>
  <c r="D87" i="75"/>
  <c r="L83" i="75"/>
  <c r="N83" i="75" s="1"/>
  <c r="F83" i="75"/>
  <c r="D72" i="93"/>
  <c r="L68" i="93"/>
  <c r="N68" i="93" s="1"/>
  <c r="H93" i="105"/>
  <c r="J89" i="105"/>
  <c r="D31" i="49"/>
  <c r="L27" i="49"/>
  <c r="P293" i="18"/>
  <c r="X289" i="18"/>
  <c r="R289" i="18"/>
  <c r="T130" i="39"/>
  <c r="T54" i="98"/>
  <c r="V50" i="98"/>
  <c r="L27" i="17"/>
  <c r="D31" i="17"/>
  <c r="D74" i="80"/>
  <c r="L70" i="80"/>
  <c r="D289" i="18"/>
  <c r="L184" i="18"/>
  <c r="N184" i="18" s="1"/>
  <c r="N27" i="17"/>
  <c r="H31" i="17"/>
  <c r="H129" i="24"/>
  <c r="N75" i="24"/>
  <c r="D54" i="60"/>
  <c r="L50" i="60"/>
  <c r="N50" i="60" s="1"/>
  <c r="H31" i="29"/>
  <c r="N27" i="29"/>
  <c r="P102" i="21"/>
  <c r="X27" i="21"/>
  <c r="Z27" i="21" s="1"/>
  <c r="L27" i="35"/>
  <c r="D31" i="35"/>
  <c r="X54" i="60"/>
  <c r="Z54" i="60" s="1"/>
  <c r="P57" i="60"/>
  <c r="D31" i="11"/>
  <c r="L27" i="11"/>
  <c r="X27" i="47"/>
  <c r="P31" i="47"/>
  <c r="D95" i="9"/>
  <c r="L91" i="9"/>
  <c r="N91" i="9" s="1"/>
  <c r="T26" i="54"/>
  <c r="Z22" i="54"/>
  <c r="H87" i="87"/>
  <c r="N83" i="87"/>
  <c r="J83" i="87"/>
  <c r="D39" i="108"/>
  <c r="L35" i="108"/>
  <c r="N35" i="108" s="1"/>
  <c r="L27" i="29"/>
  <c r="D31" i="29"/>
  <c r="F159" i="15"/>
  <c r="P65" i="67"/>
  <c r="P94" i="95"/>
  <c r="X90" i="95"/>
  <c r="Z90" i="95" s="1"/>
  <c r="R90" i="95"/>
  <c r="T58" i="104"/>
  <c r="V55" i="104"/>
  <c r="D89" i="105"/>
  <c r="L21" i="105"/>
  <c r="N21" i="105" s="1"/>
  <c r="P270" i="12"/>
  <c r="X164" i="12"/>
  <c r="P53" i="61"/>
  <c r="X49" i="61"/>
  <c r="Z49" i="61" s="1"/>
  <c r="X68" i="69"/>
  <c r="P72" i="69"/>
  <c r="D90" i="87"/>
  <c r="L87" i="87"/>
  <c r="H84" i="101"/>
  <c r="N80" i="101"/>
  <c r="J80" i="101"/>
  <c r="H31" i="53"/>
  <c r="N27" i="53"/>
  <c r="T57" i="60"/>
  <c r="N27" i="19"/>
  <c r="H31" i="19"/>
  <c r="Z27" i="38"/>
  <c r="T31" i="38"/>
  <c r="P76" i="92"/>
  <c r="X72" i="92"/>
  <c r="Z72" i="92" s="1"/>
  <c r="X27" i="32"/>
  <c r="P31" i="32"/>
  <c r="T31" i="17"/>
  <c r="Z27" i="17"/>
  <c r="N27" i="35"/>
  <c r="H31" i="35"/>
  <c r="F184" i="18"/>
  <c r="X80" i="83"/>
  <c r="Z80" i="83" s="1"/>
  <c r="P84" i="83"/>
  <c r="P130" i="39"/>
  <c r="X34" i="39"/>
  <c r="Z34" i="39" s="1"/>
  <c r="V27" i="21"/>
  <c r="X184" i="18"/>
  <c r="Z184" i="18" s="1"/>
  <c r="X27" i="22"/>
  <c r="P31" i="22"/>
  <c r="H80" i="94"/>
  <c r="N76" i="94"/>
  <c r="J76" i="94"/>
  <c r="L164" i="12"/>
  <c r="N164" i="12" s="1"/>
  <c r="D270" i="12"/>
  <c r="X27" i="38"/>
  <c r="P31" i="38"/>
  <c r="H293" i="18"/>
  <c r="J289" i="18"/>
  <c r="T72" i="79"/>
  <c r="V68" i="79"/>
  <c r="T80" i="94"/>
  <c r="V76" i="94"/>
  <c r="D65" i="100"/>
  <c r="L61" i="100"/>
  <c r="N61" i="100" s="1"/>
  <c r="Z27" i="13"/>
  <c r="T31" i="13"/>
  <c r="P315" i="3"/>
  <c r="X311" i="3"/>
  <c r="Z311" i="3" s="1"/>
  <c r="R311" i="3"/>
  <c r="V85" i="30"/>
  <c r="T62" i="67"/>
  <c r="X83" i="87"/>
  <c r="Z83" i="87" s="1"/>
  <c r="P87" i="87"/>
  <c r="N83" i="107"/>
  <c r="H87" i="107"/>
  <c r="L87" i="107" s="1"/>
  <c r="J83" i="107"/>
  <c r="H270" i="12"/>
  <c r="Z75" i="24"/>
  <c r="T129" i="24"/>
  <c r="Z27" i="40"/>
  <c r="T31" i="40"/>
  <c r="H130" i="39"/>
  <c r="N34" i="39"/>
  <c r="X58" i="67"/>
  <c r="Z58" i="67" s="1"/>
  <c r="H31" i="7"/>
  <c r="N27" i="7"/>
  <c r="P31" i="34"/>
  <c r="X27" i="34"/>
  <c r="H76" i="88"/>
  <c r="N72" i="88"/>
  <c r="J72" i="88"/>
  <c r="H50" i="102"/>
  <c r="N46" i="102"/>
  <c r="D31" i="13"/>
  <c r="L27" i="13"/>
  <c r="X27" i="35"/>
  <c r="P31" i="35"/>
  <c r="L27" i="82"/>
  <c r="N27" i="82" s="1"/>
  <c r="D31" i="82"/>
  <c r="F27" i="82"/>
  <c r="L27" i="53"/>
  <c r="D31" i="53"/>
  <c r="T98" i="45"/>
  <c r="Z94" i="45"/>
  <c r="V94" i="45"/>
  <c r="H62" i="67"/>
  <c r="N58" i="67"/>
  <c r="L63" i="78"/>
  <c r="N63" i="78" s="1"/>
  <c r="D67" i="78"/>
  <c r="Z72" i="88"/>
  <c r="T76" i="88"/>
  <c r="V72" i="88"/>
  <c r="P80" i="94"/>
  <c r="X76" i="94"/>
  <c r="Z76" i="94" s="1"/>
  <c r="R76" i="94"/>
  <c r="Z27" i="10"/>
  <c r="T31" i="10"/>
  <c r="D31" i="23"/>
  <c r="L27" i="23"/>
  <c r="X27" i="41"/>
  <c r="P31" i="41"/>
  <c r="Z27" i="7"/>
  <c r="T31" i="7"/>
  <c r="N27" i="14"/>
  <c r="H31" i="14"/>
  <c r="N27" i="28"/>
  <c r="H31" i="28"/>
  <c r="H31" i="50"/>
  <c r="N27" i="50"/>
  <c r="T105" i="63"/>
  <c r="P89" i="103"/>
  <c r="X85" i="103"/>
  <c r="Z85" i="103" s="1"/>
  <c r="R85" i="103"/>
  <c r="Z27" i="29"/>
  <c r="T31" i="29"/>
  <c r="T31" i="110"/>
  <c r="Z27" i="110"/>
  <c r="X34" i="85"/>
  <c r="P37" i="85"/>
  <c r="R34" i="85"/>
  <c r="Z27" i="11"/>
  <c r="T31" i="11"/>
  <c r="D84" i="83"/>
  <c r="L80" i="83"/>
  <c r="N80" i="83" s="1"/>
  <c r="L27" i="7"/>
  <c r="D31" i="7"/>
  <c r="H31" i="20"/>
  <c r="N27" i="20"/>
  <c r="R67" i="68"/>
  <c r="P93" i="105"/>
  <c r="X89" i="105"/>
  <c r="Z89" i="105" s="1"/>
  <c r="R89" i="105"/>
  <c r="T129" i="36"/>
  <c r="V125" i="36"/>
  <c r="T67" i="78"/>
  <c r="V63" i="78"/>
  <c r="N27" i="49"/>
  <c r="H31" i="49"/>
  <c r="Z70" i="56"/>
  <c r="T74" i="56"/>
  <c r="H67" i="78"/>
  <c r="J63" i="78"/>
  <c r="V30" i="75"/>
  <c r="D84" i="101"/>
  <c r="L80" i="101"/>
  <c r="H31" i="11"/>
  <c r="N27" i="11"/>
  <c r="L27" i="34"/>
  <c r="D31" i="34"/>
  <c r="N27" i="110"/>
  <c r="H31" i="110"/>
  <c r="D74" i="56"/>
  <c r="L70" i="56"/>
  <c r="N70" i="56" s="1"/>
  <c r="F17" i="109"/>
  <c r="X27" i="8"/>
  <c r="P31" i="8"/>
  <c r="H72" i="69"/>
  <c r="N68" i="69"/>
  <c r="J68" i="69"/>
  <c r="X21" i="104"/>
  <c r="Z21" i="104" s="1"/>
  <c r="P51" i="104"/>
  <c r="T118" i="68"/>
  <c r="V114" i="68"/>
  <c r="D121" i="27"/>
  <c r="L61" i="27"/>
  <c r="N61" i="27" s="1"/>
  <c r="P31" i="7"/>
  <c r="X27" i="7"/>
  <c r="Z27" i="32"/>
  <c r="T31" i="32"/>
  <c r="T270" i="12"/>
  <c r="Z164" i="12"/>
  <c r="P111" i="76"/>
  <c r="X107" i="76"/>
  <c r="Z107" i="76" s="1"/>
  <c r="R107" i="76"/>
  <c r="P72" i="93"/>
  <c r="X68" i="93"/>
  <c r="Z68" i="93" s="1"/>
  <c r="N27" i="5"/>
  <c r="H31" i="5"/>
  <c r="L77" i="74"/>
  <c r="N77" i="74" s="1"/>
  <c r="D132" i="74"/>
  <c r="L75" i="24"/>
  <c r="D129" i="24"/>
  <c r="V34" i="39"/>
  <c r="Z120" i="70"/>
  <c r="T124" i="70"/>
  <c r="V120" i="70"/>
  <c r="N20" i="79"/>
  <c r="H68" i="79"/>
  <c r="L68" i="79" s="1"/>
  <c r="X57" i="60" l="1"/>
  <c r="H34" i="82"/>
  <c r="J31" i="82"/>
  <c r="H36" i="4"/>
  <c r="N36" i="4" s="1"/>
  <c r="N31" i="4"/>
  <c r="L53" i="61"/>
  <c r="D56" i="61"/>
  <c r="Z31" i="49"/>
  <c r="T36" i="49"/>
  <c r="Z36" i="49" s="1"/>
  <c r="H36" i="11"/>
  <c r="N36" i="11" s="1"/>
  <c r="N31" i="11"/>
  <c r="Z31" i="10"/>
  <c r="T36" i="10"/>
  <c r="Z36" i="10" s="1"/>
  <c r="H36" i="7"/>
  <c r="N36" i="7" s="1"/>
  <c r="N31" i="7"/>
  <c r="L65" i="100"/>
  <c r="D68" i="100"/>
  <c r="D274" i="12"/>
  <c r="L270" i="12"/>
  <c r="F270" i="12"/>
  <c r="P274" i="12"/>
  <c r="X270" i="12"/>
  <c r="Z270" i="12" s="1"/>
  <c r="R270" i="12"/>
  <c r="L31" i="29"/>
  <c r="D36" i="29"/>
  <c r="H96" i="105"/>
  <c r="J93" i="105"/>
  <c r="X31" i="111"/>
  <c r="P36" i="111"/>
  <c r="X31" i="25"/>
  <c r="P36" i="25"/>
  <c r="Z31" i="43"/>
  <c r="T36" i="43"/>
  <c r="Z36" i="43" s="1"/>
  <c r="Z31" i="23"/>
  <c r="T36" i="23"/>
  <c r="Z36" i="23" s="1"/>
  <c r="P90" i="75"/>
  <c r="R87" i="75"/>
  <c r="P265" i="15"/>
  <c r="X261" i="15"/>
  <c r="R261" i="15"/>
  <c r="T90" i="107"/>
  <c r="V87" i="107"/>
  <c r="X31" i="19"/>
  <c r="P36" i="19"/>
  <c r="D71" i="48"/>
  <c r="L67" i="48"/>
  <c r="N67" i="48" s="1"/>
  <c r="F67" i="48"/>
  <c r="X31" i="28"/>
  <c r="P36" i="28"/>
  <c r="T87" i="83"/>
  <c r="V84" i="83"/>
  <c r="X37" i="55"/>
  <c r="P40" i="55"/>
  <c r="D36" i="26"/>
  <c r="L31" i="26"/>
  <c r="H114" i="76"/>
  <c r="J111" i="76"/>
  <c r="D71" i="109"/>
  <c r="L67" i="109"/>
  <c r="F67" i="109"/>
  <c r="Z31" i="41"/>
  <c r="T36" i="41"/>
  <c r="Z36" i="41" s="1"/>
  <c r="P128" i="84"/>
  <c r="R125" i="84"/>
  <c r="X31" i="14"/>
  <c r="P36" i="14"/>
  <c r="N53" i="61"/>
  <c r="H56" i="61"/>
  <c r="L162" i="30"/>
  <c r="D166" i="30"/>
  <c r="F162" i="30"/>
  <c r="H132" i="36"/>
  <c r="J129" i="36"/>
  <c r="P77" i="80"/>
  <c r="X74" i="80"/>
  <c r="L31" i="53"/>
  <c r="D36" i="53"/>
  <c r="T87" i="101"/>
  <c r="V84" i="101"/>
  <c r="H90" i="73"/>
  <c r="J87" i="73"/>
  <c r="H37" i="85"/>
  <c r="J34" i="85"/>
  <c r="X31" i="40"/>
  <c r="P36" i="40"/>
  <c r="Z31" i="20"/>
  <c r="T36" i="20"/>
  <c r="Z36" i="20" s="1"/>
  <c r="T121" i="68"/>
  <c r="V118" i="68"/>
  <c r="D36" i="13"/>
  <c r="L31" i="13"/>
  <c r="X87" i="87"/>
  <c r="P90" i="87"/>
  <c r="T36" i="17"/>
  <c r="Z36" i="17" s="1"/>
  <c r="Z31" i="17"/>
  <c r="H36" i="53"/>
  <c r="N36" i="53" s="1"/>
  <c r="N31" i="53"/>
  <c r="T129" i="42"/>
  <c r="V126" i="42"/>
  <c r="H36" i="47"/>
  <c r="N36" i="47" s="1"/>
  <c r="N31" i="47"/>
  <c r="T90" i="97"/>
  <c r="Z86" i="97"/>
  <c r="X86" i="97"/>
  <c r="V86" i="97"/>
  <c r="Z87" i="87"/>
  <c r="T90" i="87"/>
  <c r="V87" i="87"/>
  <c r="P108" i="63"/>
  <c r="X105" i="63"/>
  <c r="Z105" i="63" s="1"/>
  <c r="H125" i="27"/>
  <c r="J121" i="27"/>
  <c r="X136" i="74"/>
  <c r="P139" i="74"/>
  <c r="R136" i="74"/>
  <c r="T56" i="61"/>
  <c r="L31" i="16"/>
  <c r="D36" i="16"/>
  <c r="T106" i="21"/>
  <c r="V102" i="21"/>
  <c r="T166" i="30"/>
  <c r="V162" i="30"/>
  <c r="H40" i="55"/>
  <c r="T36" i="44"/>
  <c r="Z36" i="44" s="1"/>
  <c r="Z31" i="44"/>
  <c r="H77" i="56"/>
  <c r="D36" i="44"/>
  <c r="L31" i="44"/>
  <c r="D111" i="51"/>
  <c r="L107" i="51"/>
  <c r="N107" i="51" s="1"/>
  <c r="F107" i="51"/>
  <c r="Z26" i="6"/>
  <c r="T31" i="6"/>
  <c r="N31" i="41"/>
  <c r="H36" i="41"/>
  <c r="N36" i="41" s="1"/>
  <c r="R129" i="42"/>
  <c r="H106" i="21"/>
  <c r="J102" i="21"/>
  <c r="X74" i="56"/>
  <c r="P77" i="56"/>
  <c r="Z31" i="112"/>
  <c r="T36" i="112"/>
  <c r="Z36" i="112" s="1"/>
  <c r="D320" i="3"/>
  <c r="L315" i="3"/>
  <c r="F315" i="3"/>
  <c r="N31" i="110"/>
  <c r="H36" i="110"/>
  <c r="N36" i="110" s="1"/>
  <c r="T83" i="94"/>
  <c r="V80" i="94"/>
  <c r="T79" i="58"/>
  <c r="X76" i="58"/>
  <c r="Z76" i="58" s="1"/>
  <c r="T127" i="70"/>
  <c r="V124" i="70"/>
  <c r="P114" i="76"/>
  <c r="X111" i="76"/>
  <c r="Z111" i="76" s="1"/>
  <c r="R111" i="76"/>
  <c r="N31" i="49"/>
  <c r="H36" i="49"/>
  <c r="N36" i="49" s="1"/>
  <c r="H36" i="50"/>
  <c r="N36" i="50" s="1"/>
  <c r="N31" i="50"/>
  <c r="L74" i="56"/>
  <c r="N74" i="56" s="1"/>
  <c r="D77" i="56"/>
  <c r="L77" i="56" s="1"/>
  <c r="L84" i="101"/>
  <c r="D87" i="101"/>
  <c r="H36" i="20"/>
  <c r="N36" i="20" s="1"/>
  <c r="N31" i="20"/>
  <c r="N31" i="28"/>
  <c r="H36" i="28"/>
  <c r="N36" i="28" s="1"/>
  <c r="T101" i="45"/>
  <c r="V98" i="45"/>
  <c r="P134" i="39"/>
  <c r="X130" i="39"/>
  <c r="Z130" i="39" s="1"/>
  <c r="R130" i="39"/>
  <c r="X31" i="32"/>
  <c r="P36" i="32"/>
  <c r="L89" i="105"/>
  <c r="N89" i="105" s="1"/>
  <c r="D93" i="105"/>
  <c r="F89" i="105"/>
  <c r="D36" i="11"/>
  <c r="L31" i="11"/>
  <c r="D57" i="60"/>
  <c r="L54" i="60"/>
  <c r="N54" i="60" s="1"/>
  <c r="T57" i="98"/>
  <c r="V54" i="98"/>
  <c r="N31" i="52"/>
  <c r="H36" i="52"/>
  <c r="N36" i="52" s="1"/>
  <c r="X31" i="53"/>
  <c r="P36" i="53"/>
  <c r="X31" i="29"/>
  <c r="P36" i="29"/>
  <c r="P36" i="112"/>
  <c r="X31" i="112"/>
  <c r="H129" i="42"/>
  <c r="J126" i="42"/>
  <c r="T114" i="76"/>
  <c r="V111" i="76"/>
  <c r="N31" i="16"/>
  <c r="H36" i="16"/>
  <c r="N36" i="16" s="1"/>
  <c r="P36" i="49"/>
  <c r="X31" i="49"/>
  <c r="T68" i="100"/>
  <c r="V65" i="100"/>
  <c r="Z31" i="47"/>
  <c r="T36" i="47"/>
  <c r="Z36" i="47" s="1"/>
  <c r="X71" i="57"/>
  <c r="Z71" i="57" s="1"/>
  <c r="P74" i="57"/>
  <c r="X107" i="51"/>
  <c r="Z107" i="51" s="1"/>
  <c r="P111" i="51"/>
  <c r="R107" i="51"/>
  <c r="H98" i="45"/>
  <c r="J94" i="45"/>
  <c r="L31" i="28"/>
  <c r="D36" i="28"/>
  <c r="L31" i="19"/>
  <c r="D36" i="19"/>
  <c r="P99" i="91"/>
  <c r="X99" i="91" s="1"/>
  <c r="Z99" i="91" s="1"/>
  <c r="X96" i="91"/>
  <c r="Z96" i="91" s="1"/>
  <c r="X126" i="42"/>
  <c r="Z126" i="42" s="1"/>
  <c r="X67" i="48"/>
  <c r="Z67" i="48" s="1"/>
  <c r="P71" i="48"/>
  <c r="R67" i="48"/>
  <c r="D42" i="108"/>
  <c r="L39" i="108"/>
  <c r="N39" i="108" s="1"/>
  <c r="Z31" i="32"/>
  <c r="T36" i="32"/>
  <c r="Z36" i="32" s="1"/>
  <c r="T70" i="78"/>
  <c r="V67" i="78"/>
  <c r="T36" i="110"/>
  <c r="Z36" i="110" s="1"/>
  <c r="Z31" i="110"/>
  <c r="N31" i="14"/>
  <c r="H36" i="14"/>
  <c r="N36" i="14" s="1"/>
  <c r="P83" i="94"/>
  <c r="X80" i="94"/>
  <c r="Z80" i="94" s="1"/>
  <c r="R80" i="94"/>
  <c r="Z31" i="40"/>
  <c r="T36" i="40"/>
  <c r="Z36" i="40" s="1"/>
  <c r="H83" i="94"/>
  <c r="J80" i="94"/>
  <c r="N84" i="101"/>
  <c r="H87" i="101"/>
  <c r="J84" i="101"/>
  <c r="H133" i="24"/>
  <c r="J129" i="24"/>
  <c r="T134" i="39"/>
  <c r="V130" i="39"/>
  <c r="H68" i="59"/>
  <c r="L65" i="59"/>
  <c r="N65" i="59" s="1"/>
  <c r="X31" i="43"/>
  <c r="P36" i="43"/>
  <c r="L125" i="84"/>
  <c r="N125" i="84" s="1"/>
  <c r="D128" i="84"/>
  <c r="F125" i="84"/>
  <c r="X31" i="44"/>
  <c r="P36" i="44"/>
  <c r="D75" i="79"/>
  <c r="H36" i="10"/>
  <c r="N36" i="10" s="1"/>
  <c r="N31" i="10"/>
  <c r="L90" i="97"/>
  <c r="N90" i="97" s="1"/>
  <c r="D93" i="97"/>
  <c r="X72" i="79"/>
  <c r="Z72" i="79" s="1"/>
  <c r="P75" i="79"/>
  <c r="R72" i="79"/>
  <c r="X31" i="52"/>
  <c r="P36" i="52"/>
  <c r="H77" i="80"/>
  <c r="J74" i="80"/>
  <c r="Z31" i="53"/>
  <c r="T36" i="53"/>
  <c r="Z36" i="53" s="1"/>
  <c r="L31" i="40"/>
  <c r="D36" i="40"/>
  <c r="H93" i="97"/>
  <c r="J90" i="97"/>
  <c r="N31" i="26"/>
  <c r="H36" i="26"/>
  <c r="N36" i="26" s="1"/>
  <c r="Z31" i="4"/>
  <c r="T36" i="4"/>
  <c r="Z36" i="4" s="1"/>
  <c r="T87" i="75"/>
  <c r="Z83" i="75"/>
  <c r="V83" i="75"/>
  <c r="D132" i="36"/>
  <c r="L129" i="36"/>
  <c r="N129" i="36" s="1"/>
  <c r="F129" i="36"/>
  <c r="H71" i="109"/>
  <c r="N67" i="109"/>
  <c r="J67" i="109"/>
  <c r="T98" i="9"/>
  <c r="X95" i="9"/>
  <c r="Z95" i="9" s="1"/>
  <c r="T36" i="19"/>
  <c r="Z36" i="19" s="1"/>
  <c r="Z31" i="19"/>
  <c r="X84" i="83"/>
  <c r="Z84" i="83" s="1"/>
  <c r="P87" i="83"/>
  <c r="X87" i="83" s="1"/>
  <c r="T87" i="73"/>
  <c r="V83" i="73"/>
  <c r="H121" i="68"/>
  <c r="J118" i="68"/>
  <c r="H80" i="72"/>
  <c r="J77" i="72"/>
  <c r="Z31" i="29"/>
  <c r="T36" i="29"/>
  <c r="Z36" i="29" s="1"/>
  <c r="T75" i="79"/>
  <c r="V72" i="79"/>
  <c r="P36" i="22"/>
  <c r="X31" i="22"/>
  <c r="X76" i="92"/>
  <c r="Z76" i="92" s="1"/>
  <c r="P79" i="92"/>
  <c r="V58" i="104"/>
  <c r="L31" i="35"/>
  <c r="D36" i="35"/>
  <c r="N31" i="17"/>
  <c r="H36" i="17"/>
  <c r="N36" i="17" s="1"/>
  <c r="L26" i="54"/>
  <c r="D31" i="54"/>
  <c r="F105" i="33"/>
  <c r="H108" i="63"/>
  <c r="L76" i="92"/>
  <c r="D79" i="92"/>
  <c r="T36" i="35"/>
  <c r="Z36" i="35" s="1"/>
  <c r="Z31" i="35"/>
  <c r="H36" i="38"/>
  <c r="N36" i="38" s="1"/>
  <c r="N31" i="38"/>
  <c r="D31" i="6"/>
  <c r="L26" i="6"/>
  <c r="T36" i="22"/>
  <c r="Z36" i="22" s="1"/>
  <c r="Z31" i="22"/>
  <c r="P133" i="24"/>
  <c r="X129" i="24"/>
  <c r="Z129" i="24" s="1"/>
  <c r="R129" i="24"/>
  <c r="D37" i="85"/>
  <c r="L37" i="85" s="1"/>
  <c r="L34" i="85"/>
  <c r="N34" i="85" s="1"/>
  <c r="D98" i="45"/>
  <c r="L94" i="45"/>
  <c r="N94" i="45" s="1"/>
  <c r="F94" i="45"/>
  <c r="T114" i="51"/>
  <c r="V111" i="51"/>
  <c r="H102" i="33"/>
  <c r="N98" i="33"/>
  <c r="L98" i="33"/>
  <c r="J98" i="33"/>
  <c r="X31" i="16"/>
  <c r="P36" i="16"/>
  <c r="N31" i="44"/>
  <c r="H36" i="44"/>
  <c r="N36" i="44" s="1"/>
  <c r="P54" i="98"/>
  <c r="X50" i="98"/>
  <c r="Z50" i="98" s="1"/>
  <c r="R50" i="98"/>
  <c r="H36" i="8"/>
  <c r="N36" i="8" s="1"/>
  <c r="N31" i="8"/>
  <c r="H36" i="46"/>
  <c r="N36" i="46" s="1"/>
  <c r="N31" i="46"/>
  <c r="Z42" i="108"/>
  <c r="H74" i="48"/>
  <c r="J71" i="48"/>
  <c r="T65" i="67"/>
  <c r="D75" i="93"/>
  <c r="L72" i="93"/>
  <c r="X124" i="70"/>
  <c r="Z124" i="70" s="1"/>
  <c r="P127" i="70"/>
  <c r="R124" i="70"/>
  <c r="P55" i="104"/>
  <c r="X51" i="104"/>
  <c r="Z51" i="104" s="1"/>
  <c r="D87" i="83"/>
  <c r="L84" i="83"/>
  <c r="Z31" i="7"/>
  <c r="T36" i="7"/>
  <c r="Z36" i="7" s="1"/>
  <c r="T79" i="88"/>
  <c r="V76" i="88"/>
  <c r="N76" i="88"/>
  <c r="H79" i="88"/>
  <c r="J76" i="88"/>
  <c r="T133" i="24"/>
  <c r="V129" i="24"/>
  <c r="Z31" i="38"/>
  <c r="T36" i="38"/>
  <c r="Z36" i="38" s="1"/>
  <c r="H90" i="87"/>
  <c r="L90" i="87" s="1"/>
  <c r="N87" i="87"/>
  <c r="J87" i="87"/>
  <c r="D90" i="75"/>
  <c r="L87" i="75"/>
  <c r="N87" i="75" s="1"/>
  <c r="F87" i="75"/>
  <c r="T125" i="27"/>
  <c r="V121" i="27"/>
  <c r="N162" i="30"/>
  <c r="H166" i="30"/>
  <c r="J162" i="30"/>
  <c r="T74" i="57"/>
  <c r="Z136" i="74"/>
  <c r="T139" i="74"/>
  <c r="V136" i="74"/>
  <c r="T50" i="99"/>
  <c r="X47" i="99"/>
  <c r="Z47" i="99" s="1"/>
  <c r="H42" i="108"/>
  <c r="L54" i="98"/>
  <c r="D57" i="98"/>
  <c r="F54" i="98"/>
  <c r="P36" i="110"/>
  <c r="X31" i="110"/>
  <c r="X98" i="45"/>
  <c r="Z98" i="45" s="1"/>
  <c r="P101" i="45"/>
  <c r="R98" i="45"/>
  <c r="P36" i="20"/>
  <c r="X31" i="20"/>
  <c r="L73" i="72"/>
  <c r="N73" i="72" s="1"/>
  <c r="D77" i="72"/>
  <c r="L31" i="10"/>
  <c r="D36" i="10"/>
  <c r="P36" i="23"/>
  <c r="X31" i="23"/>
  <c r="P79" i="88"/>
  <c r="X79" i="88" s="1"/>
  <c r="X76" i="88"/>
  <c r="Z76" i="88" s="1"/>
  <c r="N31" i="34"/>
  <c r="H36" i="34"/>
  <c r="N36" i="34" s="1"/>
  <c r="H127" i="70"/>
  <c r="J124" i="70"/>
  <c r="T34" i="82"/>
  <c r="V31" i="82"/>
  <c r="N31" i="40"/>
  <c r="H36" i="40"/>
  <c r="N36" i="40" s="1"/>
  <c r="L94" i="95"/>
  <c r="N94" i="95" s="1"/>
  <c r="D97" i="95"/>
  <c r="D36" i="25"/>
  <c r="L31" i="25"/>
  <c r="D36" i="5"/>
  <c r="L31" i="5"/>
  <c r="X31" i="11"/>
  <c r="P36" i="11"/>
  <c r="L89" i="103"/>
  <c r="D92" i="103"/>
  <c r="F89" i="103"/>
  <c r="L31" i="31"/>
  <c r="D36" i="31"/>
  <c r="L118" i="68"/>
  <c r="N118" i="68" s="1"/>
  <c r="D121" i="68"/>
  <c r="L121" i="68" s="1"/>
  <c r="D136" i="74"/>
  <c r="L132" i="74"/>
  <c r="N132" i="74" s="1"/>
  <c r="F132" i="74"/>
  <c r="N31" i="5"/>
  <c r="H36" i="5"/>
  <c r="N36" i="5" s="1"/>
  <c r="X31" i="7"/>
  <c r="P36" i="7"/>
  <c r="Z31" i="11"/>
  <c r="T36" i="11"/>
  <c r="Z36" i="11" s="1"/>
  <c r="P75" i="69"/>
  <c r="Z31" i="31"/>
  <c r="T36" i="31"/>
  <c r="Z36" i="31" s="1"/>
  <c r="H36" i="23"/>
  <c r="N36" i="23" s="1"/>
  <c r="N31" i="23"/>
  <c r="Z121" i="84"/>
  <c r="T125" i="84"/>
  <c r="V121" i="84"/>
  <c r="D53" i="102"/>
  <c r="L50" i="102"/>
  <c r="X31" i="5"/>
  <c r="P36" i="5"/>
  <c r="H36" i="112"/>
  <c r="N36" i="112" s="1"/>
  <c r="N31" i="112"/>
  <c r="H57" i="60"/>
  <c r="X63" i="78"/>
  <c r="Z63" i="78" s="1"/>
  <c r="P67" i="78"/>
  <c r="N76" i="92"/>
  <c r="H79" i="92"/>
  <c r="J76" i="92"/>
  <c r="H31" i="6"/>
  <c r="N26" i="6"/>
  <c r="T80" i="72"/>
  <c r="V77" i="72"/>
  <c r="Z74" i="80"/>
  <c r="T77" i="80"/>
  <c r="V74" i="80"/>
  <c r="L31" i="41"/>
  <c r="D36" i="41"/>
  <c r="H36" i="43"/>
  <c r="N36" i="43" s="1"/>
  <c r="N31" i="43"/>
  <c r="Z289" i="18"/>
  <c r="T293" i="18"/>
  <c r="V289" i="18"/>
  <c r="H36" i="13"/>
  <c r="N36" i="13" s="1"/>
  <c r="N31" i="13"/>
  <c r="T92" i="103"/>
  <c r="Z89" i="103"/>
  <c r="V89" i="103"/>
  <c r="D36" i="43"/>
  <c r="L31" i="43"/>
  <c r="L31" i="111"/>
  <c r="D36" i="111"/>
  <c r="T74" i="48"/>
  <c r="V71" i="48"/>
  <c r="P36" i="50"/>
  <c r="X31" i="50"/>
  <c r="H265" i="15"/>
  <c r="J261" i="15"/>
  <c r="L129" i="24"/>
  <c r="N129" i="24" s="1"/>
  <c r="D133" i="24"/>
  <c r="H53" i="102"/>
  <c r="N50" i="102"/>
  <c r="D36" i="22"/>
  <c r="L31" i="22"/>
  <c r="D36" i="46"/>
  <c r="L31" i="46"/>
  <c r="D126" i="42"/>
  <c r="L122" i="42"/>
  <c r="N122" i="42" s="1"/>
  <c r="F122" i="42"/>
  <c r="Z31" i="14"/>
  <c r="T36" i="14"/>
  <c r="Z36" i="14" s="1"/>
  <c r="H70" i="78"/>
  <c r="J67" i="78"/>
  <c r="T132" i="36"/>
  <c r="V129" i="36"/>
  <c r="X31" i="41"/>
  <c r="P36" i="41"/>
  <c r="D70" i="78"/>
  <c r="L70" i="78" s="1"/>
  <c r="L67" i="78"/>
  <c r="N67" i="78" s="1"/>
  <c r="L31" i="82"/>
  <c r="N31" i="82" s="1"/>
  <c r="D34" i="82"/>
  <c r="F31" i="82"/>
  <c r="N270" i="12"/>
  <c r="H274" i="12"/>
  <c r="J270" i="12"/>
  <c r="X315" i="3"/>
  <c r="Z315" i="3" s="1"/>
  <c r="P320" i="3"/>
  <c r="R315" i="3"/>
  <c r="N31" i="19"/>
  <c r="H36" i="19"/>
  <c r="N36" i="19" s="1"/>
  <c r="P97" i="95"/>
  <c r="X94" i="95"/>
  <c r="R94" i="95"/>
  <c r="T31" i="54"/>
  <c r="Z26" i="54"/>
  <c r="X102" i="21"/>
  <c r="Z102" i="21" s="1"/>
  <c r="P106" i="21"/>
  <c r="R102" i="21"/>
  <c r="D293" i="18"/>
  <c r="L289" i="18"/>
  <c r="N289" i="18" s="1"/>
  <c r="F289" i="18"/>
  <c r="P296" i="18"/>
  <c r="R293" i="18"/>
  <c r="N315" i="3"/>
  <c r="H320" i="3"/>
  <c r="J315" i="3"/>
  <c r="Z31" i="37"/>
  <c r="T36" i="37"/>
  <c r="Z36" i="37" s="1"/>
  <c r="L55" i="104"/>
  <c r="N55" i="104" s="1"/>
  <c r="D58" i="104"/>
  <c r="L76" i="88"/>
  <c r="D79" i="88"/>
  <c r="L79" i="88" s="1"/>
  <c r="D36" i="8"/>
  <c r="L31" i="8"/>
  <c r="Z31" i="52"/>
  <c r="T36" i="52"/>
  <c r="Z36" i="52" s="1"/>
  <c r="X50" i="102"/>
  <c r="Z50" i="102" s="1"/>
  <c r="P53" i="102"/>
  <c r="X53" i="102" s="1"/>
  <c r="Z53" i="102" s="1"/>
  <c r="L108" i="63"/>
  <c r="V74" i="109"/>
  <c r="N89" i="103"/>
  <c r="H92" i="103"/>
  <c r="J89" i="103"/>
  <c r="L80" i="94"/>
  <c r="N80" i="94" s="1"/>
  <c r="D83" i="94"/>
  <c r="L83" i="94" s="1"/>
  <c r="L31" i="50"/>
  <c r="D36" i="50"/>
  <c r="L31" i="52"/>
  <c r="D36" i="52"/>
  <c r="D36" i="112"/>
  <c r="L31" i="112"/>
  <c r="L96" i="91"/>
  <c r="N96" i="91" s="1"/>
  <c r="D99" i="91"/>
  <c r="L99" i="91" s="1"/>
  <c r="N99" i="91" s="1"/>
  <c r="H58" i="104"/>
  <c r="T75" i="93"/>
  <c r="V72" i="93"/>
  <c r="N72" i="93"/>
  <c r="H75" i="93"/>
  <c r="J72" i="93"/>
  <c r="T274" i="12"/>
  <c r="V270" i="12"/>
  <c r="H134" i="39"/>
  <c r="L134" i="39" s="1"/>
  <c r="J130" i="39"/>
  <c r="P68" i="59"/>
  <c r="X68" i="59" s="1"/>
  <c r="Z68" i="59" s="1"/>
  <c r="X65" i="59"/>
  <c r="Z65" i="59" s="1"/>
  <c r="L31" i="34"/>
  <c r="D36" i="34"/>
  <c r="X89" i="103"/>
  <c r="P92" i="103"/>
  <c r="R89" i="103"/>
  <c r="Z31" i="13"/>
  <c r="T36" i="13"/>
  <c r="Z36" i="13" s="1"/>
  <c r="H296" i="18"/>
  <c r="J293" i="18"/>
  <c r="X65" i="67"/>
  <c r="X31" i="26"/>
  <c r="P36" i="26"/>
  <c r="P74" i="109"/>
  <c r="X71" i="109"/>
  <c r="Z71" i="109" s="1"/>
  <c r="R71" i="109"/>
  <c r="D40" i="55"/>
  <c r="L40" i="55" s="1"/>
  <c r="L37" i="55"/>
  <c r="N37" i="55" s="1"/>
  <c r="H111" i="51"/>
  <c r="J107" i="51"/>
  <c r="P31" i="54"/>
  <c r="X26" i="54"/>
  <c r="Z31" i="26"/>
  <c r="T36" i="26"/>
  <c r="Z36" i="26" s="1"/>
  <c r="L31" i="4"/>
  <c r="D36" i="4"/>
  <c r="P166" i="30"/>
  <c r="X162" i="30"/>
  <c r="Z162" i="30" s="1"/>
  <c r="R162" i="30"/>
  <c r="H36" i="37"/>
  <c r="N36" i="37" s="1"/>
  <c r="N31" i="37"/>
  <c r="D36" i="14"/>
  <c r="L31" i="14"/>
  <c r="T265" i="15"/>
  <c r="Z261" i="15"/>
  <c r="V261" i="15"/>
  <c r="L105" i="63"/>
  <c r="N105" i="63" s="1"/>
  <c r="H74" i="57"/>
  <c r="X83" i="73"/>
  <c r="Z83" i="73" s="1"/>
  <c r="X121" i="27"/>
  <c r="Z121" i="27" s="1"/>
  <c r="P125" i="27"/>
  <c r="R121" i="27"/>
  <c r="T96" i="105"/>
  <c r="V93" i="105"/>
  <c r="H139" i="74"/>
  <c r="J136" i="74"/>
  <c r="X31" i="4"/>
  <c r="P36" i="4"/>
  <c r="L31" i="20"/>
  <c r="D36" i="20"/>
  <c r="H128" i="84"/>
  <c r="J125" i="84"/>
  <c r="T36" i="34"/>
  <c r="Z36" i="34" s="1"/>
  <c r="Z31" i="34"/>
  <c r="P36" i="10"/>
  <c r="X31" i="10"/>
  <c r="D36" i="32"/>
  <c r="L31" i="32"/>
  <c r="N26" i="54"/>
  <c r="H31" i="54"/>
  <c r="L130" i="39"/>
  <c r="N130" i="39" s="1"/>
  <c r="T72" i="69"/>
  <c r="Z68" i="69"/>
  <c r="V68" i="69"/>
  <c r="N31" i="31"/>
  <c r="H36" i="31"/>
  <c r="N36" i="31" s="1"/>
  <c r="Z31" i="111"/>
  <c r="T36" i="111"/>
  <c r="Z36" i="111" s="1"/>
  <c r="H72" i="79"/>
  <c r="L72" i="79" s="1"/>
  <c r="N68" i="79"/>
  <c r="J68" i="79"/>
  <c r="H75" i="69"/>
  <c r="J72" i="69"/>
  <c r="X72" i="93"/>
  <c r="Z72" i="93" s="1"/>
  <c r="P75" i="93"/>
  <c r="X31" i="8"/>
  <c r="P36" i="8"/>
  <c r="R37" i="85"/>
  <c r="T108" i="63"/>
  <c r="P36" i="35"/>
  <c r="X31" i="35"/>
  <c r="P36" i="34"/>
  <c r="X31" i="34"/>
  <c r="P36" i="38"/>
  <c r="X31" i="38"/>
  <c r="N31" i="35"/>
  <c r="H36" i="35"/>
  <c r="N36" i="35" s="1"/>
  <c r="Z57" i="60"/>
  <c r="P56" i="61"/>
  <c r="X56" i="61" s="1"/>
  <c r="X53" i="61"/>
  <c r="Z53" i="61" s="1"/>
  <c r="X62" i="67"/>
  <c r="Z62" i="67" s="1"/>
  <c r="D98" i="9"/>
  <c r="L98" i="9" s="1"/>
  <c r="N98" i="9" s="1"/>
  <c r="L95" i="9"/>
  <c r="N95" i="9" s="1"/>
  <c r="H36" i="29"/>
  <c r="N36" i="29" s="1"/>
  <c r="N31" i="29"/>
  <c r="L74" i="80"/>
  <c r="N74" i="80" s="1"/>
  <c r="D77" i="80"/>
  <c r="L77" i="80" s="1"/>
  <c r="D36" i="49"/>
  <c r="L31" i="49"/>
  <c r="L62" i="67"/>
  <c r="D65" i="67"/>
  <c r="X31" i="13"/>
  <c r="P36" i="13"/>
  <c r="Z31" i="28"/>
  <c r="T36" i="28"/>
  <c r="Z36" i="28" s="1"/>
  <c r="Z31" i="16"/>
  <c r="T36" i="16"/>
  <c r="Z36" i="16" s="1"/>
  <c r="X31" i="46"/>
  <c r="P36" i="46"/>
  <c r="N31" i="32"/>
  <c r="H36" i="32"/>
  <c r="N36" i="32" s="1"/>
  <c r="T102" i="33"/>
  <c r="V98" i="33"/>
  <c r="X84" i="101"/>
  <c r="Z84" i="101" s="1"/>
  <c r="P87" i="101"/>
  <c r="D36" i="38"/>
  <c r="L31" i="38"/>
  <c r="Z31" i="8"/>
  <c r="T36" i="8"/>
  <c r="Z36" i="8" s="1"/>
  <c r="Z31" i="46"/>
  <c r="T36" i="46"/>
  <c r="Z36" i="46" s="1"/>
  <c r="H90" i="75"/>
  <c r="J87" i="75"/>
  <c r="Z31" i="25"/>
  <c r="T36" i="25"/>
  <c r="Z36" i="25" s="1"/>
  <c r="N54" i="98"/>
  <c r="H57" i="98"/>
  <c r="J54" i="98"/>
  <c r="N76" i="58"/>
  <c r="H79" i="58"/>
  <c r="L76" i="58"/>
  <c r="X87" i="73"/>
  <c r="P90" i="73"/>
  <c r="L102" i="21"/>
  <c r="N102" i="21" s="1"/>
  <c r="L87" i="73"/>
  <c r="N87" i="73" s="1"/>
  <c r="D90" i="73"/>
  <c r="L90" i="73" s="1"/>
  <c r="T320" i="3"/>
  <c r="V315" i="3"/>
  <c r="X31" i="37"/>
  <c r="P36" i="37"/>
  <c r="X31" i="17"/>
  <c r="P36" i="17"/>
  <c r="D36" i="37"/>
  <c r="L31" i="37"/>
  <c r="D137" i="39"/>
  <c r="F134" i="39"/>
  <c r="P118" i="68"/>
  <c r="X114" i="68"/>
  <c r="Z114" i="68" s="1"/>
  <c r="R114" i="68"/>
  <c r="L31" i="7"/>
  <c r="D36" i="7"/>
  <c r="L261" i="15"/>
  <c r="N261" i="15" s="1"/>
  <c r="D265" i="15"/>
  <c r="F261" i="15"/>
  <c r="X98" i="33"/>
  <c r="Z98" i="33" s="1"/>
  <c r="P102" i="33"/>
  <c r="R98" i="33"/>
  <c r="H36" i="111"/>
  <c r="N36" i="111" s="1"/>
  <c r="N31" i="111"/>
  <c r="D125" i="27"/>
  <c r="L121" i="27"/>
  <c r="N121" i="27" s="1"/>
  <c r="F121" i="27"/>
  <c r="Z74" i="56"/>
  <c r="T77" i="56"/>
  <c r="P96" i="105"/>
  <c r="X93" i="105"/>
  <c r="Z93" i="105" s="1"/>
  <c r="R93" i="105"/>
  <c r="D36" i="23"/>
  <c r="L31" i="23"/>
  <c r="H65" i="67"/>
  <c r="N62" i="67"/>
  <c r="N87" i="107"/>
  <c r="H90" i="107"/>
  <c r="J87" i="107"/>
  <c r="X31" i="47"/>
  <c r="P36" i="47"/>
  <c r="X36" i="47" s="1"/>
  <c r="L31" i="17"/>
  <c r="D36" i="17"/>
  <c r="L124" i="70"/>
  <c r="N124" i="70" s="1"/>
  <c r="D127" i="70"/>
  <c r="F124" i="70"/>
  <c r="Z37" i="55"/>
  <c r="T40" i="55"/>
  <c r="Z94" i="95"/>
  <c r="T97" i="95"/>
  <c r="V94" i="95"/>
  <c r="L31" i="110"/>
  <c r="D36" i="110"/>
  <c r="D36" i="47"/>
  <c r="L31" i="47"/>
  <c r="N65" i="100"/>
  <c r="H68" i="100"/>
  <c r="T79" i="92"/>
  <c r="V76" i="92"/>
  <c r="H97" i="95"/>
  <c r="J94" i="95"/>
  <c r="X31" i="31"/>
  <c r="P36" i="31"/>
  <c r="T36" i="5"/>
  <c r="Z36" i="5" s="1"/>
  <c r="Z31" i="5"/>
  <c r="P80" i="72"/>
  <c r="X80" i="72" s="1"/>
  <c r="X77" i="72"/>
  <c r="Z77" i="72" s="1"/>
  <c r="N31" i="25"/>
  <c r="H36" i="25"/>
  <c r="N36" i="25" s="1"/>
  <c r="X87" i="107"/>
  <c r="Z87" i="107" s="1"/>
  <c r="P90" i="107"/>
  <c r="X90" i="107" s="1"/>
  <c r="D109" i="21"/>
  <c r="L106" i="21"/>
  <c r="X31" i="82"/>
  <c r="Z31" i="82" s="1"/>
  <c r="P34" i="82"/>
  <c r="R31" i="82"/>
  <c r="P68" i="100"/>
  <c r="X68" i="100" s="1"/>
  <c r="X65" i="100"/>
  <c r="Z65" i="100" s="1"/>
  <c r="T37" i="85"/>
  <c r="Z34" i="85"/>
  <c r="V34" i="85"/>
  <c r="H87" i="83"/>
  <c r="N84" i="83"/>
  <c r="J84" i="83"/>
  <c r="Z31" i="50"/>
  <c r="T36" i="50"/>
  <c r="Z36" i="50" s="1"/>
  <c r="D75" i="69"/>
  <c r="L75" i="69" s="1"/>
  <c r="L72" i="69"/>
  <c r="N72" i="69" s="1"/>
  <c r="X125" i="36"/>
  <c r="Z125" i="36" s="1"/>
  <c r="P129" i="36"/>
  <c r="R125" i="36"/>
  <c r="L111" i="76"/>
  <c r="N111" i="76" s="1"/>
  <c r="D114" i="76"/>
  <c r="F111" i="76"/>
  <c r="H36" i="22"/>
  <c r="N36" i="22" s="1"/>
  <c r="N31" i="22"/>
  <c r="D74" i="57"/>
  <c r="L74" i="57" s="1"/>
  <c r="L71" i="57"/>
  <c r="N71" i="57" s="1"/>
  <c r="X77" i="56" l="1"/>
  <c r="Z77" i="56" s="1"/>
  <c r="X36" i="10"/>
  <c r="L36" i="28"/>
  <c r="L36" i="110"/>
  <c r="L36" i="52"/>
  <c r="L36" i="41"/>
  <c r="X36" i="31"/>
  <c r="L36" i="7"/>
  <c r="L36" i="47"/>
  <c r="X36" i="23"/>
  <c r="L36" i="4"/>
  <c r="L36" i="112"/>
  <c r="X36" i="38"/>
  <c r="L36" i="49"/>
  <c r="X36" i="17"/>
  <c r="L36" i="20"/>
  <c r="L36" i="16"/>
  <c r="X36" i="41"/>
  <c r="X36" i="13"/>
  <c r="L36" i="46"/>
  <c r="L36" i="34"/>
  <c r="X36" i="110"/>
  <c r="L36" i="11"/>
  <c r="L36" i="8"/>
  <c r="L36" i="23"/>
  <c r="L36" i="14"/>
  <c r="X36" i="4"/>
  <c r="L36" i="38"/>
  <c r="L36" i="10"/>
  <c r="L36" i="17"/>
  <c r="X36" i="20"/>
  <c r="L36" i="31"/>
  <c r="L36" i="40"/>
  <c r="X36" i="40"/>
  <c r="L36" i="32"/>
  <c r="X36" i="26"/>
  <c r="X36" i="7"/>
  <c r="X36" i="28"/>
  <c r="L36" i="5"/>
  <c r="X34" i="82"/>
  <c r="R34" i="82"/>
  <c r="X36" i="46"/>
  <c r="X75" i="93"/>
  <c r="V96" i="105"/>
  <c r="V92" i="103"/>
  <c r="T128" i="84"/>
  <c r="X128" i="84" s="1"/>
  <c r="V125" i="84"/>
  <c r="V139" i="74"/>
  <c r="L90" i="75"/>
  <c r="F90" i="75"/>
  <c r="X36" i="16"/>
  <c r="V75" i="79"/>
  <c r="H74" i="109"/>
  <c r="J71" i="109"/>
  <c r="J93" i="97"/>
  <c r="H136" i="24"/>
  <c r="J133" i="24"/>
  <c r="X83" i="94"/>
  <c r="R83" i="94"/>
  <c r="V57" i="98"/>
  <c r="X79" i="58"/>
  <c r="Z79" i="58" s="1"/>
  <c r="X108" i="63"/>
  <c r="Z108" i="63" s="1"/>
  <c r="V129" i="42"/>
  <c r="L166" i="30"/>
  <c r="D169" i="30"/>
  <c r="F166" i="30"/>
  <c r="X274" i="12"/>
  <c r="P277" i="12"/>
  <c r="R274" i="12"/>
  <c r="X74" i="109"/>
  <c r="Z74" i="109" s="1"/>
  <c r="R74" i="109"/>
  <c r="V132" i="36"/>
  <c r="X101" i="45"/>
  <c r="R101" i="45"/>
  <c r="V114" i="76"/>
  <c r="L320" i="3"/>
  <c r="F320" i="3"/>
  <c r="V87" i="101"/>
  <c r="L79" i="58"/>
  <c r="N79" i="58" s="1"/>
  <c r="X31" i="54"/>
  <c r="Z31" i="54" s="1"/>
  <c r="L36" i="50"/>
  <c r="H277" i="12"/>
  <c r="J274" i="12"/>
  <c r="X36" i="50"/>
  <c r="P70" i="78"/>
  <c r="X70" i="78" s="1"/>
  <c r="X67" i="78"/>
  <c r="Z67" i="78" s="1"/>
  <c r="N79" i="88"/>
  <c r="J79" i="88"/>
  <c r="J74" i="48"/>
  <c r="D101" i="45"/>
  <c r="L98" i="45"/>
  <c r="F98" i="45"/>
  <c r="L128" i="84"/>
  <c r="N128" i="84" s="1"/>
  <c r="F128" i="84"/>
  <c r="L42" i="108"/>
  <c r="Z68" i="100"/>
  <c r="V68" i="100"/>
  <c r="X134" i="39"/>
  <c r="P137" i="39"/>
  <c r="R134" i="39"/>
  <c r="N40" i="55"/>
  <c r="Z56" i="61"/>
  <c r="L36" i="53"/>
  <c r="L71" i="109"/>
  <c r="N71" i="109" s="1"/>
  <c r="D74" i="109"/>
  <c r="F71" i="109"/>
  <c r="X36" i="25"/>
  <c r="Z75" i="93"/>
  <c r="V75" i="93"/>
  <c r="J129" i="42"/>
  <c r="X31" i="6"/>
  <c r="Z31" i="6" s="1"/>
  <c r="L125" i="27"/>
  <c r="D128" i="27"/>
  <c r="F125" i="27"/>
  <c r="X36" i="34"/>
  <c r="N70" i="78"/>
  <c r="J70" i="78"/>
  <c r="V74" i="48"/>
  <c r="Z77" i="80"/>
  <c r="V77" i="80"/>
  <c r="N90" i="87"/>
  <c r="J90" i="87"/>
  <c r="P58" i="104"/>
  <c r="X58" i="104" s="1"/>
  <c r="Z58" i="104" s="1"/>
  <c r="X55" i="104"/>
  <c r="Z55" i="104" s="1"/>
  <c r="L79" i="92"/>
  <c r="L36" i="35"/>
  <c r="L132" i="36"/>
  <c r="N132" i="36" s="1"/>
  <c r="F132" i="36"/>
  <c r="X36" i="43"/>
  <c r="J87" i="101"/>
  <c r="L57" i="60"/>
  <c r="N57" i="60" s="1"/>
  <c r="Z101" i="45"/>
  <c r="V101" i="45"/>
  <c r="L111" i="51"/>
  <c r="D114" i="51"/>
  <c r="F111" i="51"/>
  <c r="J114" i="76"/>
  <c r="X36" i="111"/>
  <c r="T136" i="24"/>
  <c r="V133" i="24"/>
  <c r="T75" i="69"/>
  <c r="V72" i="69"/>
  <c r="X75" i="79"/>
  <c r="Z75" i="79" s="1"/>
  <c r="R75" i="79"/>
  <c r="V90" i="87"/>
  <c r="J57" i="98"/>
  <c r="N75" i="69"/>
  <c r="J75" i="69"/>
  <c r="H114" i="51"/>
  <c r="N111" i="51"/>
  <c r="J111" i="51"/>
  <c r="N134" i="39"/>
  <c r="H137" i="39"/>
  <c r="L137" i="39" s="1"/>
  <c r="J134" i="39"/>
  <c r="L34" i="82"/>
  <c r="F34" i="82"/>
  <c r="T296" i="18"/>
  <c r="V293" i="18"/>
  <c r="X36" i="11"/>
  <c r="Z34" i="82"/>
  <c r="V34" i="82"/>
  <c r="L57" i="98"/>
  <c r="N57" i="98" s="1"/>
  <c r="F57" i="98"/>
  <c r="L93" i="97"/>
  <c r="N93" i="97" s="1"/>
  <c r="H101" i="45"/>
  <c r="N98" i="45"/>
  <c r="J98" i="45"/>
  <c r="X36" i="49"/>
  <c r="X36" i="112"/>
  <c r="X139" i="74"/>
  <c r="Z139" i="74" s="1"/>
  <c r="R139" i="74"/>
  <c r="X77" i="80"/>
  <c r="X36" i="14"/>
  <c r="L56" i="61"/>
  <c r="N56" i="61" s="1"/>
  <c r="N79" i="92"/>
  <c r="J79" i="92"/>
  <c r="T90" i="73"/>
  <c r="Z87" i="73"/>
  <c r="V87" i="73"/>
  <c r="L114" i="76"/>
  <c r="N114" i="76" s="1"/>
  <c r="F114" i="76"/>
  <c r="P121" i="68"/>
  <c r="X118" i="68"/>
  <c r="Z118" i="68" s="1"/>
  <c r="R118" i="68"/>
  <c r="J87" i="83"/>
  <c r="J97" i="95"/>
  <c r="V97" i="95"/>
  <c r="X87" i="101"/>
  <c r="Z87" i="101" s="1"/>
  <c r="X36" i="35"/>
  <c r="P169" i="30"/>
  <c r="X166" i="30"/>
  <c r="R166" i="30"/>
  <c r="J296" i="18"/>
  <c r="X293" i="18"/>
  <c r="Z293" i="18" s="1"/>
  <c r="X97" i="95"/>
  <c r="Z97" i="95" s="1"/>
  <c r="R97" i="95"/>
  <c r="D136" i="24"/>
  <c r="L136" i="24" s="1"/>
  <c r="L133" i="24"/>
  <c r="N133" i="24" s="1"/>
  <c r="N166" i="30"/>
  <c r="H169" i="30"/>
  <c r="J166" i="30"/>
  <c r="Z79" i="88"/>
  <c r="V79" i="88"/>
  <c r="X127" i="70"/>
  <c r="R127" i="70"/>
  <c r="J80" i="72"/>
  <c r="X71" i="48"/>
  <c r="Z71" i="48" s="1"/>
  <c r="P74" i="48"/>
  <c r="R71" i="48"/>
  <c r="X36" i="29"/>
  <c r="T169" i="30"/>
  <c r="Z166" i="30"/>
  <c r="V166" i="30"/>
  <c r="X90" i="87"/>
  <c r="Z90" i="87" s="1"/>
  <c r="N37" i="85"/>
  <c r="J37" i="85"/>
  <c r="D277" i="12"/>
  <c r="L274" i="12"/>
  <c r="N274" i="12" s="1"/>
  <c r="F274" i="12"/>
  <c r="X125" i="27"/>
  <c r="P128" i="27"/>
  <c r="R125" i="27"/>
  <c r="L92" i="103"/>
  <c r="N92" i="103" s="1"/>
  <c r="F92" i="103"/>
  <c r="X265" i="15"/>
  <c r="Z265" i="15" s="1"/>
  <c r="P268" i="15"/>
  <c r="R265" i="15"/>
  <c r="X96" i="105"/>
  <c r="Z96" i="105" s="1"/>
  <c r="R96" i="105"/>
  <c r="F137" i="39"/>
  <c r="V320" i="3"/>
  <c r="N74" i="57"/>
  <c r="J92" i="103"/>
  <c r="R296" i="18"/>
  <c r="L36" i="111"/>
  <c r="L77" i="72"/>
  <c r="N77" i="72" s="1"/>
  <c r="D80" i="72"/>
  <c r="L80" i="72" s="1"/>
  <c r="N80" i="72" s="1"/>
  <c r="X133" i="24"/>
  <c r="Z133" i="24" s="1"/>
  <c r="P136" i="24"/>
  <c r="R133" i="24"/>
  <c r="N108" i="63"/>
  <c r="T90" i="75"/>
  <c r="V87" i="75"/>
  <c r="L68" i="59"/>
  <c r="N68" i="59" s="1"/>
  <c r="N83" i="94"/>
  <c r="J83" i="94"/>
  <c r="Z70" i="78"/>
  <c r="V70" i="78"/>
  <c r="X111" i="51"/>
  <c r="Z111" i="51" s="1"/>
  <c r="P114" i="51"/>
  <c r="R111" i="51"/>
  <c r="Z83" i="94"/>
  <c r="V83" i="94"/>
  <c r="H109" i="21"/>
  <c r="L109" i="21" s="1"/>
  <c r="N106" i="21"/>
  <c r="J106" i="21"/>
  <c r="L36" i="26"/>
  <c r="D74" i="48"/>
  <c r="L71" i="48"/>
  <c r="N71" i="48" s="1"/>
  <c r="F71" i="48"/>
  <c r="X90" i="75"/>
  <c r="R90" i="75"/>
  <c r="J96" i="105"/>
  <c r="L68" i="100"/>
  <c r="X106" i="21"/>
  <c r="P109" i="21"/>
  <c r="R106" i="21"/>
  <c r="N320" i="3"/>
  <c r="J320" i="3"/>
  <c r="Z80" i="72"/>
  <c r="V80" i="72"/>
  <c r="X36" i="5"/>
  <c r="X72" i="69"/>
  <c r="Z72" i="69" s="1"/>
  <c r="J127" i="70"/>
  <c r="N42" i="108"/>
  <c r="H105" i="33"/>
  <c r="J102" i="33"/>
  <c r="L102" i="33"/>
  <c r="N102" i="33" s="1"/>
  <c r="X79" i="92"/>
  <c r="Z79" i="92" s="1"/>
  <c r="N77" i="80"/>
  <c r="J77" i="80"/>
  <c r="X36" i="53"/>
  <c r="L93" i="105"/>
  <c r="N93" i="105" s="1"/>
  <c r="D96" i="105"/>
  <c r="F93" i="105"/>
  <c r="X114" i="76"/>
  <c r="Z114" i="76" s="1"/>
  <c r="R114" i="76"/>
  <c r="L36" i="44"/>
  <c r="Z90" i="97"/>
  <c r="T93" i="97"/>
  <c r="V90" i="97"/>
  <c r="X90" i="97"/>
  <c r="J132" i="36"/>
  <c r="X125" i="84"/>
  <c r="Z125" i="84" s="1"/>
  <c r="X40" i="55"/>
  <c r="X36" i="19"/>
  <c r="X87" i="75"/>
  <c r="Z87" i="75" s="1"/>
  <c r="J128" i="84"/>
  <c r="Z74" i="57"/>
  <c r="X129" i="36"/>
  <c r="Z129" i="36" s="1"/>
  <c r="P132" i="36"/>
  <c r="R129" i="36"/>
  <c r="V37" i="85"/>
  <c r="L65" i="67"/>
  <c r="N65" i="67" s="1"/>
  <c r="Z274" i="12"/>
  <c r="T277" i="12"/>
  <c r="V274" i="12"/>
  <c r="D139" i="74"/>
  <c r="L136" i="74"/>
  <c r="N136" i="74" s="1"/>
  <c r="F136" i="74"/>
  <c r="Z125" i="27"/>
  <c r="T128" i="27"/>
  <c r="V125" i="27"/>
  <c r="L75" i="93"/>
  <c r="N75" i="93" s="1"/>
  <c r="N121" i="68"/>
  <c r="J121" i="68"/>
  <c r="X98" i="9"/>
  <c r="Z98" i="9" s="1"/>
  <c r="X74" i="57"/>
  <c r="X129" i="42"/>
  <c r="Z129" i="42" s="1"/>
  <c r="N77" i="56"/>
  <c r="L36" i="13"/>
  <c r="N90" i="73"/>
  <c r="J90" i="73"/>
  <c r="R128" i="84"/>
  <c r="L36" i="29"/>
  <c r="L36" i="22"/>
  <c r="Z40" i="55"/>
  <c r="P105" i="33"/>
  <c r="X102" i="33"/>
  <c r="Z102" i="33" s="1"/>
  <c r="R102" i="33"/>
  <c r="V79" i="92"/>
  <c r="N90" i="75"/>
  <c r="J90" i="75"/>
  <c r="T105" i="33"/>
  <c r="V102" i="33"/>
  <c r="X37" i="85"/>
  <c r="Z37" i="85" s="1"/>
  <c r="J139" i="74"/>
  <c r="X92" i="103"/>
  <c r="Z92" i="103" s="1"/>
  <c r="R92" i="103"/>
  <c r="L58" i="104"/>
  <c r="N58" i="104" s="1"/>
  <c r="L293" i="18"/>
  <c r="N293" i="18" s="1"/>
  <c r="D296" i="18"/>
  <c r="F293" i="18"/>
  <c r="L36" i="43"/>
  <c r="L36" i="25"/>
  <c r="X50" i="99"/>
  <c r="Z50" i="99" s="1"/>
  <c r="L87" i="83"/>
  <c r="N87" i="83" s="1"/>
  <c r="Z65" i="67"/>
  <c r="P57" i="98"/>
  <c r="X54" i="98"/>
  <c r="Z54" i="98" s="1"/>
  <c r="R54" i="98"/>
  <c r="V114" i="51"/>
  <c r="L31" i="54"/>
  <c r="N31" i="54" s="1"/>
  <c r="X36" i="52"/>
  <c r="Z134" i="39"/>
  <c r="T137" i="39"/>
  <c r="V134" i="39"/>
  <c r="X36" i="32"/>
  <c r="L87" i="101"/>
  <c r="N87" i="101" s="1"/>
  <c r="Z127" i="70"/>
  <c r="V127" i="70"/>
  <c r="N34" i="82"/>
  <c r="J34" i="82"/>
  <c r="X36" i="37"/>
  <c r="N72" i="79"/>
  <c r="H75" i="79"/>
  <c r="L75" i="79" s="1"/>
  <c r="J72" i="79"/>
  <c r="L36" i="37"/>
  <c r="N68" i="100"/>
  <c r="L127" i="70"/>
  <c r="N127" i="70" s="1"/>
  <c r="F127" i="70"/>
  <c r="J90" i="107"/>
  <c r="L265" i="15"/>
  <c r="N265" i="15" s="1"/>
  <c r="D268" i="15"/>
  <c r="F265" i="15"/>
  <c r="X90" i="73"/>
  <c r="X36" i="8"/>
  <c r="T268" i="15"/>
  <c r="V265" i="15"/>
  <c r="J75" i="93"/>
  <c r="X320" i="3"/>
  <c r="Z320" i="3" s="1"/>
  <c r="R320" i="3"/>
  <c r="D129" i="42"/>
  <c r="L126" i="42"/>
  <c r="N126" i="42" s="1"/>
  <c r="F126" i="42"/>
  <c r="H268" i="15"/>
  <c r="J265" i="15"/>
  <c r="L53" i="102"/>
  <c r="N53" i="102" s="1"/>
  <c r="L97" i="95"/>
  <c r="N97" i="95" s="1"/>
  <c r="L31" i="6"/>
  <c r="N31" i="6" s="1"/>
  <c r="X36" i="22"/>
  <c r="X36" i="44"/>
  <c r="L36" i="19"/>
  <c r="Z106" i="21"/>
  <c r="T109" i="21"/>
  <c r="V106" i="21"/>
  <c r="H128" i="27"/>
  <c r="N125" i="27"/>
  <c r="J125" i="27"/>
  <c r="V121" i="68"/>
  <c r="Z87" i="83"/>
  <c r="V87" i="83"/>
  <c r="Z90" i="107"/>
  <c r="V90" i="107"/>
  <c r="L90" i="107"/>
  <c r="N90" i="107" s="1"/>
  <c r="L268" i="15" l="1"/>
  <c r="N268" i="15" s="1"/>
  <c r="F268" i="15"/>
  <c r="X128" i="27"/>
  <c r="Z128" i="27" s="1"/>
  <c r="R128" i="27"/>
  <c r="J114" i="51"/>
  <c r="J74" i="109"/>
  <c r="V75" i="69"/>
  <c r="L296" i="18"/>
  <c r="N296" i="18" s="1"/>
  <c r="F296" i="18"/>
  <c r="V128" i="27"/>
  <c r="X132" i="36"/>
  <c r="Z132" i="36" s="1"/>
  <c r="R132" i="36"/>
  <c r="X74" i="48"/>
  <c r="Z74" i="48" s="1"/>
  <c r="R74" i="48"/>
  <c r="V296" i="18"/>
  <c r="L74" i="48"/>
  <c r="N74" i="48" s="1"/>
  <c r="F74" i="48"/>
  <c r="Z90" i="73"/>
  <c r="V90" i="73"/>
  <c r="V136" i="24"/>
  <c r="X137" i="39"/>
  <c r="Z137" i="39" s="1"/>
  <c r="R137" i="39"/>
  <c r="V105" i="33"/>
  <c r="V93" i="97"/>
  <c r="X93" i="97"/>
  <c r="Z93" i="97" s="1"/>
  <c r="X75" i="69"/>
  <c r="Z75" i="69" s="1"/>
  <c r="X136" i="24"/>
  <c r="Z136" i="24" s="1"/>
  <c r="R136" i="24"/>
  <c r="L101" i="45"/>
  <c r="F101" i="45"/>
  <c r="X277" i="12"/>
  <c r="R277" i="12"/>
  <c r="L139" i="74"/>
  <c r="N139" i="74" s="1"/>
  <c r="F139" i="74"/>
  <c r="J105" i="33"/>
  <c r="L105" i="33"/>
  <c r="N105" i="33" s="1"/>
  <c r="X109" i="21"/>
  <c r="Z109" i="21" s="1"/>
  <c r="R109" i="21"/>
  <c r="N101" i="45"/>
  <c r="J101" i="45"/>
  <c r="L129" i="42"/>
  <c r="N129" i="42" s="1"/>
  <c r="F129" i="42"/>
  <c r="X105" i="33"/>
  <c r="Z105" i="33" s="1"/>
  <c r="R105" i="33"/>
  <c r="N109" i="21"/>
  <c r="J109" i="21"/>
  <c r="X296" i="18"/>
  <c r="Z296" i="18" s="1"/>
  <c r="J128" i="27"/>
  <c r="Z90" i="75"/>
  <c r="V90" i="75"/>
  <c r="X268" i="15"/>
  <c r="Z268" i="15" s="1"/>
  <c r="R268" i="15"/>
  <c r="L169" i="30"/>
  <c r="N169" i="30" s="1"/>
  <c r="F169" i="30"/>
  <c r="N136" i="24"/>
  <c r="J136" i="24"/>
  <c r="Z128" i="84"/>
  <c r="V128" i="84"/>
  <c r="V268" i="15"/>
  <c r="Z277" i="12"/>
  <c r="V277" i="12"/>
  <c r="V109" i="21"/>
  <c r="J268" i="15"/>
  <c r="N75" i="79"/>
  <c r="J75" i="79"/>
  <c r="V137" i="39"/>
  <c r="N137" i="39"/>
  <c r="J137" i="39"/>
  <c r="L114" i="51"/>
  <c r="N114" i="51" s="1"/>
  <c r="F114" i="51"/>
  <c r="L74" i="109"/>
  <c r="N74" i="109" s="1"/>
  <c r="F74" i="109"/>
  <c r="J277" i="12"/>
  <c r="L277" i="12"/>
  <c r="N277" i="12" s="1"/>
  <c r="F277" i="12"/>
  <c r="X121" i="68"/>
  <c r="Z121" i="68" s="1"/>
  <c r="R121" i="68"/>
  <c r="L128" i="27"/>
  <c r="N128" i="27" s="1"/>
  <c r="F128" i="27"/>
  <c r="X57" i="98"/>
  <c r="Z57" i="98" s="1"/>
  <c r="R57" i="98"/>
  <c r="L96" i="105"/>
  <c r="N96" i="105" s="1"/>
  <c r="F96" i="105"/>
  <c r="X114" i="51"/>
  <c r="Z114" i="51" s="1"/>
  <c r="R114" i="51"/>
  <c r="V169" i="30"/>
  <c r="J169" i="30"/>
  <c r="X169" i="30"/>
  <c r="Z169" i="30" s="1"/>
  <c r="R169" i="30"/>
</calcChain>
</file>

<file path=xl/sharedStrings.xml><?xml version="1.0" encoding="utf-8"?>
<sst xmlns="http://schemas.openxmlformats.org/spreadsheetml/2006/main" count="2922" uniqueCount="314">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</sst>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68" fontId="2" fillId="2" borderId="3" xfId="2" applyNumberFormat="1" applyFont="1" applyFill="1" applyBorder="1"/>
    <xf numFmtId="167" fontId="2" fillId="2" borderId="4" xfId="3" applyNumberFormat="1" applyFont="1" applyFill="1" applyBorder="1"/>
    <xf numFmtId="168" fontId="2" fillId="2" borderId="4" xfId="2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167" fontId="2" fillId="0" borderId="0" xfId="3" applyNumberFormat="1" applyFont="1" applyFill="1" applyBorder="1"/>
    <xf numFmtId="167" fontId="2" fillId="2" borderId="3" xfId="3" applyNumberFormat="1" applyFont="1" applyFill="1" applyBorder="1"/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0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3" applyNumberFormat="1" applyFont="1" applyAlignment="1">
      <alignment horizontal="centerContinuous"/>
    </xf>
    <xf numFmtId="167" fontId="0" fillId="0" borderId="0" xfId="0" applyNumberFormat="1" applyFill="1"/>
    <xf numFmtId="167" fontId="0" fillId="0" borderId="0" xfId="3" applyNumberFormat="1" applyFont="1"/>
    <xf numFmtId="164" fontId="2" fillId="0" borderId="0" xfId="1" applyNumberFormat="1" applyFont="1" applyAlignment="1">
      <alignment horizontal="left"/>
    </xf>
    <xf numFmtId="49" fontId="2" fillId="0" borderId="0" xfId="0" applyNumberFormat="1" applyFont="1" applyFill="1"/>
    <xf numFmtId="164" fontId="2" fillId="0" borderId="0" xfId="1" applyNumberFormat="1" applyFont="1" applyFill="1" applyAlignment="1">
      <alignment horizontal="centerContinuous"/>
    </xf>
    <xf numFmtId="0" fontId="3" fillId="0" borderId="0" xfId="0" applyFont="1" applyFill="1"/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Fill="1" applyBorder="1"/>
    <xf numFmtId="0" fontId="4" fillId="0" borderId="0" xfId="0" applyFont="1"/>
    <xf numFmtId="165" fontId="0" fillId="0" borderId="0" xfId="0" applyNumberFormat="1"/>
    <xf numFmtId="0" fontId="0" fillId="0" borderId="0" xfId="0" applyFill="1" applyAlignment="1">
      <alignment horizontal="centerContinuous"/>
    </xf>
    <xf numFmtId="0" fontId="5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Border="1"/>
    <xf numFmtId="166" fontId="5" fillId="0" borderId="0" xfId="0" applyNumberFormat="1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ustomXml" Target="../customXml/item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298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307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307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308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308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311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311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304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5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304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302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302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303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303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312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25"/>
  <sheetViews>
    <sheetView tabSelected="1" zoomScale="80" workbookViewId="0">
      <pane xSplit="3" ySplit="10" topLeftCell="D312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295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1462324.1500000001</v>
      </c>
      <c r="E12" s="4"/>
      <c r="F12" s="12"/>
      <c r="G12" s="4"/>
      <c r="H12" s="4">
        <f>SUM(OSRRefH13x_0)</f>
        <v>3653867.1400000011</v>
      </c>
      <c r="I12" s="4"/>
      <c r="J12" s="12"/>
      <c r="K12" s="4"/>
      <c r="L12" s="4">
        <f t="shared" ref="L12:L133" si="0">+D12-H12</f>
        <v>-2191542.9900000012</v>
      </c>
      <c r="M12" s="4"/>
      <c r="N12" s="12">
        <f t="shared" ref="N12:N133" si="1">IF(H12=0,0,L12/H12)</f>
        <v>-0.59978726812710559</v>
      </c>
      <c r="O12" s="10"/>
      <c r="P12" s="4">
        <f>SUM(OSRRefP13x_0)</f>
        <v>6605255.6599999983</v>
      </c>
      <c r="Q12" s="4"/>
      <c r="R12" s="12"/>
      <c r="S12" s="4"/>
      <c r="T12" s="4">
        <f>SUM(OSRRefT13x_0)</f>
        <v>21731698.209999997</v>
      </c>
      <c r="U12" s="4"/>
      <c r="V12" s="12"/>
      <c r="W12" s="4"/>
      <c r="X12" s="4">
        <f t="shared" ref="X12:X133" si="2">+P12-T12</f>
        <v>-15126442.549999999</v>
      </c>
      <c r="Y12" s="4"/>
      <c r="Z12" s="12">
        <f t="shared" ref="Z12:Z133" si="3">IF(T12=0,0,X12/T12)</f>
        <v>-0.69605432598173378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-12518.13</f>
        <v>-12518.13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-12518.13</v>
      </c>
      <c r="M13" s="2"/>
      <c r="N13" s="19">
        <f t="shared" si="1"/>
        <v>0</v>
      </c>
      <c r="O13" s="11"/>
      <c r="P13" s="2">
        <f>-103655.99</f>
        <v>-103655.99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-103655.99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--459430.32</f>
        <v>459430.32</v>
      </c>
      <c r="E14" s="2"/>
      <c r="F14" s="19"/>
      <c r="G14" s="2"/>
      <c r="H14" s="2">
        <f>--745942.38</f>
        <v>745942.38</v>
      </c>
      <c r="I14" s="2"/>
      <c r="J14" s="19"/>
      <c r="K14" s="2"/>
      <c r="L14" s="2">
        <f t="shared" si="0"/>
        <v>-286512.06</v>
      </c>
      <c r="M14" s="2"/>
      <c r="N14" s="19">
        <f t="shared" si="1"/>
        <v>-0.38409409048457605</v>
      </c>
      <c r="O14" s="11"/>
      <c r="P14" s="2">
        <f>--1190096.34</f>
        <v>1190096.3400000001</v>
      </c>
      <c r="Q14" s="2"/>
      <c r="R14" s="19"/>
      <c r="S14" s="2"/>
      <c r="T14" s="2">
        <f>--2285976.76</f>
        <v>2285976.7599999998</v>
      </c>
      <c r="U14" s="2"/>
      <c r="V14" s="19"/>
      <c r="W14" s="2"/>
      <c r="X14" s="2">
        <f t="shared" si="2"/>
        <v>-1095880.4199999997</v>
      </c>
      <c r="Y14" s="2"/>
      <c r="Z14" s="19">
        <f t="shared" si="3"/>
        <v>-0.47939263389536813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--238947.44</f>
        <v>238947.44</v>
      </c>
      <c r="E15" s="2"/>
      <c r="F15" s="19"/>
      <c r="G15" s="2"/>
      <c r="H15" s="2">
        <f>--512319.44</f>
        <v>512319.44</v>
      </c>
      <c r="I15" s="2"/>
      <c r="J15" s="19"/>
      <c r="K15" s="2"/>
      <c r="L15" s="2">
        <f t="shared" si="0"/>
        <v>-273372</v>
      </c>
      <c r="M15" s="2"/>
      <c r="N15" s="19">
        <f t="shared" si="1"/>
        <v>-0.53359677313825915</v>
      </c>
      <c r="O15" s="11"/>
      <c r="P15" s="2">
        <f>--562401.5</f>
        <v>562401.5</v>
      </c>
      <c r="Q15" s="2"/>
      <c r="R15" s="19"/>
      <c r="S15" s="2"/>
      <c r="T15" s="2">
        <f>--1193414.41</f>
        <v>1193414.4099999999</v>
      </c>
      <c r="U15" s="2"/>
      <c r="V15" s="19"/>
      <c r="W15" s="2"/>
      <c r="X15" s="2">
        <f t="shared" si="2"/>
        <v>-631012.90999999992</v>
      </c>
      <c r="Y15" s="2"/>
      <c r="Z15" s="19">
        <f t="shared" si="3"/>
        <v>-0.52874584445481931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--7222.26</f>
        <v>7222.26</v>
      </c>
      <c r="E16" s="2"/>
      <c r="F16" s="19"/>
      <c r="G16" s="2"/>
      <c r="H16" s="2">
        <f>--15841.34</f>
        <v>15841.34</v>
      </c>
      <c r="I16" s="2"/>
      <c r="J16" s="19"/>
      <c r="K16" s="2"/>
      <c r="L16" s="2">
        <f t="shared" si="0"/>
        <v>-8619.08</v>
      </c>
      <c r="M16" s="2"/>
      <c r="N16" s="19">
        <f t="shared" si="1"/>
        <v>-0.54408781075338319</v>
      </c>
      <c r="O16" s="11"/>
      <c r="P16" s="2">
        <f>--17887.89</f>
        <v>17887.89</v>
      </c>
      <c r="Q16" s="2"/>
      <c r="R16" s="19"/>
      <c r="S16" s="2"/>
      <c r="T16" s="2">
        <f>--32272.01</f>
        <v>32272.01</v>
      </c>
      <c r="U16" s="2"/>
      <c r="V16" s="19"/>
      <c r="W16" s="2"/>
      <c r="X16" s="2">
        <f t="shared" si="2"/>
        <v>-14384.119999999999</v>
      </c>
      <c r="Y16" s="2"/>
      <c r="Z16" s="19">
        <f t="shared" si="3"/>
        <v>-0.44571503293411224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--200.1</f>
        <v>200.1</v>
      </c>
      <c r="E17" s="2"/>
      <c r="F17" s="19"/>
      <c r="G17" s="2"/>
      <c r="H17" s="2">
        <f>--10921.53</f>
        <v>10921.53</v>
      </c>
      <c r="I17" s="2"/>
      <c r="J17" s="19"/>
      <c r="K17" s="2"/>
      <c r="L17" s="2">
        <f t="shared" si="0"/>
        <v>-10721.43</v>
      </c>
      <c r="M17" s="2"/>
      <c r="N17" s="19">
        <f t="shared" si="1"/>
        <v>-0.98167839121441769</v>
      </c>
      <c r="O17" s="11"/>
      <c r="P17" s="2">
        <f>--2659.66</f>
        <v>2659.66</v>
      </c>
      <c r="Q17" s="2"/>
      <c r="R17" s="19"/>
      <c r="S17" s="2"/>
      <c r="T17" s="2">
        <f>--41201.41</f>
        <v>41201.410000000003</v>
      </c>
      <c r="U17" s="2"/>
      <c r="V17" s="19"/>
      <c r="W17" s="2"/>
      <c r="X17" s="2">
        <f t="shared" si="2"/>
        <v>-38541.75</v>
      </c>
      <c r="Y17" s="2"/>
      <c r="Z17" s="19">
        <f t="shared" si="3"/>
        <v>-0.93544735483567176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--13.22</f>
        <v>13.22</v>
      </c>
      <c r="U18" s="2"/>
      <c r="V18" s="19"/>
      <c r="W18" s="2"/>
      <c r="X18" s="2">
        <f t="shared" si="2"/>
        <v>-13.22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--346.55</f>
        <v>346.55</v>
      </c>
      <c r="E19" s="2"/>
      <c r="F19" s="19"/>
      <c r="G19" s="2"/>
      <c r="H19" s="2">
        <f>--229.57</f>
        <v>229.57</v>
      </c>
      <c r="I19" s="2"/>
      <c r="J19" s="19"/>
      <c r="K19" s="2"/>
      <c r="L19" s="2">
        <f t="shared" si="0"/>
        <v>116.98000000000002</v>
      </c>
      <c r="M19" s="2"/>
      <c r="N19" s="19">
        <f t="shared" si="1"/>
        <v>0.50956135383543155</v>
      </c>
      <c r="O19" s="11"/>
      <c r="P19" s="2">
        <f>--930.52</f>
        <v>930.52</v>
      </c>
      <c r="Q19" s="2"/>
      <c r="R19" s="19"/>
      <c r="S19" s="2"/>
      <c r="T19" s="2">
        <f>--1509.89</f>
        <v>1509.89</v>
      </c>
      <c r="U19" s="2"/>
      <c r="V19" s="19"/>
      <c r="W19" s="2"/>
      <c r="X19" s="2">
        <f t="shared" si="2"/>
        <v>-579.37000000000012</v>
      </c>
      <c r="Y19" s="2"/>
      <c r="Z19" s="19">
        <f t="shared" si="3"/>
        <v>-0.38371669459364594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--3.98</f>
        <v>3.98</v>
      </c>
      <c r="E20" s="2"/>
      <c r="F20" s="19"/>
      <c r="G20" s="2"/>
      <c r="H20" s="2">
        <f>--107.48</f>
        <v>107.48</v>
      </c>
      <c r="I20" s="2"/>
      <c r="J20" s="19"/>
      <c r="K20" s="2"/>
      <c r="L20" s="2">
        <f t="shared" si="0"/>
        <v>-103.5</v>
      </c>
      <c r="M20" s="2"/>
      <c r="N20" s="19">
        <f t="shared" si="1"/>
        <v>-0.96296985485671749</v>
      </c>
      <c r="O20" s="11"/>
      <c r="P20" s="2">
        <f>--380.04</f>
        <v>380.04</v>
      </c>
      <c r="Q20" s="2"/>
      <c r="R20" s="19"/>
      <c r="S20" s="2"/>
      <c r="T20" s="2">
        <f>--1100.17</f>
        <v>1100.17</v>
      </c>
      <c r="U20" s="2"/>
      <c r="V20" s="19"/>
      <c r="W20" s="2"/>
      <c r="X20" s="2">
        <f t="shared" si="2"/>
        <v>-720.13000000000011</v>
      </c>
      <c r="Y20" s="2"/>
      <c r="Z20" s="19">
        <f t="shared" si="3"/>
        <v>-0.65456247670814516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--12.98</f>
        <v>12.98</v>
      </c>
      <c r="I21" s="2"/>
      <c r="J21" s="19"/>
      <c r="K21" s="2"/>
      <c r="L21" s="2">
        <f t="shared" si="0"/>
        <v>-12.98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--255.12</f>
        <v>255.12</v>
      </c>
      <c r="U21" s="2"/>
      <c r="V21" s="19"/>
      <c r="W21" s="2"/>
      <c r="X21" s="2">
        <f t="shared" si="2"/>
        <v>-255.12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--100.3</f>
        <v>100.3</v>
      </c>
      <c r="E22" s="2"/>
      <c r="F22" s="19"/>
      <c r="G22" s="2"/>
      <c r="H22" s="2">
        <f>--737.51</f>
        <v>737.51</v>
      </c>
      <c r="I22" s="2"/>
      <c r="J22" s="19"/>
      <c r="K22" s="2"/>
      <c r="L22" s="2">
        <f t="shared" si="0"/>
        <v>-637.21</v>
      </c>
      <c r="M22" s="2"/>
      <c r="N22" s="19">
        <f t="shared" si="1"/>
        <v>-0.86400184404279268</v>
      </c>
      <c r="O22" s="11"/>
      <c r="P22" s="2">
        <f>--291.14</f>
        <v>291.14</v>
      </c>
      <c r="Q22" s="2"/>
      <c r="R22" s="19"/>
      <c r="S22" s="2"/>
      <c r="T22" s="2">
        <f>--3627.9</f>
        <v>3627.9</v>
      </c>
      <c r="U22" s="2"/>
      <c r="V22" s="19"/>
      <c r="W22" s="2"/>
      <c r="X22" s="2">
        <f t="shared" si="2"/>
        <v>-3336.76</v>
      </c>
      <c r="Y22" s="2"/>
      <c r="Z22" s="19">
        <f t="shared" si="3"/>
        <v>-0.91974971746740541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ref="D23:D24" si="4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5">0</f>
        <v>0</v>
      </c>
      <c r="Q23" s="2"/>
      <c r="R23" s="19"/>
      <c r="S23" s="2"/>
      <c r="T23" s="2">
        <f>--33.88</f>
        <v>33.880000000000003</v>
      </c>
      <c r="U23" s="2"/>
      <c r="V23" s="19"/>
      <c r="W23" s="2"/>
      <c r="X23" s="2">
        <f t="shared" si="2"/>
        <v>-33.880000000000003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4"/>
        <v>0</v>
      </c>
      <c r="E24" s="2"/>
      <c r="F24" s="19"/>
      <c r="G24" s="2"/>
      <c r="H24" s="2">
        <f>--5307.35</f>
        <v>5307.35</v>
      </c>
      <c r="I24" s="2"/>
      <c r="J24" s="19"/>
      <c r="K24" s="2"/>
      <c r="L24" s="2">
        <f t="shared" si="0"/>
        <v>-5307.35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--40440.45</f>
        <v>40440.449999999997</v>
      </c>
      <c r="U24" s="2"/>
      <c r="V24" s="19"/>
      <c r="W24" s="2"/>
      <c r="X24" s="2">
        <f t="shared" si="2"/>
        <v>-40440.449999999997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--34.62</f>
        <v>34.619999999999997</v>
      </c>
      <c r="E25" s="2"/>
      <c r="F25" s="19"/>
      <c r="G25" s="2"/>
      <c r="H25" s="2">
        <f>--13761.32</f>
        <v>13761.32</v>
      </c>
      <c r="I25" s="2"/>
      <c r="J25" s="19"/>
      <c r="K25" s="2"/>
      <c r="L25" s="2">
        <f t="shared" si="0"/>
        <v>-13726.699999999999</v>
      </c>
      <c r="M25" s="2"/>
      <c r="N25" s="19">
        <f t="shared" si="1"/>
        <v>-0.99748425296410514</v>
      </c>
      <c r="O25" s="11"/>
      <c r="P25" s="2">
        <f>--407</f>
        <v>407</v>
      </c>
      <c r="Q25" s="2"/>
      <c r="R25" s="19"/>
      <c r="S25" s="2"/>
      <c r="T25" s="2">
        <f>--63689.49</f>
        <v>63689.49</v>
      </c>
      <c r="U25" s="2"/>
      <c r="V25" s="19"/>
      <c r="W25" s="2"/>
      <c r="X25" s="2">
        <f t="shared" si="2"/>
        <v>-63282.49</v>
      </c>
      <c r="Y25" s="2"/>
      <c r="Z25" s="19">
        <f t="shared" si="3"/>
        <v>-0.99360962067681813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--8701.79</f>
        <v>8701.7900000000009</v>
      </c>
      <c r="E26" s="2"/>
      <c r="F26" s="19"/>
      <c r="G26" s="2"/>
      <c r="H26" s="2">
        <f>--66289.85</f>
        <v>66289.850000000006</v>
      </c>
      <c r="I26" s="2"/>
      <c r="J26" s="19"/>
      <c r="K26" s="2"/>
      <c r="L26" s="2">
        <f t="shared" si="0"/>
        <v>-57588.060000000005</v>
      </c>
      <c r="M26" s="2"/>
      <c r="N26" s="19">
        <f t="shared" si="1"/>
        <v>-0.86873118584519349</v>
      </c>
      <c r="O26" s="11"/>
      <c r="P26" s="2">
        <f>--48676.22</f>
        <v>48676.22</v>
      </c>
      <c r="Q26" s="2"/>
      <c r="R26" s="19"/>
      <c r="S26" s="2"/>
      <c r="T26" s="2">
        <f>--231647.32</f>
        <v>231647.32</v>
      </c>
      <c r="U26" s="2"/>
      <c r="V26" s="19"/>
      <c r="W26" s="2"/>
      <c r="X26" s="2">
        <f t="shared" si="2"/>
        <v>-182971.1</v>
      </c>
      <c r="Y26" s="2"/>
      <c r="Z26" s="19">
        <f t="shared" si="3"/>
        <v>-0.78986927196049583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--21773.01</f>
        <v>21773.01</v>
      </c>
      <c r="E27" s="2"/>
      <c r="F27" s="19"/>
      <c r="G27" s="2"/>
      <c r="H27" s="2">
        <f>--43035.21</f>
        <v>43035.21</v>
      </c>
      <c r="I27" s="2"/>
      <c r="J27" s="19"/>
      <c r="K27" s="2"/>
      <c r="L27" s="2">
        <f t="shared" si="0"/>
        <v>-21262.2</v>
      </c>
      <c r="M27" s="2"/>
      <c r="N27" s="19">
        <f t="shared" si="1"/>
        <v>-0.49406520846534735</v>
      </c>
      <c r="O27" s="11"/>
      <c r="P27" s="2">
        <f>--38951.82</f>
        <v>38951.82</v>
      </c>
      <c r="Q27" s="2"/>
      <c r="R27" s="19"/>
      <c r="S27" s="2"/>
      <c r="T27" s="2">
        <f>--232672.78</f>
        <v>232672.78</v>
      </c>
      <c r="U27" s="2"/>
      <c r="V27" s="19"/>
      <c r="W27" s="2"/>
      <c r="X27" s="2">
        <f t="shared" si="2"/>
        <v>-193720.95999999999</v>
      </c>
      <c r="Y27" s="2"/>
      <c r="Z27" s="19">
        <f t="shared" si="3"/>
        <v>-0.83258969957723461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--477.59</f>
        <v>477.59</v>
      </c>
      <c r="E28" s="2"/>
      <c r="F28" s="19"/>
      <c r="G28" s="2"/>
      <c r="H28" s="2">
        <f>--43.03</f>
        <v>43.03</v>
      </c>
      <c r="I28" s="2"/>
      <c r="J28" s="19"/>
      <c r="K28" s="2"/>
      <c r="L28" s="2">
        <f t="shared" si="0"/>
        <v>434.55999999999995</v>
      </c>
      <c r="M28" s="2"/>
      <c r="N28" s="19">
        <f t="shared" si="1"/>
        <v>10.099000697188007</v>
      </c>
      <c r="O28" s="11"/>
      <c r="P28" s="2">
        <f>--2587.24</f>
        <v>2587.2399999999998</v>
      </c>
      <c r="Q28" s="2"/>
      <c r="R28" s="19"/>
      <c r="S28" s="2"/>
      <c r="T28" s="2">
        <f>--349.97</f>
        <v>349.97</v>
      </c>
      <c r="U28" s="2"/>
      <c r="V28" s="19"/>
      <c r="W28" s="2"/>
      <c r="X28" s="2">
        <f t="shared" si="2"/>
        <v>2237.2699999999995</v>
      </c>
      <c r="Y28" s="2"/>
      <c r="Z28" s="19">
        <f t="shared" si="3"/>
        <v>6.392747949824269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6">0</f>
        <v>0</v>
      </c>
      <c r="E29" s="2"/>
      <c r="F29" s="19"/>
      <c r="G29" s="2"/>
      <c r="H29" s="2">
        <f>--21699.65</f>
        <v>21699.65</v>
      </c>
      <c r="I29" s="2"/>
      <c r="J29" s="19"/>
      <c r="K29" s="2"/>
      <c r="L29" s="2">
        <f t="shared" si="0"/>
        <v>-21699.65</v>
      </c>
      <c r="M29" s="2"/>
      <c r="N29" s="19">
        <f t="shared" si="1"/>
        <v>-1</v>
      </c>
      <c r="O29" s="11"/>
      <c r="P29" s="2">
        <f>--444.59</f>
        <v>444.59</v>
      </c>
      <c r="Q29" s="2"/>
      <c r="R29" s="19"/>
      <c r="S29" s="2"/>
      <c r="T29" s="2">
        <f>--212514.87</f>
        <v>212514.87</v>
      </c>
      <c r="U29" s="2"/>
      <c r="V29" s="19"/>
      <c r="W29" s="2"/>
      <c r="X29" s="2">
        <f t="shared" si="2"/>
        <v>-212070.28</v>
      </c>
      <c r="Y29" s="2"/>
      <c r="Z29" s="19">
        <f t="shared" si="3"/>
        <v>-0.99790795815841027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>
        <f>--15.13</f>
        <v>15.13</v>
      </c>
      <c r="I30" s="2"/>
      <c r="J30" s="19"/>
      <c r="K30" s="2"/>
      <c r="L30" s="2">
        <f t="shared" si="0"/>
        <v>-15.13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f>--146.15</f>
        <v>146.15</v>
      </c>
      <c r="U30" s="2"/>
      <c r="V30" s="19"/>
      <c r="W30" s="2"/>
      <c r="X30" s="2">
        <f t="shared" si="2"/>
        <v>-146.15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>
        <f>--781.82</f>
        <v>781.82</v>
      </c>
      <c r="I31" s="2"/>
      <c r="J31" s="19"/>
      <c r="K31" s="2"/>
      <c r="L31" s="2">
        <f t="shared" si="0"/>
        <v>-781.82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--8255.25</f>
        <v>8255.25</v>
      </c>
      <c r="U31" s="2"/>
      <c r="V31" s="19"/>
      <c r="W31" s="2"/>
      <c r="X31" s="2">
        <f t="shared" si="2"/>
        <v>-8248.4699999999993</v>
      </c>
      <c r="Y31" s="2"/>
      <c r="Z31" s="19">
        <f t="shared" si="3"/>
        <v>-0.9991787044607976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>
        <f>--171.4</f>
        <v>171.4</v>
      </c>
      <c r="I32" s="2"/>
      <c r="J32" s="19"/>
      <c r="K32" s="2"/>
      <c r="L32" s="2">
        <f t="shared" si="0"/>
        <v>-171.4</v>
      </c>
      <c r="M32" s="2"/>
      <c r="N32" s="19">
        <f t="shared" si="1"/>
        <v>-1</v>
      </c>
      <c r="O32" s="11"/>
      <c r="P32" s="2">
        <f t="shared" ref="P32:P33" si="7">0</f>
        <v>0</v>
      </c>
      <c r="Q32" s="2"/>
      <c r="R32" s="19"/>
      <c r="S32" s="2"/>
      <c r="T32" s="2">
        <f>--1438.49</f>
        <v>1438.49</v>
      </c>
      <c r="U32" s="2"/>
      <c r="V32" s="19"/>
      <c r="W32" s="2"/>
      <c r="X32" s="2">
        <f t="shared" si="2"/>
        <v>-1438.49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>
        <f>--17.84</f>
        <v>17.84</v>
      </c>
      <c r="I33" s="2"/>
      <c r="J33" s="19"/>
      <c r="K33" s="2"/>
      <c r="L33" s="2">
        <f t="shared" si="0"/>
        <v>-17.84</v>
      </c>
      <c r="M33" s="2"/>
      <c r="N33" s="19">
        <f t="shared" si="1"/>
        <v>-1</v>
      </c>
      <c r="O33" s="11"/>
      <c r="P33" s="2">
        <f t="shared" si="7"/>
        <v>0</v>
      </c>
      <c r="Q33" s="2"/>
      <c r="R33" s="19"/>
      <c r="S33" s="2"/>
      <c r="T33" s="2">
        <f>--414.1</f>
        <v>414.1</v>
      </c>
      <c r="U33" s="2"/>
      <c r="V33" s="19"/>
      <c r="W33" s="2"/>
      <c r="X33" s="2">
        <f t="shared" si="2"/>
        <v>-414.1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--89991.91</f>
        <v>89991.91</v>
      </c>
      <c r="E34" s="2"/>
      <c r="F34" s="19"/>
      <c r="G34" s="2"/>
      <c r="H34" s="2">
        <f>--192827.81</f>
        <v>192827.81</v>
      </c>
      <c r="I34" s="2"/>
      <c r="J34" s="19"/>
      <c r="K34" s="2"/>
      <c r="L34" s="2">
        <f t="shared" si="0"/>
        <v>-102835.9</v>
      </c>
      <c r="M34" s="2"/>
      <c r="N34" s="19">
        <f t="shared" si="1"/>
        <v>-0.53330429879383057</v>
      </c>
      <c r="O34" s="11"/>
      <c r="P34" s="2">
        <f>--598102.9</f>
        <v>598102.9</v>
      </c>
      <c r="Q34" s="2"/>
      <c r="R34" s="19"/>
      <c r="S34" s="2"/>
      <c r="T34" s="2">
        <f>--1484618.99</f>
        <v>1484618.99</v>
      </c>
      <c r="U34" s="2"/>
      <c r="V34" s="19"/>
      <c r="W34" s="2"/>
      <c r="X34" s="2">
        <f t="shared" si="2"/>
        <v>-886516.09</v>
      </c>
      <c r="Y34" s="2"/>
      <c r="Z34" s="19">
        <f t="shared" si="3"/>
        <v>-0.5971337400176997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--51480.95</f>
        <v>51480.95</v>
      </c>
      <c r="E35" s="2"/>
      <c r="F35" s="19"/>
      <c r="G35" s="2"/>
      <c r="H35" s="2">
        <f>--104441.67</f>
        <v>104441.67</v>
      </c>
      <c r="I35" s="2"/>
      <c r="J35" s="19"/>
      <c r="K35" s="2"/>
      <c r="L35" s="2">
        <f t="shared" si="0"/>
        <v>-52960.72</v>
      </c>
      <c r="M35" s="2"/>
      <c r="N35" s="19">
        <f t="shared" si="1"/>
        <v>-0.50708419350245937</v>
      </c>
      <c r="O35" s="11"/>
      <c r="P35" s="2">
        <f>--249099.27</f>
        <v>249099.27</v>
      </c>
      <c r="Q35" s="2"/>
      <c r="R35" s="19"/>
      <c r="S35" s="2"/>
      <c r="T35" s="2">
        <f>--400568.48</f>
        <v>400568.48</v>
      </c>
      <c r="U35" s="2"/>
      <c r="V35" s="19"/>
      <c r="W35" s="2"/>
      <c r="X35" s="2">
        <f t="shared" si="2"/>
        <v>-151469.21</v>
      </c>
      <c r="Y35" s="2"/>
      <c r="Z35" s="19">
        <f t="shared" si="3"/>
        <v>-0.37813561865876216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--9303.18</f>
        <v>9303.18</v>
      </c>
      <c r="E36" s="2"/>
      <c r="F36" s="19"/>
      <c r="G36" s="2"/>
      <c r="H36" s="2">
        <f>--33043.12</f>
        <v>33043.120000000003</v>
      </c>
      <c r="I36" s="2"/>
      <c r="J36" s="19"/>
      <c r="K36" s="2"/>
      <c r="L36" s="2">
        <f t="shared" si="0"/>
        <v>-23739.940000000002</v>
      </c>
      <c r="M36" s="2"/>
      <c r="N36" s="19">
        <f t="shared" si="1"/>
        <v>-0.71845334217834156</v>
      </c>
      <c r="O36" s="11"/>
      <c r="P36" s="2">
        <f>--74200.88</f>
        <v>74200.88</v>
      </c>
      <c r="Q36" s="2"/>
      <c r="R36" s="19"/>
      <c r="S36" s="2"/>
      <c r="T36" s="2">
        <f>--232995.22</f>
        <v>232995.22</v>
      </c>
      <c r="U36" s="2"/>
      <c r="V36" s="19"/>
      <c r="W36" s="2"/>
      <c r="X36" s="2">
        <f t="shared" si="2"/>
        <v>-158794.34</v>
      </c>
      <c r="Y36" s="2"/>
      <c r="Z36" s="19">
        <f t="shared" si="3"/>
        <v>-0.68153475423229715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--24845.66</f>
        <v>24845.66</v>
      </c>
      <c r="E37" s="2"/>
      <c r="F37" s="19"/>
      <c r="G37" s="2"/>
      <c r="H37" s="2">
        <f>--8310.25</f>
        <v>8310.25</v>
      </c>
      <c r="I37" s="2"/>
      <c r="J37" s="19"/>
      <c r="K37" s="2"/>
      <c r="L37" s="2">
        <f t="shared" si="0"/>
        <v>16535.41</v>
      </c>
      <c r="M37" s="2"/>
      <c r="N37" s="19">
        <f t="shared" si="1"/>
        <v>1.9897608375199303</v>
      </c>
      <c r="O37" s="11"/>
      <c r="P37" s="2">
        <f>--117954.81</f>
        <v>117954.81</v>
      </c>
      <c r="Q37" s="2"/>
      <c r="R37" s="19"/>
      <c r="S37" s="2"/>
      <c r="T37" s="2">
        <f>--22630.71</f>
        <v>22630.71</v>
      </c>
      <c r="U37" s="2"/>
      <c r="V37" s="19"/>
      <c r="W37" s="2"/>
      <c r="X37" s="2">
        <f t="shared" si="2"/>
        <v>95324.1</v>
      </c>
      <c r="Y37" s="2"/>
      <c r="Z37" s="19">
        <f t="shared" si="3"/>
        <v>4.2121568435104342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--1261.95</f>
        <v>1261.95</v>
      </c>
      <c r="E38" s="2"/>
      <c r="F38" s="19"/>
      <c r="G38" s="2"/>
      <c r="H38" s="2">
        <f>--6349.96</f>
        <v>6349.96</v>
      </c>
      <c r="I38" s="2"/>
      <c r="J38" s="19"/>
      <c r="K38" s="2"/>
      <c r="L38" s="2">
        <f t="shared" si="0"/>
        <v>-5088.01</v>
      </c>
      <c r="M38" s="2"/>
      <c r="N38" s="19">
        <f t="shared" si="1"/>
        <v>-0.80126646467064366</v>
      </c>
      <c r="O38" s="11"/>
      <c r="P38" s="2">
        <f>--27535.62</f>
        <v>27535.62</v>
      </c>
      <c r="Q38" s="2"/>
      <c r="R38" s="19"/>
      <c r="S38" s="2"/>
      <c r="T38" s="2">
        <f>--53086.16</f>
        <v>53086.16</v>
      </c>
      <c r="U38" s="2"/>
      <c r="V38" s="19"/>
      <c r="W38" s="2"/>
      <c r="X38" s="2">
        <f t="shared" si="2"/>
        <v>-25550.540000000005</v>
      </c>
      <c r="Y38" s="2"/>
      <c r="Z38" s="19">
        <f t="shared" si="3"/>
        <v>-0.48130322479531396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--3388.52</f>
        <v>3388.52</v>
      </c>
      <c r="E39" s="2"/>
      <c r="F39" s="19"/>
      <c r="G39" s="2"/>
      <c r="H39" s="2">
        <f>--8732.21</f>
        <v>8732.2099999999991</v>
      </c>
      <c r="I39" s="2"/>
      <c r="J39" s="19"/>
      <c r="K39" s="2"/>
      <c r="L39" s="2">
        <f t="shared" si="0"/>
        <v>-5343.6899999999987</v>
      </c>
      <c r="M39" s="2"/>
      <c r="N39" s="19">
        <f t="shared" si="1"/>
        <v>-0.6119516136235843</v>
      </c>
      <c r="O39" s="11"/>
      <c r="P39" s="2">
        <f>--125449.67</f>
        <v>125449.67</v>
      </c>
      <c r="Q39" s="2"/>
      <c r="R39" s="19"/>
      <c r="S39" s="2"/>
      <c r="T39" s="2">
        <f>--69738.03</f>
        <v>69738.03</v>
      </c>
      <c r="U39" s="2"/>
      <c r="V39" s="19"/>
      <c r="W39" s="2"/>
      <c r="X39" s="2">
        <f t="shared" si="2"/>
        <v>55711.64</v>
      </c>
      <c r="Y39" s="2"/>
      <c r="Z39" s="19">
        <f t="shared" si="3"/>
        <v>0.79887028641330993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1" si="8">0</f>
        <v>0</v>
      </c>
      <c r="E40" s="2"/>
      <c r="F40" s="19"/>
      <c r="G40" s="2"/>
      <c r="H40" s="2">
        <f>--183.1</f>
        <v>183.1</v>
      </c>
      <c r="I40" s="2"/>
      <c r="J40" s="19"/>
      <c r="K40" s="2"/>
      <c r="L40" s="2">
        <f t="shared" si="0"/>
        <v>-183.1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--1977.04</f>
        <v>1977.04</v>
      </c>
      <c r="U40" s="2"/>
      <c r="V40" s="19"/>
      <c r="W40" s="2"/>
      <c r="X40" s="2">
        <f t="shared" si="2"/>
        <v>-1977.04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8"/>
        <v>0</v>
      </c>
      <c r="E41" s="2"/>
      <c r="F41" s="19"/>
      <c r="G41" s="2"/>
      <c r="H41" s="2">
        <f>--43102.12</f>
        <v>43102.12</v>
      </c>
      <c r="I41" s="2"/>
      <c r="J41" s="19"/>
      <c r="K41" s="2"/>
      <c r="L41" s="2">
        <f t="shared" si="0"/>
        <v>-43102.12</v>
      </c>
      <c r="M41" s="2"/>
      <c r="N41" s="19">
        <f t="shared" si="1"/>
        <v>-1</v>
      </c>
      <c r="O41" s="11"/>
      <c r="P41" s="2">
        <f>--22964.48</f>
        <v>22964.48</v>
      </c>
      <c r="Q41" s="2"/>
      <c r="R41" s="19"/>
      <c r="S41" s="2"/>
      <c r="T41" s="2">
        <f>--475198.87</f>
        <v>475198.87</v>
      </c>
      <c r="U41" s="2"/>
      <c r="V41" s="19"/>
      <c r="W41" s="2"/>
      <c r="X41" s="2">
        <f t="shared" si="2"/>
        <v>-452234.39</v>
      </c>
      <c r="Y41" s="2"/>
      <c r="Z41" s="19">
        <f t="shared" si="3"/>
        <v>-0.95167395915735242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>--82073.46</f>
        <v>82073.460000000006</v>
      </c>
      <c r="E42" s="2"/>
      <c r="F42" s="19"/>
      <c r="G42" s="2"/>
      <c r="H42" s="2">
        <f>--120705.79</f>
        <v>120705.79</v>
      </c>
      <c r="I42" s="2"/>
      <c r="J42" s="19"/>
      <c r="K42" s="2"/>
      <c r="L42" s="2">
        <f t="shared" si="0"/>
        <v>-38632.329999999987</v>
      </c>
      <c r="M42" s="2"/>
      <c r="N42" s="19">
        <f t="shared" si="1"/>
        <v>-0.32005366105470162</v>
      </c>
      <c r="O42" s="11"/>
      <c r="P42" s="2">
        <f>--230176.85</f>
        <v>230176.85</v>
      </c>
      <c r="Q42" s="2"/>
      <c r="R42" s="19"/>
      <c r="S42" s="2"/>
      <c r="T42" s="2">
        <f>--657002.44</f>
        <v>657002.43999999994</v>
      </c>
      <c r="U42" s="2"/>
      <c r="V42" s="19"/>
      <c r="W42" s="2"/>
      <c r="X42" s="2">
        <f t="shared" si="2"/>
        <v>-426825.58999999997</v>
      </c>
      <c r="Y42" s="2"/>
      <c r="Z42" s="19">
        <f t="shared" si="3"/>
        <v>-0.64965601954233232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--46.44</f>
        <v>46.44</v>
      </c>
      <c r="E43" s="2"/>
      <c r="F43" s="19"/>
      <c r="G43" s="2"/>
      <c r="H43" s="2">
        <f>--9828.09</f>
        <v>9828.09</v>
      </c>
      <c r="I43" s="2"/>
      <c r="J43" s="19"/>
      <c r="K43" s="2"/>
      <c r="L43" s="2">
        <f t="shared" si="0"/>
        <v>-9781.65</v>
      </c>
      <c r="M43" s="2"/>
      <c r="N43" s="19">
        <f t="shared" si="1"/>
        <v>-0.99527476854607555</v>
      </c>
      <c r="O43" s="11"/>
      <c r="P43" s="2">
        <f>--579.52</f>
        <v>579.52</v>
      </c>
      <c r="Q43" s="2"/>
      <c r="R43" s="19"/>
      <c r="S43" s="2"/>
      <c r="T43" s="2">
        <f>--116598.92</f>
        <v>116598.92</v>
      </c>
      <c r="U43" s="2"/>
      <c r="V43" s="19"/>
      <c r="W43" s="2"/>
      <c r="X43" s="2">
        <f t="shared" si="2"/>
        <v>-116019.4</v>
      </c>
      <c r="Y43" s="2"/>
      <c r="Z43" s="19">
        <f t="shared" si="3"/>
        <v>-0.99502979958991045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 t="shared" ref="D44:D45" si="9">0</f>
        <v>0</v>
      </c>
      <c r="E44" s="2"/>
      <c r="F44" s="19"/>
      <c r="G44" s="2"/>
      <c r="H44" s="2">
        <f>--31360</f>
        <v>31360</v>
      </c>
      <c r="I44" s="2"/>
      <c r="J44" s="19"/>
      <c r="K44" s="2"/>
      <c r="L44" s="2">
        <f t="shared" si="0"/>
        <v>-31360</v>
      </c>
      <c r="M44" s="2"/>
      <c r="N44" s="19">
        <f t="shared" si="1"/>
        <v>-1</v>
      </c>
      <c r="O44" s="11"/>
      <c r="P44" s="2">
        <f>0</f>
        <v>0</v>
      </c>
      <c r="Q44" s="2"/>
      <c r="R44" s="19"/>
      <c r="S44" s="2"/>
      <c r="T44" s="2">
        <f>--304187.44</f>
        <v>304187.44</v>
      </c>
      <c r="U44" s="2"/>
      <c r="V44" s="19"/>
      <c r="W44" s="2"/>
      <c r="X44" s="2">
        <f t="shared" si="2"/>
        <v>-304187.44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 t="shared" si="9"/>
        <v>0</v>
      </c>
      <c r="E45" s="2"/>
      <c r="F45" s="19"/>
      <c r="G45" s="2"/>
      <c r="H45" s="2">
        <f>--7736.89</f>
        <v>7736.89</v>
      </c>
      <c r="I45" s="2"/>
      <c r="J45" s="19"/>
      <c r="K45" s="2"/>
      <c r="L45" s="2">
        <f t="shared" si="0"/>
        <v>-7736.89</v>
      </c>
      <c r="M45" s="2"/>
      <c r="N45" s="19">
        <f t="shared" si="1"/>
        <v>-1</v>
      </c>
      <c r="O45" s="11"/>
      <c r="P45" s="2">
        <f>--974.91</f>
        <v>974.91</v>
      </c>
      <c r="Q45" s="2"/>
      <c r="R45" s="19"/>
      <c r="S45" s="2"/>
      <c r="T45" s="2">
        <f>--95636.1</f>
        <v>95636.1</v>
      </c>
      <c r="U45" s="2"/>
      <c r="V45" s="19"/>
      <c r="W45" s="2"/>
      <c r="X45" s="2">
        <f t="shared" si="2"/>
        <v>-94661.19</v>
      </c>
      <c r="Y45" s="2"/>
      <c r="Z45" s="19">
        <f t="shared" si="3"/>
        <v>-0.98980604604328282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--2318.54</f>
        <v>2318.54</v>
      </c>
      <c r="E46" s="2"/>
      <c r="F46" s="19"/>
      <c r="G46" s="2"/>
      <c r="H46" s="2">
        <f>--27620.8</f>
        <v>27620.799999999999</v>
      </c>
      <c r="I46" s="2"/>
      <c r="J46" s="19"/>
      <c r="K46" s="2"/>
      <c r="L46" s="2">
        <f t="shared" si="0"/>
        <v>-25302.26</v>
      </c>
      <c r="M46" s="2"/>
      <c r="N46" s="19">
        <f t="shared" si="1"/>
        <v>-0.91605818803220762</v>
      </c>
      <c r="O46" s="11"/>
      <c r="P46" s="2">
        <f>--59270.01</f>
        <v>59270.01</v>
      </c>
      <c r="Q46" s="2"/>
      <c r="R46" s="19"/>
      <c r="S46" s="2"/>
      <c r="T46" s="2">
        <f>--274290.28</f>
        <v>274290.28000000003</v>
      </c>
      <c r="U46" s="2"/>
      <c r="V46" s="19"/>
      <c r="W46" s="2"/>
      <c r="X46" s="2">
        <f t="shared" si="2"/>
        <v>-215020.27000000002</v>
      </c>
      <c r="Y46" s="2"/>
      <c r="Z46" s="19">
        <f t="shared" si="3"/>
        <v>-0.78391501878958303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--91766.28</f>
        <v>91766.28</v>
      </c>
      <c r="E47" s="2"/>
      <c r="F47" s="19"/>
      <c r="G47" s="2"/>
      <c r="H47" s="2">
        <f>--164816.22</f>
        <v>164816.22</v>
      </c>
      <c r="I47" s="2"/>
      <c r="J47" s="19"/>
      <c r="K47" s="2"/>
      <c r="L47" s="2">
        <f t="shared" si="0"/>
        <v>-73049.94</v>
      </c>
      <c r="M47" s="2"/>
      <c r="N47" s="19">
        <f t="shared" si="1"/>
        <v>-0.44322057622726696</v>
      </c>
      <c r="O47" s="11"/>
      <c r="P47" s="2">
        <f>--1085023.17</f>
        <v>1085023.17</v>
      </c>
      <c r="Q47" s="2"/>
      <c r="R47" s="19"/>
      <c r="S47" s="2"/>
      <c r="T47" s="2">
        <f>--1507332.48</f>
        <v>1507332.48</v>
      </c>
      <c r="U47" s="2"/>
      <c r="V47" s="19"/>
      <c r="W47" s="2"/>
      <c r="X47" s="2">
        <f t="shared" si="2"/>
        <v>-422309.31000000006</v>
      </c>
      <c r="Y47" s="2"/>
      <c r="Z47" s="19">
        <f t="shared" si="3"/>
        <v>-0.28016997948587963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--8639.61</f>
        <v>8639.61</v>
      </c>
      <c r="E48" s="2"/>
      <c r="F48" s="19"/>
      <c r="G48" s="2"/>
      <c r="H48" s="2">
        <f>--14047.94</f>
        <v>14047.94</v>
      </c>
      <c r="I48" s="2"/>
      <c r="J48" s="19"/>
      <c r="K48" s="2"/>
      <c r="L48" s="2">
        <f t="shared" si="0"/>
        <v>-5408.33</v>
      </c>
      <c r="M48" s="2"/>
      <c r="N48" s="19">
        <f t="shared" si="1"/>
        <v>-0.38499096664706711</v>
      </c>
      <c r="O48" s="11"/>
      <c r="P48" s="2">
        <f>--93287.58</f>
        <v>93287.58</v>
      </c>
      <c r="Q48" s="2"/>
      <c r="R48" s="19"/>
      <c r="S48" s="2"/>
      <c r="T48" s="2">
        <f>--85178.62</f>
        <v>85178.62</v>
      </c>
      <c r="U48" s="2"/>
      <c r="V48" s="19"/>
      <c r="W48" s="2"/>
      <c r="X48" s="2">
        <f t="shared" si="2"/>
        <v>8108.9600000000064</v>
      </c>
      <c r="Y48" s="2"/>
      <c r="Z48" s="19">
        <f t="shared" si="3"/>
        <v>9.5199476112667783E-2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>0</f>
        <v>0</v>
      </c>
      <c r="E49" s="2"/>
      <c r="F49" s="19"/>
      <c r="G49" s="2"/>
      <c r="H49" s="2">
        <f t="shared" ref="H49:H50" si="10"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0</f>
        <v>0</v>
      </c>
      <c r="Q49" s="2"/>
      <c r="R49" s="19"/>
      <c r="S49" s="2"/>
      <c r="T49" s="2">
        <f>--129</f>
        <v>129</v>
      </c>
      <c r="U49" s="2"/>
      <c r="V49" s="19"/>
      <c r="W49" s="2"/>
      <c r="X49" s="2">
        <f t="shared" si="2"/>
        <v>-129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>--149.99</f>
        <v>149.99</v>
      </c>
      <c r="E50" s="2"/>
      <c r="F50" s="19"/>
      <c r="G50" s="2"/>
      <c r="H50" s="2">
        <f t="shared" si="10"/>
        <v>0</v>
      </c>
      <c r="I50" s="2"/>
      <c r="J50" s="19"/>
      <c r="K50" s="2"/>
      <c r="L50" s="2">
        <f t="shared" si="0"/>
        <v>149.99</v>
      </c>
      <c r="M50" s="2"/>
      <c r="N50" s="19">
        <f t="shared" si="1"/>
        <v>0</v>
      </c>
      <c r="O50" s="11"/>
      <c r="P50" s="2">
        <f>--2878.93</f>
        <v>2878.93</v>
      </c>
      <c r="Q50" s="2"/>
      <c r="R50" s="19"/>
      <c r="S50" s="2"/>
      <c r="T50" s="2">
        <f>--4407.94</f>
        <v>4407.9399999999996</v>
      </c>
      <c r="U50" s="2"/>
      <c r="V50" s="19"/>
      <c r="W50" s="2"/>
      <c r="X50" s="2">
        <f t="shared" si="2"/>
        <v>-1529.0099999999998</v>
      </c>
      <c r="Y50" s="2"/>
      <c r="Z50" s="19">
        <f t="shared" si="3"/>
        <v>-0.3468763186431757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--734.26</f>
        <v>734.26</v>
      </c>
      <c r="E51" s="2"/>
      <c r="F51" s="19"/>
      <c r="G51" s="2"/>
      <c r="H51" s="2">
        <f>--7359.63</f>
        <v>7359.63</v>
      </c>
      <c r="I51" s="2"/>
      <c r="J51" s="19"/>
      <c r="K51" s="2"/>
      <c r="L51" s="2">
        <f t="shared" si="0"/>
        <v>-6625.37</v>
      </c>
      <c r="M51" s="2"/>
      <c r="N51" s="19">
        <f t="shared" si="1"/>
        <v>-0.90023139750232006</v>
      </c>
      <c r="O51" s="11"/>
      <c r="P51" s="2">
        <f>--57869.84</f>
        <v>57869.84</v>
      </c>
      <c r="Q51" s="2"/>
      <c r="R51" s="19"/>
      <c r="S51" s="2"/>
      <c r="T51" s="2">
        <f>--41136.87</f>
        <v>41136.870000000003</v>
      </c>
      <c r="U51" s="2"/>
      <c r="V51" s="19"/>
      <c r="W51" s="2"/>
      <c r="X51" s="2">
        <f t="shared" si="2"/>
        <v>16732.969999999994</v>
      </c>
      <c r="Y51" s="2"/>
      <c r="Z51" s="19">
        <f t="shared" si="3"/>
        <v>0.40676332448239239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 t="shared" ref="D52:D54" si="11">0</f>
        <v>0</v>
      </c>
      <c r="E52" s="2"/>
      <c r="F52" s="19"/>
      <c r="G52" s="2"/>
      <c r="H52" s="2">
        <f>--118.97</f>
        <v>118.97</v>
      </c>
      <c r="I52" s="2"/>
      <c r="J52" s="19"/>
      <c r="K52" s="2"/>
      <c r="L52" s="2">
        <f t="shared" si="0"/>
        <v>-118.97</v>
      </c>
      <c r="M52" s="2"/>
      <c r="N52" s="19">
        <f t="shared" si="1"/>
        <v>-1</v>
      </c>
      <c r="O52" s="11"/>
      <c r="P52" s="2">
        <f t="shared" ref="P52:P54" si="12">0</f>
        <v>0</v>
      </c>
      <c r="Q52" s="2"/>
      <c r="R52" s="19"/>
      <c r="S52" s="2"/>
      <c r="T52" s="2">
        <f>--1055.88</f>
        <v>1055.8800000000001</v>
      </c>
      <c r="U52" s="2"/>
      <c r="V52" s="19"/>
      <c r="W52" s="2"/>
      <c r="X52" s="2">
        <f t="shared" si="2"/>
        <v>-1055.8800000000001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 t="shared" si="11"/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 t="shared" si="12"/>
        <v>0</v>
      </c>
      <c r="Q53" s="2"/>
      <c r="R53" s="19"/>
      <c r="S53" s="2"/>
      <c r="T53" s="2">
        <f>--7659.37</f>
        <v>7659.37</v>
      </c>
      <c r="U53" s="2"/>
      <c r="V53" s="19"/>
      <c r="W53" s="2"/>
      <c r="X53" s="2">
        <f t="shared" si="2"/>
        <v>-7659.37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 t="shared" si="11"/>
        <v>0</v>
      </c>
      <c r="E54" s="2"/>
      <c r="F54" s="19"/>
      <c r="G54" s="2"/>
      <c r="H54" s="2">
        <f>--11.93</f>
        <v>11.93</v>
      </c>
      <c r="I54" s="2"/>
      <c r="J54" s="19"/>
      <c r="K54" s="2"/>
      <c r="L54" s="2">
        <f t="shared" si="0"/>
        <v>-11.93</v>
      </c>
      <c r="M54" s="2"/>
      <c r="N54" s="19">
        <f t="shared" si="1"/>
        <v>-1</v>
      </c>
      <c r="O54" s="11"/>
      <c r="P54" s="2">
        <f t="shared" si="12"/>
        <v>0</v>
      </c>
      <c r="Q54" s="2"/>
      <c r="R54" s="19"/>
      <c r="S54" s="2"/>
      <c r="T54" s="2">
        <f>--309.26</f>
        <v>309.26</v>
      </c>
      <c r="U54" s="2"/>
      <c r="V54" s="19"/>
      <c r="W54" s="2"/>
      <c r="X54" s="2">
        <f t="shared" si="2"/>
        <v>-309.26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--146952.19</f>
        <v>146952.19</v>
      </c>
      <c r="E55" s="2"/>
      <c r="F55" s="19"/>
      <c r="G55" s="2"/>
      <c r="H55" s="2">
        <f>--239135.61</f>
        <v>239135.61</v>
      </c>
      <c r="I55" s="2"/>
      <c r="J55" s="19"/>
      <c r="K55" s="2"/>
      <c r="L55" s="2">
        <f t="shared" si="0"/>
        <v>-92183.419999999984</v>
      </c>
      <c r="M55" s="2"/>
      <c r="N55" s="19">
        <f t="shared" si="1"/>
        <v>-0.38548595920114109</v>
      </c>
      <c r="O55" s="11"/>
      <c r="P55" s="2">
        <f>--648211.86</f>
        <v>648211.86</v>
      </c>
      <c r="Q55" s="2"/>
      <c r="R55" s="19"/>
      <c r="S55" s="2"/>
      <c r="T55" s="2">
        <f>--741865.16</f>
        <v>741865.16</v>
      </c>
      <c r="U55" s="2"/>
      <c r="V55" s="19"/>
      <c r="W55" s="2"/>
      <c r="X55" s="2">
        <f t="shared" si="2"/>
        <v>-93653.300000000047</v>
      </c>
      <c r="Y55" s="2"/>
      <c r="Z55" s="19">
        <f t="shared" si="3"/>
        <v>-0.12624032647657971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--22084.7</f>
        <v>22084.7</v>
      </c>
      <c r="E56" s="2"/>
      <c r="F56" s="19"/>
      <c r="G56" s="2"/>
      <c r="H56" s="2">
        <f>--37117.66</f>
        <v>37117.660000000003</v>
      </c>
      <c r="I56" s="2"/>
      <c r="J56" s="19"/>
      <c r="K56" s="2"/>
      <c r="L56" s="2">
        <f t="shared" si="0"/>
        <v>-15032.960000000003</v>
      </c>
      <c r="M56" s="2"/>
      <c r="N56" s="19">
        <f t="shared" si="1"/>
        <v>-0.40500828985447901</v>
      </c>
      <c r="O56" s="11"/>
      <c r="P56" s="2">
        <f>--104225.63</f>
        <v>104225.63</v>
      </c>
      <c r="Q56" s="2"/>
      <c r="R56" s="19"/>
      <c r="S56" s="2"/>
      <c r="T56" s="2">
        <f>--132405.23</f>
        <v>132405.23000000001</v>
      </c>
      <c r="U56" s="2"/>
      <c r="V56" s="19"/>
      <c r="W56" s="2"/>
      <c r="X56" s="2">
        <f t="shared" si="2"/>
        <v>-28179.600000000006</v>
      </c>
      <c r="Y56" s="2"/>
      <c r="Z56" s="19">
        <f t="shared" si="3"/>
        <v>-0.21282845096073624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--9330.01</f>
        <v>9330.01</v>
      </c>
      <c r="E57" s="2"/>
      <c r="F57" s="19"/>
      <c r="G57" s="2"/>
      <c r="H57" s="2">
        <f>--28414.21</f>
        <v>28414.21</v>
      </c>
      <c r="I57" s="2"/>
      <c r="J57" s="19"/>
      <c r="K57" s="2"/>
      <c r="L57" s="2">
        <f t="shared" si="0"/>
        <v>-19084.199999999997</v>
      </c>
      <c r="M57" s="2"/>
      <c r="N57" s="19">
        <f t="shared" si="1"/>
        <v>-0.67164281533781856</v>
      </c>
      <c r="O57" s="11"/>
      <c r="P57" s="2">
        <f>--42961.32</f>
        <v>42961.32</v>
      </c>
      <c r="Q57" s="2"/>
      <c r="R57" s="19"/>
      <c r="S57" s="2"/>
      <c r="T57" s="2">
        <f>--66616.8</f>
        <v>66616.800000000003</v>
      </c>
      <c r="U57" s="2"/>
      <c r="V57" s="19"/>
      <c r="W57" s="2"/>
      <c r="X57" s="2">
        <f t="shared" si="2"/>
        <v>-23655.480000000003</v>
      </c>
      <c r="Y57" s="2"/>
      <c r="Z57" s="19">
        <f t="shared" si="3"/>
        <v>-0.35509781316424688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--853.98</f>
        <v>853.98</v>
      </c>
      <c r="E58" s="2"/>
      <c r="F58" s="19"/>
      <c r="G58" s="2"/>
      <c r="H58" s="2">
        <f>--334.99</f>
        <v>334.99</v>
      </c>
      <c r="I58" s="2"/>
      <c r="J58" s="19"/>
      <c r="K58" s="2"/>
      <c r="L58" s="2">
        <f t="shared" si="0"/>
        <v>518.99</v>
      </c>
      <c r="M58" s="2"/>
      <c r="N58" s="19">
        <f t="shared" si="1"/>
        <v>1.5492701274664915</v>
      </c>
      <c r="O58" s="11"/>
      <c r="P58" s="2">
        <f>--1138.95</f>
        <v>1138.95</v>
      </c>
      <c r="Q58" s="2"/>
      <c r="R58" s="19"/>
      <c r="S58" s="2"/>
      <c r="T58" s="2">
        <f>--664.97</f>
        <v>664.97</v>
      </c>
      <c r="U58" s="2"/>
      <c r="V58" s="19"/>
      <c r="W58" s="2"/>
      <c r="X58" s="2">
        <f t="shared" si="2"/>
        <v>473.98</v>
      </c>
      <c r="Y58" s="2"/>
      <c r="Z58" s="19">
        <f t="shared" si="3"/>
        <v>0.71278403537001667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--161977.12</f>
        <v>161977.12</v>
      </c>
      <c r="E59" s="2"/>
      <c r="F59" s="19"/>
      <c r="G59" s="2"/>
      <c r="H59" s="2">
        <f>--169179.13</f>
        <v>169179.13</v>
      </c>
      <c r="I59" s="2"/>
      <c r="J59" s="19"/>
      <c r="K59" s="2"/>
      <c r="L59" s="2">
        <f t="shared" si="0"/>
        <v>-7202.0100000000093</v>
      </c>
      <c r="M59" s="2"/>
      <c r="N59" s="19">
        <f t="shared" si="1"/>
        <v>-4.2570321764865499E-2</v>
      </c>
      <c r="O59" s="11"/>
      <c r="P59" s="2">
        <f>--458168.13</f>
        <v>458168.13</v>
      </c>
      <c r="Q59" s="2"/>
      <c r="R59" s="19"/>
      <c r="S59" s="2"/>
      <c r="T59" s="2">
        <f>--502067.96</f>
        <v>502067.96</v>
      </c>
      <c r="U59" s="2"/>
      <c r="V59" s="19"/>
      <c r="W59" s="2"/>
      <c r="X59" s="2">
        <f t="shared" si="2"/>
        <v>-43899.830000000016</v>
      </c>
      <c r="Y59" s="2"/>
      <c r="Z59" s="19">
        <f t="shared" si="3"/>
        <v>-8.743802333054676E-2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0</f>
        <v>0</v>
      </c>
      <c r="E60" s="2"/>
      <c r="F60" s="19"/>
      <c r="G60" s="2"/>
      <c r="H60" s="2">
        <f>--4684.53</f>
        <v>4684.53</v>
      </c>
      <c r="I60" s="2"/>
      <c r="J60" s="19"/>
      <c r="K60" s="2"/>
      <c r="L60" s="2">
        <f t="shared" si="0"/>
        <v>-4684.53</v>
      </c>
      <c r="M60" s="2"/>
      <c r="N60" s="19">
        <f t="shared" si="1"/>
        <v>-1</v>
      </c>
      <c r="O60" s="11"/>
      <c r="P60" s="2">
        <f>0</f>
        <v>0</v>
      </c>
      <c r="Q60" s="2"/>
      <c r="R60" s="19"/>
      <c r="S60" s="2"/>
      <c r="T60" s="2">
        <f>--12708.5</f>
        <v>12708.5</v>
      </c>
      <c r="U60" s="2"/>
      <c r="V60" s="19"/>
      <c r="W60" s="2"/>
      <c r="X60" s="2">
        <f t="shared" si="2"/>
        <v>-12708.5</v>
      </c>
      <c r="Y60" s="2"/>
      <c r="Z60" s="19">
        <f t="shared" si="3"/>
        <v>-1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>--4661.75</f>
        <v>4661.75</v>
      </c>
      <c r="E61" s="2"/>
      <c r="F61" s="19"/>
      <c r="G61" s="2"/>
      <c r="H61" s="2">
        <f t="shared" ref="H61:H62" si="13">0</f>
        <v>0</v>
      </c>
      <c r="I61" s="2"/>
      <c r="J61" s="19"/>
      <c r="K61" s="2"/>
      <c r="L61" s="2">
        <f t="shared" si="0"/>
        <v>4661.75</v>
      </c>
      <c r="M61" s="2"/>
      <c r="N61" s="19">
        <f t="shared" si="1"/>
        <v>0</v>
      </c>
      <c r="O61" s="11"/>
      <c r="P61" s="2">
        <f>--6989.25</f>
        <v>6989.25</v>
      </c>
      <c r="Q61" s="2"/>
      <c r="R61" s="19"/>
      <c r="S61" s="2"/>
      <c r="T61" s="2">
        <f>--1146.72</f>
        <v>1146.72</v>
      </c>
      <c r="U61" s="2"/>
      <c r="V61" s="19"/>
      <c r="W61" s="2"/>
      <c r="X61" s="2">
        <f t="shared" si="2"/>
        <v>5842.53</v>
      </c>
      <c r="Y61" s="2"/>
      <c r="Z61" s="19">
        <f t="shared" si="3"/>
        <v>5.0949926747593128</v>
      </c>
    </row>
    <row r="62" spans="1:26" s="24" customFormat="1" hidden="1" outlineLevel="1" x14ac:dyDescent="0.25">
      <c r="A62" s="44"/>
      <c r="B62" s="11" t="str">
        <f>CONCATENATE("          ", "4118", " - ", "NON-TAXABLE SALES-STUDY GUIDES")</f>
        <v xml:space="preserve">          4118 - NON-TAXABLE SALES-STUDY GUIDES</v>
      </c>
      <c r="C62" s="11"/>
      <c r="D62" s="2">
        <f>--538.3</f>
        <v>538.29999999999995</v>
      </c>
      <c r="E62" s="2"/>
      <c r="F62" s="19"/>
      <c r="G62" s="2"/>
      <c r="H62" s="2">
        <f t="shared" si="13"/>
        <v>0</v>
      </c>
      <c r="I62" s="2"/>
      <c r="J62" s="19"/>
      <c r="K62" s="2"/>
      <c r="L62" s="2">
        <f t="shared" si="0"/>
        <v>538.29999999999995</v>
      </c>
      <c r="M62" s="2"/>
      <c r="N62" s="19">
        <f t="shared" si="1"/>
        <v>0</v>
      </c>
      <c r="O62" s="11"/>
      <c r="P62" s="2">
        <f>--771.73</f>
        <v>771.73</v>
      </c>
      <c r="Q62" s="2"/>
      <c r="R62" s="19"/>
      <c r="S62" s="2"/>
      <c r="T62" s="2">
        <f>--41.91</f>
        <v>41.91</v>
      </c>
      <c r="U62" s="2"/>
      <c r="V62" s="19"/>
      <c r="W62" s="2"/>
      <c r="X62" s="2">
        <f t="shared" si="2"/>
        <v>729.82</v>
      </c>
      <c r="Y62" s="2"/>
      <c r="Z62" s="19">
        <f t="shared" si="3"/>
        <v>17.413982343116203</v>
      </c>
    </row>
    <row r="63" spans="1:26" s="24" customFormat="1" hidden="1" outlineLevel="1" x14ac:dyDescent="0.25">
      <c r="A63" s="44"/>
      <c r="B63" s="11" t="str">
        <f>CONCATENATE("          ", "4125", " - ", "NON-TAXABLE SALES-TEST FORMS")</f>
        <v xml:space="preserve">          4125 - NON-TAXABLE SALES-TEST FORMS</v>
      </c>
      <c r="C63" s="11"/>
      <c r="D63" s="2">
        <f t="shared" ref="D63:D64" si="14">0</f>
        <v>0</v>
      </c>
      <c r="E63" s="2"/>
      <c r="F63" s="19"/>
      <c r="G63" s="2"/>
      <c r="H63" s="2">
        <f>--98.5</f>
        <v>98.5</v>
      </c>
      <c r="I63" s="2"/>
      <c r="J63" s="19"/>
      <c r="K63" s="2"/>
      <c r="L63" s="2">
        <f t="shared" si="0"/>
        <v>-98.5</v>
      </c>
      <c r="M63" s="2"/>
      <c r="N63" s="19">
        <f t="shared" si="1"/>
        <v>-1</v>
      </c>
      <c r="O63" s="11"/>
      <c r="P63" s="2">
        <f>0</f>
        <v>0</v>
      </c>
      <c r="Q63" s="2"/>
      <c r="R63" s="19"/>
      <c r="S63" s="2"/>
      <c r="T63" s="2">
        <f>--222.68</f>
        <v>222.68</v>
      </c>
      <c r="U63" s="2"/>
      <c r="V63" s="19"/>
      <c r="W63" s="2"/>
      <c r="X63" s="2">
        <f t="shared" si="2"/>
        <v>-222.68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"4126", " - ", "NON-TAXABLE SALES-WRITING INST")</f>
        <v xml:space="preserve">          4126 - NON-TAXABLE SALES-WRITING INST</v>
      </c>
      <c r="C64" s="11"/>
      <c r="D64" s="2">
        <f t="shared" si="14"/>
        <v>0</v>
      </c>
      <c r="E64" s="2"/>
      <c r="F64" s="19"/>
      <c r="G64" s="2"/>
      <c r="H64" s="2">
        <f>--1047.53</f>
        <v>1047.53</v>
      </c>
      <c r="I64" s="2"/>
      <c r="J64" s="19"/>
      <c r="K64" s="2"/>
      <c r="L64" s="2">
        <f t="shared" si="0"/>
        <v>-1047.53</v>
      </c>
      <c r="M64" s="2"/>
      <c r="N64" s="19">
        <f t="shared" si="1"/>
        <v>-1</v>
      </c>
      <c r="O64" s="11"/>
      <c r="P64" s="2">
        <f>--52.68</f>
        <v>52.68</v>
      </c>
      <c r="Q64" s="2"/>
      <c r="R64" s="19"/>
      <c r="S64" s="2"/>
      <c r="T64" s="2">
        <f>--2556.64</f>
        <v>2556.64</v>
      </c>
      <c r="U64" s="2"/>
      <c r="V64" s="19"/>
      <c r="W64" s="2"/>
      <c r="X64" s="2">
        <f t="shared" si="2"/>
        <v>-2503.96</v>
      </c>
      <c r="Y64" s="2"/>
      <c r="Z64" s="19">
        <f t="shared" si="3"/>
        <v>-0.97939483071531386</v>
      </c>
    </row>
    <row r="65" spans="1:26" s="24" customFormat="1" hidden="1" outlineLevel="1" x14ac:dyDescent="0.25">
      <c r="A65" s="44"/>
      <c r="B65" s="11" t="str">
        <f>CONCATENATE("          ", "4127", " - ", "NON-TAXABLE SALES-SCHOOL SUPPL")</f>
        <v xml:space="preserve">          4127 - NON-TAXABLE SALES-SCHOOL SUPPL</v>
      </c>
      <c r="C65" s="11"/>
      <c r="D65" s="2">
        <f>--2539.06</f>
        <v>2539.06</v>
      </c>
      <c r="E65" s="2"/>
      <c r="F65" s="19"/>
      <c r="G65" s="2"/>
      <c r="H65" s="2">
        <f>--1531.2</f>
        <v>1531.2</v>
      </c>
      <c r="I65" s="2"/>
      <c r="J65" s="19"/>
      <c r="K65" s="2"/>
      <c r="L65" s="2">
        <f t="shared" si="0"/>
        <v>1007.8599999999999</v>
      </c>
      <c r="M65" s="2"/>
      <c r="N65" s="19">
        <f t="shared" si="1"/>
        <v>0.65821577847439905</v>
      </c>
      <c r="O65" s="11"/>
      <c r="P65" s="2">
        <f>--5745.17</f>
        <v>5745.17</v>
      </c>
      <c r="Q65" s="2"/>
      <c r="R65" s="19"/>
      <c r="S65" s="2"/>
      <c r="T65" s="2">
        <f>--4134.6</f>
        <v>4134.6000000000004</v>
      </c>
      <c r="U65" s="2"/>
      <c r="V65" s="19"/>
      <c r="W65" s="2"/>
      <c r="X65" s="2">
        <f t="shared" si="2"/>
        <v>1610.5699999999997</v>
      </c>
      <c r="Y65" s="2"/>
      <c r="Z65" s="19">
        <f t="shared" si="3"/>
        <v>0.38953465873361381</v>
      </c>
    </row>
    <row r="66" spans="1:26" s="24" customFormat="1" hidden="1" outlineLevel="1" x14ac:dyDescent="0.25">
      <c r="A66" s="44"/>
      <c r="B66" s="11" t="str">
        <f>CONCATENATE("          ", "4128", " - ", "NON-TAXABLE SALES-ART/TECH")</f>
        <v xml:space="preserve">          4128 - NON-TAXABLE SALES-ART/TECH</v>
      </c>
      <c r="C66" s="11"/>
      <c r="D66" s="2">
        <f>--4.72</f>
        <v>4.72</v>
      </c>
      <c r="E66" s="2"/>
      <c r="F66" s="19"/>
      <c r="G66" s="2"/>
      <c r="H66" s="2">
        <f>--182.3</f>
        <v>182.3</v>
      </c>
      <c r="I66" s="2"/>
      <c r="J66" s="19"/>
      <c r="K66" s="2"/>
      <c r="L66" s="2">
        <f t="shared" si="0"/>
        <v>-177.58</v>
      </c>
      <c r="M66" s="2"/>
      <c r="N66" s="19">
        <f t="shared" si="1"/>
        <v>-0.97410861217772904</v>
      </c>
      <c r="O66" s="11"/>
      <c r="P66" s="2">
        <f>--29.5</f>
        <v>29.5</v>
      </c>
      <c r="Q66" s="2"/>
      <c r="R66" s="19"/>
      <c r="S66" s="2"/>
      <c r="T66" s="2">
        <f>--531.02</f>
        <v>531.02</v>
      </c>
      <c r="U66" s="2"/>
      <c r="V66" s="19"/>
      <c r="W66" s="2"/>
      <c r="X66" s="2">
        <f t="shared" si="2"/>
        <v>-501.52</v>
      </c>
      <c r="Y66" s="2"/>
      <c r="Z66" s="19">
        <f t="shared" si="3"/>
        <v>-0.94444653685360247</v>
      </c>
    </row>
    <row r="67" spans="1:26" s="24" customFormat="1" hidden="1" outlineLevel="1" x14ac:dyDescent="0.25">
      <c r="A67" s="44"/>
      <c r="B67" s="11" t="str">
        <f>CONCATENATE("          ", "4131", " - ", "NON-TAXABLE SALES-FOOD")</f>
        <v xml:space="preserve">          4131 - NON-TAXABLE SALES-FOOD</v>
      </c>
      <c r="C67" s="11"/>
      <c r="D67" s="2">
        <f>--1098.12</f>
        <v>1098.1199999999999</v>
      </c>
      <c r="E67" s="2"/>
      <c r="F67" s="19"/>
      <c r="G67" s="2"/>
      <c r="H67" s="2">
        <f>--3944.61</f>
        <v>3944.61</v>
      </c>
      <c r="I67" s="2"/>
      <c r="J67" s="19"/>
      <c r="K67" s="2"/>
      <c r="L67" s="2">
        <f t="shared" si="0"/>
        <v>-2846.4900000000002</v>
      </c>
      <c r="M67" s="2"/>
      <c r="N67" s="19">
        <f t="shared" si="1"/>
        <v>-0.72161506460714753</v>
      </c>
      <c r="O67" s="11"/>
      <c r="P67" s="2">
        <f>--8640.27</f>
        <v>8640.27</v>
      </c>
      <c r="Q67" s="2"/>
      <c r="R67" s="19"/>
      <c r="S67" s="2"/>
      <c r="T67" s="2">
        <f>--43030.34</f>
        <v>43030.34</v>
      </c>
      <c r="U67" s="2"/>
      <c r="V67" s="19"/>
      <c r="W67" s="2"/>
      <c r="X67" s="2">
        <f t="shared" si="2"/>
        <v>-34390.069999999992</v>
      </c>
      <c r="Y67" s="2"/>
      <c r="Z67" s="19">
        <f t="shared" si="3"/>
        <v>-0.79920516547161824</v>
      </c>
    </row>
    <row r="68" spans="1:26" s="24" customFormat="1" hidden="1" outlineLevel="1" x14ac:dyDescent="0.25">
      <c r="A68" s="44"/>
      <c r="B68" s="11" t="str">
        <f>CONCATENATE("          ", "4132", " - ", "NON-TAXABLE SALES-JUICE")</f>
        <v xml:space="preserve">          4132 - NON-TAXABLE SALES-JUICE</v>
      </c>
      <c r="C68" s="11"/>
      <c r="D68" s="2">
        <f t="shared" ref="D68:D72" si="15">0</f>
        <v>0</v>
      </c>
      <c r="E68" s="2"/>
      <c r="F68" s="19"/>
      <c r="G68" s="2"/>
      <c r="H68" s="2">
        <f>--92164.81</f>
        <v>92164.81</v>
      </c>
      <c r="I68" s="2"/>
      <c r="J68" s="19"/>
      <c r="K68" s="2"/>
      <c r="L68" s="2">
        <f t="shared" si="0"/>
        <v>-92164.81</v>
      </c>
      <c r="M68" s="2"/>
      <c r="N68" s="19">
        <f t="shared" si="1"/>
        <v>-1</v>
      </c>
      <c r="O68" s="11"/>
      <c r="P68" s="2">
        <f>--2054.37</f>
        <v>2054.37</v>
      </c>
      <c r="Q68" s="2"/>
      <c r="R68" s="19"/>
      <c r="S68" s="2"/>
      <c r="T68" s="2">
        <f>--842731.73</f>
        <v>842731.73</v>
      </c>
      <c r="U68" s="2"/>
      <c r="V68" s="19"/>
      <c r="W68" s="2"/>
      <c r="X68" s="2">
        <f t="shared" si="2"/>
        <v>-840677.36</v>
      </c>
      <c r="Y68" s="2"/>
      <c r="Z68" s="19">
        <f t="shared" si="3"/>
        <v>-0.99756224913947411</v>
      </c>
    </row>
    <row r="69" spans="1:26" s="24" customFormat="1" hidden="1" outlineLevel="1" x14ac:dyDescent="0.25">
      <c r="A69" s="44"/>
      <c r="B69" s="11" t="str">
        <f>CONCATENATE("          ", "4133", " - ", "NON-TAXABLE SALES-CANDY")</f>
        <v xml:space="preserve">          4133 - NON-TAXABLE SALES-CANDY</v>
      </c>
      <c r="C69" s="11"/>
      <c r="D69" s="2">
        <f t="shared" si="15"/>
        <v>0</v>
      </c>
      <c r="E69" s="2"/>
      <c r="F69" s="19"/>
      <c r="G69" s="2"/>
      <c r="H69" s="2">
        <f>--1437.99</f>
        <v>1437.99</v>
      </c>
      <c r="I69" s="2"/>
      <c r="J69" s="19"/>
      <c r="K69" s="2"/>
      <c r="L69" s="2">
        <f t="shared" si="0"/>
        <v>-1437.99</v>
      </c>
      <c r="M69" s="2"/>
      <c r="N69" s="19">
        <f t="shared" si="1"/>
        <v>-1</v>
      </c>
      <c r="O69" s="11"/>
      <c r="P69" s="2">
        <f>--80.71</f>
        <v>80.709999999999994</v>
      </c>
      <c r="Q69" s="2"/>
      <c r="R69" s="19"/>
      <c r="S69" s="2"/>
      <c r="T69" s="2">
        <f>--13559.77</f>
        <v>13559.77</v>
      </c>
      <c r="U69" s="2"/>
      <c r="V69" s="19"/>
      <c r="W69" s="2"/>
      <c r="X69" s="2">
        <f t="shared" si="2"/>
        <v>-13479.060000000001</v>
      </c>
      <c r="Y69" s="2"/>
      <c r="Z69" s="19">
        <f t="shared" si="3"/>
        <v>-0.99404783414467957</v>
      </c>
    </row>
    <row r="70" spans="1:26" s="24" customFormat="1" hidden="1" outlineLevel="1" x14ac:dyDescent="0.25">
      <c r="A70" s="44"/>
      <c r="B70" s="11" t="str">
        <f>CONCATENATE("          ", "4134", " - ", "NON-TAXABLE SALES-SODA")</f>
        <v xml:space="preserve">          4134 - NON-TAXABLE SALES-SODA</v>
      </c>
      <c r="C70" s="11"/>
      <c r="D70" s="2">
        <f t="shared" si="15"/>
        <v>0</v>
      </c>
      <c r="E70" s="2"/>
      <c r="F70" s="19"/>
      <c r="G70" s="2"/>
      <c r="H70" s="2">
        <f>--8.02</f>
        <v>8.02</v>
      </c>
      <c r="I70" s="2"/>
      <c r="J70" s="19"/>
      <c r="K70" s="2"/>
      <c r="L70" s="2">
        <f t="shared" si="0"/>
        <v>-8.02</v>
      </c>
      <c r="M70" s="2"/>
      <c r="N70" s="19">
        <f t="shared" si="1"/>
        <v>-1</v>
      </c>
      <c r="O70" s="11"/>
      <c r="P70" s="2">
        <f>--45.53</f>
        <v>45.53</v>
      </c>
      <c r="Q70" s="2"/>
      <c r="R70" s="19"/>
      <c r="S70" s="2"/>
      <c r="T70" s="2">
        <f>--8.41</f>
        <v>8.41</v>
      </c>
      <c r="U70" s="2"/>
      <c r="V70" s="19"/>
      <c r="W70" s="2"/>
      <c r="X70" s="2">
        <f t="shared" si="2"/>
        <v>37.120000000000005</v>
      </c>
      <c r="Y70" s="2"/>
      <c r="Z70" s="19">
        <f t="shared" si="3"/>
        <v>4.4137931034482767</v>
      </c>
    </row>
    <row r="71" spans="1:26" s="24" customFormat="1" hidden="1" outlineLevel="1" x14ac:dyDescent="0.25">
      <c r="A71" s="44"/>
      <c r="B71" s="11" t="str">
        <f>CONCATENATE("          ", "4135", " - ", "NON-TAXABLE SALES")</f>
        <v xml:space="preserve">          4135 - NON-TAXABLE SALES</v>
      </c>
      <c r="C71" s="11"/>
      <c r="D71" s="2">
        <f t="shared" si="15"/>
        <v>0</v>
      </c>
      <c r="E71" s="2"/>
      <c r="F71" s="19"/>
      <c r="G71" s="2"/>
      <c r="H71" s="2">
        <f>--21.54</f>
        <v>21.54</v>
      </c>
      <c r="I71" s="2"/>
      <c r="J71" s="19"/>
      <c r="K71" s="2"/>
      <c r="L71" s="2">
        <f t="shared" si="0"/>
        <v>-21.54</v>
      </c>
      <c r="M71" s="2"/>
      <c r="N71" s="19">
        <f t="shared" si="1"/>
        <v>-1</v>
      </c>
      <c r="O71" s="11"/>
      <c r="P71" s="2">
        <f>0</f>
        <v>0</v>
      </c>
      <c r="Q71" s="2"/>
      <c r="R71" s="19"/>
      <c r="S71" s="2"/>
      <c r="T71" s="2">
        <f>--139.86</f>
        <v>139.86000000000001</v>
      </c>
      <c r="U71" s="2"/>
      <c r="V71" s="19"/>
      <c r="W71" s="2"/>
      <c r="X71" s="2">
        <f t="shared" si="2"/>
        <v>-139.86000000000001</v>
      </c>
      <c r="Y71" s="2"/>
      <c r="Z71" s="19">
        <f t="shared" si="3"/>
        <v>-1</v>
      </c>
    </row>
    <row r="72" spans="1:26" s="24" customFormat="1" hidden="1" outlineLevel="1" x14ac:dyDescent="0.25">
      <c r="A72" s="44"/>
      <c r="B72" s="11" t="str">
        <f>CONCATENATE("          ", "4137", " - ", "NON-TAXABLE SALES-WATER")</f>
        <v xml:space="preserve">          4137 - NON-TAXABLE SALES-WATER</v>
      </c>
      <c r="C72" s="11"/>
      <c r="D72" s="2">
        <f t="shared" si="15"/>
        <v>0</v>
      </c>
      <c r="E72" s="2"/>
      <c r="F72" s="19"/>
      <c r="G72" s="2"/>
      <c r="H72" s="2">
        <f>--768.57</f>
        <v>768.57</v>
      </c>
      <c r="I72" s="2"/>
      <c r="J72" s="19"/>
      <c r="K72" s="2"/>
      <c r="L72" s="2">
        <f t="shared" si="0"/>
        <v>-768.57</v>
      </c>
      <c r="M72" s="2"/>
      <c r="N72" s="19">
        <f t="shared" si="1"/>
        <v>-1</v>
      </c>
      <c r="O72" s="11"/>
      <c r="P72" s="2">
        <f>--68.25</f>
        <v>68.25</v>
      </c>
      <c r="Q72" s="2"/>
      <c r="R72" s="19"/>
      <c r="S72" s="2"/>
      <c r="T72" s="2">
        <f>--7831.74</f>
        <v>7831.74</v>
      </c>
      <c r="U72" s="2"/>
      <c r="V72" s="19"/>
      <c r="W72" s="2"/>
      <c r="X72" s="2">
        <f t="shared" si="2"/>
        <v>-7763.49</v>
      </c>
      <c r="Y72" s="2"/>
      <c r="Z72" s="19">
        <f t="shared" si="3"/>
        <v>-0.99128546146833274</v>
      </c>
    </row>
    <row r="73" spans="1:26" s="24" customFormat="1" hidden="1" outlineLevel="1" x14ac:dyDescent="0.25">
      <c r="A73" s="44"/>
      <c r="B73" s="11" t="str">
        <f>CONCATENATE("          ", "4140", " - ", "NON-TAXABLE SALES-LOGO CLOTHIN")</f>
        <v xml:space="preserve">          4140 - NON-TAXABLE SALES-LOGO CLOTHIN</v>
      </c>
      <c r="C73" s="11"/>
      <c r="D73" s="2">
        <f>--9206.45</f>
        <v>9206.4500000000007</v>
      </c>
      <c r="E73" s="2"/>
      <c r="F73" s="19"/>
      <c r="G73" s="2"/>
      <c r="H73" s="2">
        <f>--3758.83</f>
        <v>3758.83</v>
      </c>
      <c r="I73" s="2"/>
      <c r="J73" s="19"/>
      <c r="K73" s="2"/>
      <c r="L73" s="2">
        <f t="shared" si="0"/>
        <v>5447.6200000000008</v>
      </c>
      <c r="M73" s="2"/>
      <c r="N73" s="19">
        <f t="shared" si="1"/>
        <v>1.4492860810411752</v>
      </c>
      <c r="O73" s="11"/>
      <c r="P73" s="2">
        <f>--113177.42</f>
        <v>113177.42</v>
      </c>
      <c r="Q73" s="2"/>
      <c r="R73" s="19"/>
      <c r="S73" s="2"/>
      <c r="T73" s="2">
        <f>--42582.67</f>
        <v>42582.67</v>
      </c>
      <c r="U73" s="2"/>
      <c r="V73" s="19"/>
      <c r="W73" s="2"/>
      <c r="X73" s="2">
        <f t="shared" si="2"/>
        <v>70594.75</v>
      </c>
      <c r="Y73" s="2"/>
      <c r="Z73" s="19">
        <f t="shared" si="3"/>
        <v>1.6578281728224182</v>
      </c>
    </row>
    <row r="74" spans="1:26" s="24" customFormat="1" hidden="1" outlineLevel="1" x14ac:dyDescent="0.25">
      <c r="A74" s="44"/>
      <c r="B74" s="11" t="str">
        <f>CONCATENATE("          ", "4141", " - ", "NON-TAXABLE SALES-LOGO GIFTS")</f>
        <v xml:space="preserve">          4141 - NON-TAXABLE SALES-LOGO GIFTS</v>
      </c>
      <c r="C74" s="11"/>
      <c r="D74" s="2">
        <f>--1872.52</f>
        <v>1872.52</v>
      </c>
      <c r="E74" s="2"/>
      <c r="F74" s="19"/>
      <c r="G74" s="2"/>
      <c r="H74" s="2">
        <f>--1719.12</f>
        <v>1719.12</v>
      </c>
      <c r="I74" s="2"/>
      <c r="J74" s="19"/>
      <c r="K74" s="2"/>
      <c r="L74" s="2">
        <f t="shared" si="0"/>
        <v>153.40000000000009</v>
      </c>
      <c r="M74" s="2"/>
      <c r="N74" s="19">
        <f t="shared" si="1"/>
        <v>8.9231699939503986E-2</v>
      </c>
      <c r="O74" s="11"/>
      <c r="P74" s="2">
        <f>--7841.77</f>
        <v>7841.77</v>
      </c>
      <c r="Q74" s="2"/>
      <c r="R74" s="19"/>
      <c r="S74" s="2"/>
      <c r="T74" s="2">
        <f>--4249</f>
        <v>4249</v>
      </c>
      <c r="U74" s="2"/>
      <c r="V74" s="19"/>
      <c r="W74" s="2"/>
      <c r="X74" s="2">
        <f t="shared" si="2"/>
        <v>3592.7700000000004</v>
      </c>
      <c r="Y74" s="2"/>
      <c r="Z74" s="19">
        <f t="shared" si="3"/>
        <v>0.84555660155330681</v>
      </c>
    </row>
    <row r="75" spans="1:26" s="24" customFormat="1" hidden="1" outlineLevel="1" x14ac:dyDescent="0.25">
      <c r="A75" s="44"/>
      <c r="B75" s="11" t="str">
        <f>CONCATENATE("          ", "4142", " - ", "NON-TAXABLE SALES-EVERYDAY GIF")</f>
        <v xml:space="preserve">          4142 - NON-TAXABLE SALES-EVERYDAY GIF</v>
      </c>
      <c r="C75" s="11"/>
      <c r="D75" s="2">
        <f>--51.7</f>
        <v>51.7</v>
      </c>
      <c r="E75" s="2"/>
      <c r="F75" s="19"/>
      <c r="G75" s="2"/>
      <c r="H75" s="2">
        <f>--1947.91</f>
        <v>1947.91</v>
      </c>
      <c r="I75" s="2"/>
      <c r="J75" s="19"/>
      <c r="K75" s="2"/>
      <c r="L75" s="2">
        <f t="shared" si="0"/>
        <v>-1896.21</v>
      </c>
      <c r="M75" s="2"/>
      <c r="N75" s="19">
        <f t="shared" si="1"/>
        <v>-0.97345873269298888</v>
      </c>
      <c r="O75" s="11"/>
      <c r="P75" s="2">
        <f>--2259.89</f>
        <v>2259.89</v>
      </c>
      <c r="Q75" s="2"/>
      <c r="R75" s="19"/>
      <c r="S75" s="2"/>
      <c r="T75" s="2">
        <f>--12435.29</f>
        <v>12435.29</v>
      </c>
      <c r="U75" s="2"/>
      <c r="V75" s="19"/>
      <c r="W75" s="2"/>
      <c r="X75" s="2">
        <f t="shared" si="2"/>
        <v>-10175.400000000001</v>
      </c>
      <c r="Y75" s="2"/>
      <c r="Z75" s="19">
        <f t="shared" si="3"/>
        <v>-0.81826800983330517</v>
      </c>
    </row>
    <row r="76" spans="1:26" s="24" customFormat="1" hidden="1" outlineLevel="1" x14ac:dyDescent="0.25">
      <c r="A76" s="44"/>
      <c r="B76" s="11" t="str">
        <f>CONCATENATE("          ", "4143", " - ", "NON-TAXABLE SALES-CARDS")</f>
        <v xml:space="preserve">          4143 - NON-TAXABLE SALES-CARDS</v>
      </c>
      <c r="C76" s="11"/>
      <c r="D76" s="2">
        <f>--232.71</f>
        <v>232.71</v>
      </c>
      <c r="E76" s="2"/>
      <c r="F76" s="19"/>
      <c r="G76" s="2"/>
      <c r="H76" s="2">
        <f>0</f>
        <v>0</v>
      </c>
      <c r="I76" s="2"/>
      <c r="J76" s="19"/>
      <c r="K76" s="2"/>
      <c r="L76" s="2">
        <f t="shared" si="0"/>
        <v>232.71</v>
      </c>
      <c r="M76" s="2"/>
      <c r="N76" s="19">
        <f t="shared" si="1"/>
        <v>0</v>
      </c>
      <c r="O76" s="11"/>
      <c r="P76" s="2">
        <f>--1969.74</f>
        <v>1969.74</v>
      </c>
      <c r="Q76" s="2"/>
      <c r="R76" s="19"/>
      <c r="S76" s="2"/>
      <c r="T76" s="2">
        <f>0</f>
        <v>0</v>
      </c>
      <c r="U76" s="2"/>
      <c r="V76" s="19"/>
      <c r="W76" s="2"/>
      <c r="X76" s="2">
        <f t="shared" si="2"/>
        <v>1969.74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"4144", " - ", "NON-TAXABLE SALES-ACCESSORIES")</f>
        <v xml:space="preserve">          4144 - NON-TAXABLE SALES-ACCESSORIES</v>
      </c>
      <c r="C77" s="11"/>
      <c r="D77" s="2">
        <f>--119.9</f>
        <v>119.9</v>
      </c>
      <c r="E77" s="2"/>
      <c r="F77" s="19"/>
      <c r="G77" s="2"/>
      <c r="H77" s="2">
        <f>--374.48</f>
        <v>374.48</v>
      </c>
      <c r="I77" s="2"/>
      <c r="J77" s="19"/>
      <c r="K77" s="2"/>
      <c r="L77" s="2">
        <f t="shared" si="0"/>
        <v>-254.58</v>
      </c>
      <c r="M77" s="2"/>
      <c r="N77" s="19">
        <f t="shared" si="1"/>
        <v>-0.67982268745994445</v>
      </c>
      <c r="O77" s="11"/>
      <c r="P77" s="2">
        <f>--609.4</f>
        <v>609.4</v>
      </c>
      <c r="Q77" s="2"/>
      <c r="R77" s="19"/>
      <c r="S77" s="2"/>
      <c r="T77" s="2">
        <f>--967.33</f>
        <v>967.33</v>
      </c>
      <c r="U77" s="2"/>
      <c r="V77" s="19"/>
      <c r="W77" s="2"/>
      <c r="X77" s="2">
        <f t="shared" si="2"/>
        <v>-357.93000000000006</v>
      </c>
      <c r="Y77" s="2"/>
      <c r="Z77" s="19">
        <f t="shared" si="3"/>
        <v>-0.37001850454343405</v>
      </c>
    </row>
    <row r="78" spans="1:26" s="24" customFormat="1" hidden="1" outlineLevel="1" x14ac:dyDescent="0.25">
      <c r="A78" s="44"/>
      <c r="B78" s="11" t="str">
        <f>CONCATENATE("          ", "4145", " - ", "NON-TAXABLE SALES-SPECIAL ORDE")</f>
        <v xml:space="preserve">          4145 - NON-TAXABLE SALES-SPECIAL ORDE</v>
      </c>
      <c r="C78" s="11"/>
      <c r="D78" s="2">
        <f>-1677.68</f>
        <v>-1677.68</v>
      </c>
      <c r="E78" s="2"/>
      <c r="F78" s="19"/>
      <c r="G78" s="2"/>
      <c r="H78" s="2">
        <f>0</f>
        <v>0</v>
      </c>
      <c r="I78" s="2"/>
      <c r="J78" s="19"/>
      <c r="K78" s="2"/>
      <c r="L78" s="2">
        <f t="shared" si="0"/>
        <v>-1677.68</v>
      </c>
      <c r="M78" s="2"/>
      <c r="N78" s="19">
        <f t="shared" si="1"/>
        <v>0</v>
      </c>
      <c r="O78" s="11"/>
      <c r="P78" s="2">
        <f>--53716.09</f>
        <v>53716.09</v>
      </c>
      <c r="Q78" s="2"/>
      <c r="R78" s="19"/>
      <c r="S78" s="2"/>
      <c r="T78" s="2">
        <f>--140</f>
        <v>140</v>
      </c>
      <c r="U78" s="2"/>
      <c r="V78" s="19"/>
      <c r="W78" s="2"/>
      <c r="X78" s="2">
        <f t="shared" si="2"/>
        <v>53576.09</v>
      </c>
      <c r="Y78" s="2"/>
      <c r="Z78" s="19">
        <f t="shared" si="3"/>
        <v>382.6863571428571</v>
      </c>
    </row>
    <row r="79" spans="1:26" s="24" customFormat="1" hidden="1" outlineLevel="1" x14ac:dyDescent="0.25">
      <c r="A79" s="44"/>
      <c r="B79" s="11" t="str">
        <f>CONCATENATE("          ", "4146", " - ", "NON-TAXABLE SALES-COIN OP MACH")</f>
        <v xml:space="preserve">          4146 - NON-TAXABLE SALES-COIN OP MACH</v>
      </c>
      <c r="C79" s="11"/>
      <c r="D79" s="2">
        <f>--12.7</f>
        <v>12.7</v>
      </c>
      <c r="E79" s="2"/>
      <c r="F79" s="19"/>
      <c r="G79" s="2"/>
      <c r="H79" s="2">
        <f>--17086.55</f>
        <v>17086.55</v>
      </c>
      <c r="I79" s="2"/>
      <c r="J79" s="19"/>
      <c r="K79" s="2"/>
      <c r="L79" s="2">
        <f t="shared" si="0"/>
        <v>-17073.849999999999</v>
      </c>
      <c r="M79" s="2"/>
      <c r="N79" s="19">
        <f t="shared" si="1"/>
        <v>-0.99925672531903742</v>
      </c>
      <c r="O79" s="11"/>
      <c r="P79" s="2">
        <f>--140.6</f>
        <v>140.6</v>
      </c>
      <c r="Q79" s="2"/>
      <c r="R79" s="19"/>
      <c r="S79" s="2"/>
      <c r="T79" s="2">
        <f>--163554.5</f>
        <v>163554.5</v>
      </c>
      <c r="U79" s="2"/>
      <c r="V79" s="19"/>
      <c r="W79" s="2"/>
      <c r="X79" s="2">
        <f t="shared" si="2"/>
        <v>-163413.9</v>
      </c>
      <c r="Y79" s="2"/>
      <c r="Z79" s="19">
        <f t="shared" si="3"/>
        <v>-0.99914034771284188</v>
      </c>
    </row>
    <row r="80" spans="1:26" s="24" customFormat="1" hidden="1" outlineLevel="1" x14ac:dyDescent="0.25">
      <c r="A80" s="44"/>
      <c r="B80" s="11" t="str">
        <f>CONCATENATE("          ", "4147", " - ", "NON-TAXABLE SALES-MISC")</f>
        <v xml:space="preserve">          4147 - NON-TAXABLE SALES-MISC</v>
      </c>
      <c r="C80" s="11"/>
      <c r="D80" s="2">
        <f>--11</f>
        <v>11</v>
      </c>
      <c r="E80" s="2"/>
      <c r="F80" s="19"/>
      <c r="G80" s="2"/>
      <c r="H80" s="2">
        <f>--11.5</f>
        <v>11.5</v>
      </c>
      <c r="I80" s="2"/>
      <c r="J80" s="19"/>
      <c r="K80" s="2"/>
      <c r="L80" s="2">
        <f t="shared" si="0"/>
        <v>-0.5</v>
      </c>
      <c r="M80" s="2"/>
      <c r="N80" s="19">
        <f t="shared" si="1"/>
        <v>-4.3478260869565216E-2</v>
      </c>
      <c r="O80" s="11"/>
      <c r="P80" s="2">
        <f>--115.5</f>
        <v>115.5</v>
      </c>
      <c r="Q80" s="2"/>
      <c r="R80" s="19"/>
      <c r="S80" s="2"/>
      <c r="T80" s="2">
        <f>--318.9</f>
        <v>318.89999999999998</v>
      </c>
      <c r="U80" s="2"/>
      <c r="V80" s="19"/>
      <c r="W80" s="2"/>
      <c r="X80" s="2">
        <f t="shared" si="2"/>
        <v>-203.39999999999998</v>
      </c>
      <c r="Y80" s="2"/>
      <c r="Z80" s="19">
        <f t="shared" si="3"/>
        <v>-0.63781749764816553</v>
      </c>
    </row>
    <row r="81" spans="1:26" s="24" customFormat="1" hidden="1" outlineLevel="1" x14ac:dyDescent="0.25">
      <c r="A81" s="44"/>
      <c r="B81" s="11" t="str">
        <f>CONCATENATE("          ", "4151", " - ", "NON-TAXABLE SALES-FOOD")</f>
        <v xml:space="preserve">          4151 - NON-TAXABLE SALES-FOOD</v>
      </c>
      <c r="C81" s="11"/>
      <c r="D81" s="2">
        <f>--35996.95</f>
        <v>35996.949999999997</v>
      </c>
      <c r="E81" s="2"/>
      <c r="F81" s="19"/>
      <c r="G81" s="2"/>
      <c r="H81" s="2">
        <f>--762392.53</f>
        <v>762392.53</v>
      </c>
      <c r="I81" s="2"/>
      <c r="J81" s="19"/>
      <c r="K81" s="2"/>
      <c r="L81" s="2">
        <f t="shared" si="0"/>
        <v>-726395.58000000007</v>
      </c>
      <c r="M81" s="2"/>
      <c r="N81" s="19">
        <f t="shared" si="1"/>
        <v>-0.95278423045409433</v>
      </c>
      <c r="O81" s="11"/>
      <c r="P81" s="2">
        <f>--664373.55</f>
        <v>664373.55000000005</v>
      </c>
      <c r="Q81" s="2"/>
      <c r="R81" s="19"/>
      <c r="S81" s="2"/>
      <c r="T81" s="2">
        <f>--8132521.01</f>
        <v>8132521.0099999998</v>
      </c>
      <c r="U81" s="2"/>
      <c r="V81" s="19"/>
      <c r="W81" s="2"/>
      <c r="X81" s="2">
        <f t="shared" si="2"/>
        <v>-7468147.46</v>
      </c>
      <c r="Y81" s="2"/>
      <c r="Z81" s="19">
        <f t="shared" si="3"/>
        <v>-0.91830656826055956</v>
      </c>
    </row>
    <row r="82" spans="1:26" s="24" customFormat="1" hidden="1" outlineLevel="1" x14ac:dyDescent="0.25">
      <c r="A82" s="44"/>
      <c r="B82" s="11" t="str">
        <f>CONCATENATE("          ", "4152", " - ", "NON-TAXABLE SALES-FOOD")</f>
        <v xml:space="preserve">          4152 - NON-TAXABLE SALES-FOOD</v>
      </c>
      <c r="C82" s="11"/>
      <c r="D82" s="2">
        <f>0</f>
        <v>0</v>
      </c>
      <c r="E82" s="2"/>
      <c r="F82" s="19"/>
      <c r="G82" s="2"/>
      <c r="H82" s="2">
        <f>--4794.1</f>
        <v>4794.1000000000004</v>
      </c>
      <c r="I82" s="2"/>
      <c r="J82" s="19"/>
      <c r="K82" s="2"/>
      <c r="L82" s="2">
        <f t="shared" si="0"/>
        <v>-4794.1000000000004</v>
      </c>
      <c r="M82" s="2"/>
      <c r="N82" s="19">
        <f t="shared" si="1"/>
        <v>-1</v>
      </c>
      <c r="O82" s="11"/>
      <c r="P82" s="2">
        <f>0</f>
        <v>0</v>
      </c>
      <c r="Q82" s="2"/>
      <c r="R82" s="19"/>
      <c r="S82" s="2"/>
      <c r="T82" s="2">
        <f>--39428.9</f>
        <v>39428.9</v>
      </c>
      <c r="U82" s="2"/>
      <c r="V82" s="19"/>
      <c r="W82" s="2"/>
      <c r="X82" s="2">
        <f t="shared" si="2"/>
        <v>-39428.9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"4153", " - ", "NON-TAXABLE SALES-FOOD")</f>
        <v xml:space="preserve">          4153 - NON-TAXABLE SALES-FOOD</v>
      </c>
      <c r="C83" s="11"/>
      <c r="D83" s="2">
        <f>--2207.76</f>
        <v>2207.7600000000002</v>
      </c>
      <c r="E83" s="2"/>
      <c r="F83" s="19"/>
      <c r="G83" s="2"/>
      <c r="H83" s="2">
        <f>--44623.25</f>
        <v>44623.25</v>
      </c>
      <c r="I83" s="2"/>
      <c r="J83" s="19"/>
      <c r="K83" s="2"/>
      <c r="L83" s="2">
        <f t="shared" si="0"/>
        <v>-42415.49</v>
      </c>
      <c r="M83" s="2"/>
      <c r="N83" s="19">
        <f t="shared" si="1"/>
        <v>-0.95052444633683109</v>
      </c>
      <c r="O83" s="11"/>
      <c r="P83" s="2">
        <f>--32079.16</f>
        <v>32079.16</v>
      </c>
      <c r="Q83" s="2"/>
      <c r="R83" s="19"/>
      <c r="S83" s="2"/>
      <c r="T83" s="2">
        <f>--276939.79</f>
        <v>276939.78999999998</v>
      </c>
      <c r="U83" s="2"/>
      <c r="V83" s="19"/>
      <c r="W83" s="2"/>
      <c r="X83" s="2">
        <f t="shared" si="2"/>
        <v>-244860.62999999998</v>
      </c>
      <c r="Y83" s="2"/>
      <c r="Z83" s="19">
        <f t="shared" si="3"/>
        <v>-0.88416557981790911</v>
      </c>
    </row>
    <row r="84" spans="1:26" s="24" customFormat="1" hidden="1" outlineLevel="1" x14ac:dyDescent="0.25">
      <c r="A84" s="44"/>
      <c r="B84" s="11" t="str">
        <f>CONCATENATE("          ", "4155", " - ", "NON-TAXABLE SALES-FOOD")</f>
        <v xml:space="preserve">          4155 - NON-TAXABLE SALES-FOOD</v>
      </c>
      <c r="C84" s="11"/>
      <c r="D84" s="2">
        <f t="shared" ref="D84:D85" si="16">0</f>
        <v>0</v>
      </c>
      <c r="E84" s="2"/>
      <c r="F84" s="19"/>
      <c r="G84" s="2"/>
      <c r="H84" s="2">
        <f>--58440.71</f>
        <v>58440.71</v>
      </c>
      <c r="I84" s="2"/>
      <c r="J84" s="19"/>
      <c r="K84" s="2"/>
      <c r="L84" s="2">
        <f t="shared" si="0"/>
        <v>-58440.71</v>
      </c>
      <c r="M84" s="2"/>
      <c r="N84" s="19">
        <f t="shared" si="1"/>
        <v>-1</v>
      </c>
      <c r="O84" s="11"/>
      <c r="P84" s="2">
        <f t="shared" ref="P84:P85" si="17">0</f>
        <v>0</v>
      </c>
      <c r="Q84" s="2"/>
      <c r="R84" s="19"/>
      <c r="S84" s="2"/>
      <c r="T84" s="2">
        <f>--546895.06</f>
        <v>546895.06000000006</v>
      </c>
      <c r="U84" s="2"/>
      <c r="V84" s="19"/>
      <c r="W84" s="2"/>
      <c r="X84" s="2">
        <f t="shared" si="2"/>
        <v>-546895.06000000006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"4158", " - ", "NON-TAXABLE SALES-FOOD")</f>
        <v xml:space="preserve">          4158 - NON-TAXABLE SALES-FOOD</v>
      </c>
      <c r="C85" s="11"/>
      <c r="D85" s="2">
        <f t="shared" si="16"/>
        <v>0</v>
      </c>
      <c r="E85" s="2"/>
      <c r="F85" s="19"/>
      <c r="G85" s="2"/>
      <c r="H85" s="2">
        <f>--44520.71</f>
        <v>44520.71</v>
      </c>
      <c r="I85" s="2"/>
      <c r="J85" s="19"/>
      <c r="K85" s="2"/>
      <c r="L85" s="2">
        <f t="shared" si="0"/>
        <v>-44520.71</v>
      </c>
      <c r="M85" s="2"/>
      <c r="N85" s="19">
        <f t="shared" si="1"/>
        <v>-1</v>
      </c>
      <c r="O85" s="11"/>
      <c r="P85" s="2">
        <f t="shared" si="17"/>
        <v>0</v>
      </c>
      <c r="Q85" s="2"/>
      <c r="R85" s="19"/>
      <c r="S85" s="2"/>
      <c r="T85" s="2">
        <f>--363136.65</f>
        <v>363136.65</v>
      </c>
      <c r="U85" s="2"/>
      <c r="V85" s="19"/>
      <c r="W85" s="2"/>
      <c r="X85" s="2">
        <f t="shared" si="2"/>
        <v>-363136.65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"4181", " - ", "NON-TAXABLE SALES-ELECTRONICS")</f>
        <v xml:space="preserve">          4181 - NON-TAXABLE SALES-ELECTRONICS</v>
      </c>
      <c r="C86" s="11"/>
      <c r="D86" s="2">
        <f>--2038.6</f>
        <v>2038.6</v>
      </c>
      <c r="E86" s="2"/>
      <c r="F86" s="19"/>
      <c r="G86" s="2"/>
      <c r="H86" s="2">
        <f>--343.91</f>
        <v>343.91</v>
      </c>
      <c r="I86" s="2"/>
      <c r="J86" s="19"/>
      <c r="K86" s="2"/>
      <c r="L86" s="2">
        <f t="shared" si="0"/>
        <v>1694.6899999999998</v>
      </c>
      <c r="M86" s="2"/>
      <c r="N86" s="19">
        <f t="shared" si="1"/>
        <v>4.9277136460120374</v>
      </c>
      <c r="O86" s="11"/>
      <c r="P86" s="2">
        <f>--5572.72</f>
        <v>5572.72</v>
      </c>
      <c r="Q86" s="2"/>
      <c r="R86" s="19"/>
      <c r="S86" s="2"/>
      <c r="T86" s="2">
        <f>--1806.42</f>
        <v>1806.42</v>
      </c>
      <c r="U86" s="2"/>
      <c r="V86" s="19"/>
      <c r="W86" s="2"/>
      <c r="X86" s="2">
        <f t="shared" si="2"/>
        <v>3766.3</v>
      </c>
      <c r="Y86" s="2"/>
      <c r="Z86" s="19">
        <f t="shared" si="3"/>
        <v>2.0849525580983381</v>
      </c>
    </row>
    <row r="87" spans="1:26" s="24" customFormat="1" hidden="1" outlineLevel="1" x14ac:dyDescent="0.25">
      <c r="A87" s="44"/>
      <c r="B87" s="11" t="str">
        <f>CONCATENATE("          ", "4182", " - ", "NON-TAXABLE SALES-COMPUTER HAR")</f>
        <v xml:space="preserve">          4182 - NON-TAXABLE SALES-COMPUTER HAR</v>
      </c>
      <c r="C87" s="11"/>
      <c r="D87" s="2">
        <f>--22090.89</f>
        <v>22090.89</v>
      </c>
      <c r="E87" s="2"/>
      <c r="F87" s="19"/>
      <c r="G87" s="2"/>
      <c r="H87" s="2">
        <f>--16176.97</f>
        <v>16176.97</v>
      </c>
      <c r="I87" s="2"/>
      <c r="J87" s="19"/>
      <c r="K87" s="2"/>
      <c r="L87" s="2">
        <f t="shared" si="0"/>
        <v>5913.92</v>
      </c>
      <c r="M87" s="2"/>
      <c r="N87" s="19">
        <f t="shared" si="1"/>
        <v>0.36557649547473975</v>
      </c>
      <c r="O87" s="11"/>
      <c r="P87" s="2">
        <f>--186399.2</f>
        <v>186399.2</v>
      </c>
      <c r="Q87" s="2"/>
      <c r="R87" s="19"/>
      <c r="S87" s="2"/>
      <c r="T87" s="2">
        <f>--86971.97</f>
        <v>86971.97</v>
      </c>
      <c r="U87" s="2"/>
      <c r="V87" s="19"/>
      <c r="W87" s="2"/>
      <c r="X87" s="2">
        <f t="shared" si="2"/>
        <v>99427.23000000001</v>
      </c>
      <c r="Y87" s="2"/>
      <c r="Z87" s="19">
        <f t="shared" si="3"/>
        <v>1.1432100480189193</v>
      </c>
    </row>
    <row r="88" spans="1:26" s="24" customFormat="1" hidden="1" outlineLevel="1" x14ac:dyDescent="0.25">
      <c r="A88" s="44"/>
      <c r="B88" s="11" t="str">
        <f>CONCATENATE("          ", "4183", " - ", "NON-TAXABLE SALES-COMPUTER EQU")</f>
        <v xml:space="preserve">          4183 - NON-TAXABLE SALES-COMPUTER EQU</v>
      </c>
      <c r="C88" s="11"/>
      <c r="D88" s="2">
        <f>--2888.95</f>
        <v>2888.95</v>
      </c>
      <c r="E88" s="2"/>
      <c r="F88" s="19"/>
      <c r="G88" s="2"/>
      <c r="H88" s="2">
        <f>--777.81</f>
        <v>777.81</v>
      </c>
      <c r="I88" s="2"/>
      <c r="J88" s="19"/>
      <c r="K88" s="2"/>
      <c r="L88" s="2">
        <f t="shared" si="0"/>
        <v>2111.14</v>
      </c>
      <c r="M88" s="2"/>
      <c r="N88" s="19">
        <f t="shared" si="1"/>
        <v>2.714210411282961</v>
      </c>
      <c r="O88" s="11"/>
      <c r="P88" s="2">
        <f>--10518.14</f>
        <v>10518.14</v>
      </c>
      <c r="Q88" s="2"/>
      <c r="R88" s="19"/>
      <c r="S88" s="2"/>
      <c r="T88" s="2">
        <f>--4349.44</f>
        <v>4349.4399999999996</v>
      </c>
      <c r="U88" s="2"/>
      <c r="V88" s="19"/>
      <c r="W88" s="2"/>
      <c r="X88" s="2">
        <f t="shared" si="2"/>
        <v>6168.7</v>
      </c>
      <c r="Y88" s="2"/>
      <c r="Z88" s="19">
        <f t="shared" si="3"/>
        <v>1.4182745364920541</v>
      </c>
    </row>
    <row r="89" spans="1:26" s="24" customFormat="1" hidden="1" outlineLevel="1" x14ac:dyDescent="0.25">
      <c r="A89" s="44"/>
      <c r="B89" s="11" t="str">
        <f>CONCATENATE("          ", "4184", " - ", "NON-TAXABLE SALES-SOFTWARE LIC")</f>
        <v xml:space="preserve">          4184 - NON-TAXABLE SALES-SOFTWARE LIC</v>
      </c>
      <c r="C89" s="11"/>
      <c r="D89" s="2">
        <f>0</f>
        <v>0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0</f>
        <v>0</v>
      </c>
      <c r="Q89" s="2"/>
      <c r="R89" s="19"/>
      <c r="S89" s="2"/>
      <c r="T89" s="2">
        <f>--2728</f>
        <v>2728</v>
      </c>
      <c r="U89" s="2"/>
      <c r="V89" s="19"/>
      <c r="W89" s="2"/>
      <c r="X89" s="2">
        <f t="shared" si="2"/>
        <v>-2728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"4185", " - ", "NON-TAXABLE SALES-SOFTWARE")</f>
        <v xml:space="preserve">          4185 - NON-TAXABLE SALES-SOFTWARE</v>
      </c>
      <c r="C90" s="11"/>
      <c r="D90" s="2">
        <f>--3149.85</f>
        <v>3149.85</v>
      </c>
      <c r="E90" s="2"/>
      <c r="F90" s="19"/>
      <c r="G90" s="2"/>
      <c r="H90" s="2">
        <f>--1925.98</f>
        <v>1925.98</v>
      </c>
      <c r="I90" s="2"/>
      <c r="J90" s="19"/>
      <c r="K90" s="2"/>
      <c r="L90" s="2">
        <f t="shared" si="0"/>
        <v>1223.8699999999999</v>
      </c>
      <c r="M90" s="2"/>
      <c r="N90" s="19">
        <f t="shared" si="1"/>
        <v>0.63545311997009313</v>
      </c>
      <c r="O90" s="11"/>
      <c r="P90" s="2">
        <f>--29830.52</f>
        <v>29830.52</v>
      </c>
      <c r="Q90" s="2"/>
      <c r="R90" s="19"/>
      <c r="S90" s="2"/>
      <c r="T90" s="2">
        <f>--11327.82</f>
        <v>11327.82</v>
      </c>
      <c r="U90" s="2"/>
      <c r="V90" s="19"/>
      <c r="W90" s="2"/>
      <c r="X90" s="2">
        <f t="shared" si="2"/>
        <v>18502.7</v>
      </c>
      <c r="Y90" s="2"/>
      <c r="Z90" s="19">
        <f t="shared" si="3"/>
        <v>1.6333857706072308</v>
      </c>
    </row>
    <row r="91" spans="1:26" s="24" customFormat="1" hidden="1" outlineLevel="1" x14ac:dyDescent="0.25">
      <c r="A91" s="44"/>
      <c r="B91" s="11" t="str">
        <f>CONCATENATE("          ", "4186", " - ", "NON-TAXABLE SALES-COMPUTER SUP")</f>
        <v xml:space="preserve">          4186 - NON-TAXABLE SALES-COMPUTER SUP</v>
      </c>
      <c r="C91" s="11"/>
      <c r="D91" s="2">
        <f>--535.04</f>
        <v>535.04</v>
      </c>
      <c r="E91" s="2"/>
      <c r="F91" s="19"/>
      <c r="G91" s="2"/>
      <c r="H91" s="2">
        <f>--326.92</f>
        <v>326.92</v>
      </c>
      <c r="I91" s="2"/>
      <c r="J91" s="19"/>
      <c r="K91" s="2"/>
      <c r="L91" s="2">
        <f t="shared" si="0"/>
        <v>208.11999999999995</v>
      </c>
      <c r="M91" s="2"/>
      <c r="N91" s="19">
        <f t="shared" si="1"/>
        <v>0.63660834454912496</v>
      </c>
      <c r="O91" s="11"/>
      <c r="P91" s="2">
        <f>--2485.03</f>
        <v>2485.0300000000002</v>
      </c>
      <c r="Q91" s="2"/>
      <c r="R91" s="19"/>
      <c r="S91" s="2"/>
      <c r="T91" s="2">
        <f>--1949.31</f>
        <v>1949.31</v>
      </c>
      <c r="U91" s="2"/>
      <c r="V91" s="19"/>
      <c r="W91" s="2"/>
      <c r="X91" s="2">
        <f t="shared" si="2"/>
        <v>535.72000000000025</v>
      </c>
      <c r="Y91" s="2"/>
      <c r="Z91" s="19">
        <f t="shared" si="3"/>
        <v>0.27482545105704081</v>
      </c>
    </row>
    <row r="92" spans="1:26" s="24" customFormat="1" hidden="1" outlineLevel="1" x14ac:dyDescent="0.25">
      <c r="A92" s="44"/>
      <c r="B92" s="11" t="str">
        <f>CONCATENATE("          ", "4188", " - ", "NON-TAXABLE SALES-MUSIC")</f>
        <v xml:space="preserve">          4188 - NON-TAXABLE SALES-MUSIC</v>
      </c>
      <c r="C92" s="11"/>
      <c r="D92" s="2">
        <f>0</f>
        <v>0</v>
      </c>
      <c r="E92" s="2"/>
      <c r="F92" s="19"/>
      <c r="G92" s="2"/>
      <c r="H92" s="2">
        <f>0</f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0</f>
        <v>0</v>
      </c>
      <c r="Q92" s="2"/>
      <c r="R92" s="19"/>
      <c r="S92" s="2"/>
      <c r="T92" s="2">
        <f>--219.96</f>
        <v>219.96</v>
      </c>
      <c r="U92" s="2"/>
      <c r="V92" s="19"/>
      <c r="W92" s="2"/>
      <c r="X92" s="2">
        <f t="shared" si="2"/>
        <v>-219.96</v>
      </c>
      <c r="Y92" s="2"/>
      <c r="Z92" s="19">
        <f t="shared" si="3"/>
        <v>-1</v>
      </c>
    </row>
    <row r="93" spans="1:26" s="24" customFormat="1" hidden="1" outlineLevel="1" x14ac:dyDescent="0.25">
      <c r="A93" s="44"/>
      <c r="B93" s="11" t="str">
        <f>CONCATENATE("          ", "4201", " - ", "SALES RETURN TAXABLE-NEW TEXT")</f>
        <v xml:space="preserve">          4201 - SALES RETURN TAXABLE-NEW TEXT</v>
      </c>
      <c r="C93" s="11"/>
      <c r="D93" s="2">
        <f>-12741.9</f>
        <v>-12741.9</v>
      </c>
      <c r="E93" s="2"/>
      <c r="F93" s="19"/>
      <c r="G93" s="2"/>
      <c r="H93" s="2">
        <f>-37895.48</f>
        <v>-37895.480000000003</v>
      </c>
      <c r="I93" s="2"/>
      <c r="J93" s="19"/>
      <c r="K93" s="2"/>
      <c r="L93" s="2">
        <f t="shared" si="0"/>
        <v>25153.58</v>
      </c>
      <c r="M93" s="2"/>
      <c r="N93" s="19">
        <f t="shared" si="1"/>
        <v>-0.66376201066723528</v>
      </c>
      <c r="O93" s="11"/>
      <c r="P93" s="2">
        <f>-48517.74</f>
        <v>-48517.74</v>
      </c>
      <c r="Q93" s="2"/>
      <c r="R93" s="19"/>
      <c r="S93" s="2"/>
      <c r="T93" s="2">
        <f>-116625.85</f>
        <v>-116625.85</v>
      </c>
      <c r="U93" s="2"/>
      <c r="V93" s="19"/>
      <c r="W93" s="2"/>
      <c r="X93" s="2">
        <f t="shared" si="2"/>
        <v>68108.110000000015</v>
      </c>
      <c r="Y93" s="2"/>
      <c r="Z93" s="19">
        <f t="shared" si="3"/>
        <v>-0.58398811241247128</v>
      </c>
    </row>
    <row r="94" spans="1:26" s="24" customFormat="1" hidden="1" outlineLevel="1" x14ac:dyDescent="0.25">
      <c r="A94" s="44"/>
      <c r="B94" s="11" t="str">
        <f>CONCATENATE("          ", "4202", " - ", "SALES RETURN TAXABLE-USED TEXT")</f>
        <v xml:space="preserve">          4202 - SALES RETURN TAXABLE-USED TEXT</v>
      </c>
      <c r="C94" s="11"/>
      <c r="D94" s="2">
        <f>-4670.3</f>
        <v>-4670.3</v>
      </c>
      <c r="E94" s="2"/>
      <c r="F94" s="19"/>
      <c r="G94" s="2"/>
      <c r="H94" s="2">
        <f>-16170.8</f>
        <v>-16170.8</v>
      </c>
      <c r="I94" s="2"/>
      <c r="J94" s="19"/>
      <c r="K94" s="2"/>
      <c r="L94" s="2">
        <f t="shared" si="0"/>
        <v>11500.5</v>
      </c>
      <c r="M94" s="2"/>
      <c r="N94" s="19">
        <f t="shared" si="1"/>
        <v>-0.71118930417790094</v>
      </c>
      <c r="O94" s="11"/>
      <c r="P94" s="2">
        <f>-18536.3</f>
        <v>-18536.3</v>
      </c>
      <c r="Q94" s="2"/>
      <c r="R94" s="19"/>
      <c r="S94" s="2"/>
      <c r="T94" s="2">
        <f>-43379.15</f>
        <v>-43379.15</v>
      </c>
      <c r="U94" s="2"/>
      <c r="V94" s="19"/>
      <c r="W94" s="2"/>
      <c r="X94" s="2">
        <f t="shared" si="2"/>
        <v>24842.850000000002</v>
      </c>
      <c r="Y94" s="2"/>
      <c r="Z94" s="19">
        <f t="shared" si="3"/>
        <v>-0.57269102783249559</v>
      </c>
    </row>
    <row r="95" spans="1:26" s="24" customFormat="1" hidden="1" outlineLevel="1" x14ac:dyDescent="0.25">
      <c r="A95" s="44"/>
      <c r="B95" s="11" t="str">
        <f>CONCATENATE("          ", "4203", " - ", "SALES RETURN TAXABLE-RENTAL TE")</f>
        <v xml:space="preserve">          4203 - SALES RETURN TAXABLE-RENTAL TE</v>
      </c>
      <c r="C95" s="11"/>
      <c r="D95" s="2">
        <f t="shared" ref="D95:D102" si="18">0</f>
        <v>0</v>
      </c>
      <c r="E95" s="2"/>
      <c r="F95" s="19"/>
      <c r="G95" s="2"/>
      <c r="H95" s="2">
        <f>0</f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0</f>
        <v>0</v>
      </c>
      <c r="Q95" s="2"/>
      <c r="R95" s="19"/>
      <c r="S95" s="2"/>
      <c r="T95" s="2">
        <f>-144.99</f>
        <v>-144.99</v>
      </c>
      <c r="U95" s="2"/>
      <c r="V95" s="19"/>
      <c r="W95" s="2"/>
      <c r="X95" s="2">
        <f t="shared" si="2"/>
        <v>144.99</v>
      </c>
      <c r="Y95" s="2"/>
      <c r="Z95" s="19">
        <f t="shared" si="3"/>
        <v>-1</v>
      </c>
    </row>
    <row r="96" spans="1:26" s="24" customFormat="1" hidden="1" outlineLevel="1" x14ac:dyDescent="0.25">
      <c r="A96" s="44"/>
      <c r="B96" s="11" t="str">
        <f>CONCATENATE("          ", "4204", " - ", "SALES RETURN TAXABLE-DIGITAL T")</f>
        <v xml:space="preserve">          4204 - SALES RETURN TAXABLE-DIGITAL T</v>
      </c>
      <c r="C96" s="11"/>
      <c r="D96" s="2">
        <f t="shared" si="18"/>
        <v>0</v>
      </c>
      <c r="E96" s="2"/>
      <c r="F96" s="19"/>
      <c r="G96" s="2"/>
      <c r="H96" s="2">
        <f>-4891.98</f>
        <v>-4891.9799999999996</v>
      </c>
      <c r="I96" s="2"/>
      <c r="J96" s="19"/>
      <c r="K96" s="2"/>
      <c r="L96" s="2">
        <f t="shared" si="0"/>
        <v>4891.9799999999996</v>
      </c>
      <c r="M96" s="2"/>
      <c r="N96" s="19">
        <f t="shared" si="1"/>
        <v>-1</v>
      </c>
      <c r="O96" s="11"/>
      <c r="P96" s="2">
        <f>-1630.85</f>
        <v>-1630.85</v>
      </c>
      <c r="Q96" s="2"/>
      <c r="R96" s="19"/>
      <c r="S96" s="2"/>
      <c r="T96" s="2">
        <f>-16261.44</f>
        <v>-16261.44</v>
      </c>
      <c r="U96" s="2"/>
      <c r="V96" s="19"/>
      <c r="W96" s="2"/>
      <c r="X96" s="2">
        <f t="shared" si="2"/>
        <v>14630.59</v>
      </c>
      <c r="Y96" s="2"/>
      <c r="Z96" s="19">
        <f t="shared" si="3"/>
        <v>-0.89971060373497058</v>
      </c>
    </row>
    <row r="97" spans="1:26" s="24" customFormat="1" hidden="1" outlineLevel="1" x14ac:dyDescent="0.25">
      <c r="A97" s="44"/>
      <c r="B97" s="11" t="str">
        <f>CONCATENATE("          ", "4213", " - ", "NON-TAXABLE SALES-TRADE BOOKS")</f>
        <v xml:space="preserve">          4213 - NON-TAXABLE SALES-TRADE BOOKS</v>
      </c>
      <c r="C97" s="11"/>
      <c r="D97" s="2">
        <f t="shared" si="18"/>
        <v>0</v>
      </c>
      <c r="E97" s="2"/>
      <c r="F97" s="19"/>
      <c r="G97" s="2"/>
      <c r="H97" s="2">
        <f>-13.95</f>
        <v>-13.95</v>
      </c>
      <c r="I97" s="2"/>
      <c r="J97" s="19"/>
      <c r="K97" s="2"/>
      <c r="L97" s="2">
        <f t="shared" si="0"/>
        <v>13.95</v>
      </c>
      <c r="M97" s="2"/>
      <c r="N97" s="19">
        <f t="shared" si="1"/>
        <v>-1</v>
      </c>
      <c r="O97" s="11"/>
      <c r="P97" s="2">
        <f t="shared" ref="P97:P101" si="19">0</f>
        <v>0</v>
      </c>
      <c r="Q97" s="2"/>
      <c r="R97" s="19"/>
      <c r="S97" s="2"/>
      <c r="T97" s="2">
        <f>-116.66</f>
        <v>-116.66</v>
      </c>
      <c r="U97" s="2"/>
      <c r="V97" s="19"/>
      <c r="W97" s="2"/>
      <c r="X97" s="2">
        <f t="shared" si="2"/>
        <v>116.66</v>
      </c>
      <c r="Y97" s="2"/>
      <c r="Z97" s="19">
        <f t="shared" si="3"/>
        <v>-1</v>
      </c>
    </row>
    <row r="98" spans="1:26" s="24" customFormat="1" hidden="1" outlineLevel="1" x14ac:dyDescent="0.25">
      <c r="A98" s="44"/>
      <c r="B98" s="11" t="str">
        <f>CONCATENATE("          ", "4214", " - ", "SALES RETURN TAXABLE-REMAINDER")</f>
        <v xml:space="preserve">          4214 - SALES RETURN TAXABLE-REMAINDER</v>
      </c>
      <c r="C98" s="11"/>
      <c r="D98" s="2">
        <f t="shared" si="18"/>
        <v>0</v>
      </c>
      <c r="E98" s="2"/>
      <c r="F98" s="19"/>
      <c r="G98" s="2"/>
      <c r="H98" s="2">
        <f t="shared" ref="H98:H99" si="20"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 t="shared" si="19"/>
        <v>0</v>
      </c>
      <c r="Q98" s="2"/>
      <c r="R98" s="19"/>
      <c r="S98" s="2"/>
      <c r="T98" s="2">
        <f>-11.94</f>
        <v>-11.94</v>
      </c>
      <c r="U98" s="2"/>
      <c r="V98" s="19"/>
      <c r="W98" s="2"/>
      <c r="X98" s="2">
        <f t="shared" si="2"/>
        <v>11.94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"4217", " - ", "NON-TAXABLE SALES-DORM/HOUSEWA")</f>
        <v xml:space="preserve">          4217 - NON-TAXABLE SALES-DORM/HOUSEWA</v>
      </c>
      <c r="C99" s="11"/>
      <c r="D99" s="2">
        <f t="shared" si="18"/>
        <v>0</v>
      </c>
      <c r="E99" s="2"/>
      <c r="F99" s="19"/>
      <c r="G99" s="2"/>
      <c r="H99" s="2">
        <f t="shared" si="20"/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 t="shared" si="19"/>
        <v>0</v>
      </c>
      <c r="Q99" s="2"/>
      <c r="R99" s="19"/>
      <c r="S99" s="2"/>
      <c r="T99" s="2">
        <f>-2.98</f>
        <v>-2.98</v>
      </c>
      <c r="U99" s="2"/>
      <c r="V99" s="19"/>
      <c r="W99" s="2"/>
      <c r="X99" s="2">
        <f t="shared" si="2"/>
        <v>2.98</v>
      </c>
      <c r="Y99" s="2"/>
      <c r="Z99" s="19">
        <f t="shared" si="3"/>
        <v>-1</v>
      </c>
    </row>
    <row r="100" spans="1:26" s="24" customFormat="1" hidden="1" outlineLevel="1" x14ac:dyDescent="0.25">
      <c r="A100" s="44"/>
      <c r="B100" s="11" t="str">
        <f>CONCATENATE("          ", "4218", " - ", "SALES RETURN TAXABLE-STUDY GUI")</f>
        <v xml:space="preserve">          4218 - SALES RETURN TAXABLE-STUDY GUI</v>
      </c>
      <c r="C100" s="11"/>
      <c r="D100" s="2">
        <f t="shared" si="18"/>
        <v>0</v>
      </c>
      <c r="E100" s="2"/>
      <c r="F100" s="19"/>
      <c r="G100" s="2"/>
      <c r="H100" s="2">
        <f>-6.5</f>
        <v>-6.5</v>
      </c>
      <c r="I100" s="2"/>
      <c r="J100" s="19"/>
      <c r="K100" s="2"/>
      <c r="L100" s="2">
        <f t="shared" si="0"/>
        <v>6.5</v>
      </c>
      <c r="M100" s="2"/>
      <c r="N100" s="19">
        <f t="shared" si="1"/>
        <v>-1</v>
      </c>
      <c r="O100" s="11"/>
      <c r="P100" s="2">
        <f t="shared" si="19"/>
        <v>0</v>
      </c>
      <c r="Q100" s="2"/>
      <c r="R100" s="19"/>
      <c r="S100" s="2"/>
      <c r="T100" s="2">
        <f>-39.25</f>
        <v>-39.25</v>
      </c>
      <c r="U100" s="2"/>
      <c r="V100" s="19"/>
      <c r="W100" s="2"/>
      <c r="X100" s="2">
        <f t="shared" si="2"/>
        <v>39.25</v>
      </c>
      <c r="Y100" s="2"/>
      <c r="Z100" s="19">
        <f t="shared" si="3"/>
        <v>-1</v>
      </c>
    </row>
    <row r="101" spans="1:26" s="24" customFormat="1" hidden="1" outlineLevel="1" x14ac:dyDescent="0.25">
      <c r="A101" s="44"/>
      <c r="B101" s="11" t="str">
        <f>CONCATENATE("          ", "4225", " - ", "SALES RETURN TAXABLE-TEST FORM")</f>
        <v xml:space="preserve">          4225 - SALES RETURN TAXABLE-TEST FORM</v>
      </c>
      <c r="C101" s="11"/>
      <c r="D101" s="2">
        <f t="shared" si="18"/>
        <v>0</v>
      </c>
      <c r="E101" s="2"/>
      <c r="F101" s="19"/>
      <c r="G101" s="2"/>
      <c r="H101" s="2">
        <f>-14.74</f>
        <v>-14.74</v>
      </c>
      <c r="I101" s="2"/>
      <c r="J101" s="19"/>
      <c r="K101" s="2"/>
      <c r="L101" s="2">
        <f t="shared" si="0"/>
        <v>14.74</v>
      </c>
      <c r="M101" s="2"/>
      <c r="N101" s="19">
        <f t="shared" si="1"/>
        <v>-1</v>
      </c>
      <c r="O101" s="11"/>
      <c r="P101" s="2">
        <f t="shared" si="19"/>
        <v>0</v>
      </c>
      <c r="Q101" s="2"/>
      <c r="R101" s="19"/>
      <c r="S101" s="2"/>
      <c r="T101" s="2">
        <f>-95.71</f>
        <v>-95.71</v>
      </c>
      <c r="U101" s="2"/>
      <c r="V101" s="19"/>
      <c r="W101" s="2"/>
      <c r="X101" s="2">
        <f t="shared" si="2"/>
        <v>95.71</v>
      </c>
      <c r="Y101" s="2"/>
      <c r="Z101" s="19">
        <f t="shared" si="3"/>
        <v>-1</v>
      </c>
    </row>
    <row r="102" spans="1:26" s="24" customFormat="1" hidden="1" outlineLevel="1" x14ac:dyDescent="0.25">
      <c r="A102" s="44"/>
      <c r="B102" s="11" t="str">
        <f>CONCATENATE("          ", "4226", " - ", "SALES RETURN TAXABLE-WRITING I")</f>
        <v xml:space="preserve">          4226 - SALES RETURN TAXABLE-WRITING I</v>
      </c>
      <c r="C102" s="11"/>
      <c r="D102" s="2">
        <f t="shared" si="18"/>
        <v>0</v>
      </c>
      <c r="E102" s="2"/>
      <c r="F102" s="19"/>
      <c r="G102" s="2"/>
      <c r="H102" s="2">
        <f>-149.55</f>
        <v>-149.55000000000001</v>
      </c>
      <c r="I102" s="2"/>
      <c r="J102" s="19"/>
      <c r="K102" s="2"/>
      <c r="L102" s="2">
        <f t="shared" si="0"/>
        <v>149.55000000000001</v>
      </c>
      <c r="M102" s="2"/>
      <c r="N102" s="19">
        <f t="shared" si="1"/>
        <v>-1</v>
      </c>
      <c r="O102" s="11"/>
      <c r="P102" s="2">
        <f>-34.23</f>
        <v>-34.229999999999997</v>
      </c>
      <c r="Q102" s="2"/>
      <c r="R102" s="19"/>
      <c r="S102" s="2"/>
      <c r="T102" s="2">
        <f>-680.91</f>
        <v>-680.91</v>
      </c>
      <c r="U102" s="2"/>
      <c r="V102" s="19"/>
      <c r="W102" s="2"/>
      <c r="X102" s="2">
        <f t="shared" si="2"/>
        <v>646.67999999999995</v>
      </c>
      <c r="Y102" s="2"/>
      <c r="Z102" s="19">
        <f t="shared" si="3"/>
        <v>-0.94972903908005457</v>
      </c>
    </row>
    <row r="103" spans="1:26" s="24" customFormat="1" hidden="1" outlineLevel="1" x14ac:dyDescent="0.25">
      <c r="A103" s="44"/>
      <c r="B103" s="11" t="str">
        <f>CONCATENATE("          ", "4227", " - ", "SALES RETURN TAXABLE-SCHOOL SU")</f>
        <v xml:space="preserve">          4227 - SALES RETURN TAXABLE-SCHOOL SU</v>
      </c>
      <c r="C103" s="11"/>
      <c r="D103" s="2">
        <f>-126.22</f>
        <v>-126.22</v>
      </c>
      <c r="E103" s="2"/>
      <c r="F103" s="19"/>
      <c r="G103" s="2"/>
      <c r="H103" s="2">
        <f>-962.28</f>
        <v>-962.28</v>
      </c>
      <c r="I103" s="2"/>
      <c r="J103" s="19"/>
      <c r="K103" s="2"/>
      <c r="L103" s="2">
        <f t="shared" si="0"/>
        <v>836.06</v>
      </c>
      <c r="M103" s="2"/>
      <c r="N103" s="19">
        <f t="shared" si="1"/>
        <v>-0.86883235648667745</v>
      </c>
      <c r="O103" s="11"/>
      <c r="P103" s="2">
        <f>-762.68</f>
        <v>-762.68</v>
      </c>
      <c r="Q103" s="2"/>
      <c r="R103" s="19"/>
      <c r="S103" s="2"/>
      <c r="T103" s="2">
        <f>-6910.86</f>
        <v>-6910.86</v>
      </c>
      <c r="U103" s="2"/>
      <c r="V103" s="19"/>
      <c r="W103" s="2"/>
      <c r="X103" s="2">
        <f t="shared" si="2"/>
        <v>6148.1799999999994</v>
      </c>
      <c r="Y103" s="2"/>
      <c r="Z103" s="19">
        <f t="shared" si="3"/>
        <v>-0.88964036313859629</v>
      </c>
    </row>
    <row r="104" spans="1:26" s="24" customFormat="1" hidden="1" outlineLevel="1" x14ac:dyDescent="0.25">
      <c r="A104" s="44"/>
      <c r="B104" s="11" t="str">
        <f>CONCATENATE("          ", "4228", " - ", "SALES RETURN TAXABLE-ART/TECH")</f>
        <v xml:space="preserve">          4228 - SALES RETURN TAXABLE-ART/TECH</v>
      </c>
      <c r="C104" s="11"/>
      <c r="D104" s="2">
        <f>-12473.84</f>
        <v>-12473.84</v>
      </c>
      <c r="E104" s="2"/>
      <c r="F104" s="19"/>
      <c r="G104" s="2"/>
      <c r="H104" s="2">
        <f>-766.07</f>
        <v>-766.07</v>
      </c>
      <c r="I104" s="2"/>
      <c r="J104" s="19"/>
      <c r="K104" s="2"/>
      <c r="L104" s="2">
        <f t="shared" si="0"/>
        <v>-11707.77</v>
      </c>
      <c r="M104" s="2"/>
      <c r="N104" s="19">
        <f t="shared" si="1"/>
        <v>15.282898429647421</v>
      </c>
      <c r="O104" s="11"/>
      <c r="P104" s="2">
        <f>-12728.53</f>
        <v>-12728.53</v>
      </c>
      <c r="Q104" s="2"/>
      <c r="R104" s="19"/>
      <c r="S104" s="2"/>
      <c r="T104" s="2">
        <f>-3914.69</f>
        <v>-3914.69</v>
      </c>
      <c r="U104" s="2"/>
      <c r="V104" s="19"/>
      <c r="W104" s="2"/>
      <c r="X104" s="2">
        <f t="shared" si="2"/>
        <v>-8813.84</v>
      </c>
      <c r="Y104" s="2"/>
      <c r="Z104" s="19">
        <f t="shared" si="3"/>
        <v>2.2514784056975139</v>
      </c>
    </row>
    <row r="105" spans="1:26" s="24" customFormat="1" hidden="1" outlineLevel="1" x14ac:dyDescent="0.25">
      <c r="A105" s="44"/>
      <c r="B105" s="11" t="str">
        <f>CONCATENATE("          ", "4233", " - ", "SALES RETURN TAXABLE-CANDY")</f>
        <v xml:space="preserve">          4233 - SALES RETURN TAXABLE-CANDY</v>
      </c>
      <c r="C105" s="11"/>
      <c r="D105" s="2">
        <f>0</f>
        <v>0</v>
      </c>
      <c r="E105" s="2"/>
      <c r="F105" s="19"/>
      <c r="G105" s="2"/>
      <c r="H105" s="2">
        <f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0</f>
        <v>0</v>
      </c>
      <c r="Q105" s="2"/>
      <c r="R105" s="19"/>
      <c r="S105" s="2"/>
      <c r="T105" s="2">
        <f>-1.29</f>
        <v>-1.29</v>
      </c>
      <c r="U105" s="2"/>
      <c r="V105" s="19"/>
      <c r="W105" s="2"/>
      <c r="X105" s="2">
        <f t="shared" si="2"/>
        <v>1.29</v>
      </c>
      <c r="Y105" s="2"/>
      <c r="Z105" s="19">
        <f t="shared" si="3"/>
        <v>-1</v>
      </c>
    </row>
    <row r="106" spans="1:26" s="24" customFormat="1" hidden="1" outlineLevel="1" x14ac:dyDescent="0.25">
      <c r="A106" s="44"/>
      <c r="B106" s="11" t="str">
        <f>CONCATENATE("          ", "4240", " - ", "SALES RETURN TAXABLE-LOGO CLOT")</f>
        <v xml:space="preserve">          4240 - SALES RETURN TAXABLE-LOGO CLOT</v>
      </c>
      <c r="C106" s="11"/>
      <c r="D106" s="2">
        <f>-7168.03</f>
        <v>-7168.03</v>
      </c>
      <c r="E106" s="2"/>
      <c r="F106" s="19"/>
      <c r="G106" s="2"/>
      <c r="H106" s="2">
        <f>-12286.81</f>
        <v>-12286.81</v>
      </c>
      <c r="I106" s="2"/>
      <c r="J106" s="19"/>
      <c r="K106" s="2"/>
      <c r="L106" s="2">
        <f t="shared" si="0"/>
        <v>5118.78</v>
      </c>
      <c r="M106" s="2"/>
      <c r="N106" s="19">
        <f t="shared" si="1"/>
        <v>-0.41660772812471258</v>
      </c>
      <c r="O106" s="11"/>
      <c r="P106" s="2">
        <f>-27586.87</f>
        <v>-27586.87</v>
      </c>
      <c r="Q106" s="2"/>
      <c r="R106" s="19"/>
      <c r="S106" s="2"/>
      <c r="T106" s="2">
        <f>-61608.75</f>
        <v>-61608.75</v>
      </c>
      <c r="U106" s="2"/>
      <c r="V106" s="19"/>
      <c r="W106" s="2"/>
      <c r="X106" s="2">
        <f t="shared" si="2"/>
        <v>34021.880000000005</v>
      </c>
      <c r="Y106" s="2"/>
      <c r="Z106" s="19">
        <f t="shared" si="3"/>
        <v>-0.55222480572970567</v>
      </c>
    </row>
    <row r="107" spans="1:26" s="24" customFormat="1" hidden="1" outlineLevel="1" x14ac:dyDescent="0.25">
      <c r="A107" s="44"/>
      <c r="B107" s="11" t="str">
        <f>CONCATENATE("          ", "4241", " - ", "SALES RETURN TAXABLE-LOGO GIFT")</f>
        <v xml:space="preserve">          4241 - SALES RETURN TAXABLE-LOGO GIFT</v>
      </c>
      <c r="C107" s="11"/>
      <c r="D107" s="2">
        <f>-1397.46</f>
        <v>-1397.46</v>
      </c>
      <c r="E107" s="2"/>
      <c r="F107" s="19"/>
      <c r="G107" s="2"/>
      <c r="H107" s="2">
        <f>-805.34</f>
        <v>-805.34</v>
      </c>
      <c r="I107" s="2"/>
      <c r="J107" s="19"/>
      <c r="K107" s="2"/>
      <c r="L107" s="2">
        <f t="shared" si="0"/>
        <v>-592.12</v>
      </c>
      <c r="M107" s="2"/>
      <c r="N107" s="19">
        <f t="shared" si="1"/>
        <v>0.73524225792832842</v>
      </c>
      <c r="O107" s="11"/>
      <c r="P107" s="2">
        <f>-4957.47</f>
        <v>-4957.47</v>
      </c>
      <c r="Q107" s="2"/>
      <c r="R107" s="19"/>
      <c r="S107" s="2"/>
      <c r="T107" s="2">
        <f>-4954.21</f>
        <v>-4954.21</v>
      </c>
      <c r="U107" s="2"/>
      <c r="V107" s="19"/>
      <c r="W107" s="2"/>
      <c r="X107" s="2">
        <f t="shared" si="2"/>
        <v>-3.2600000000002183</v>
      </c>
      <c r="Y107" s="2"/>
      <c r="Z107" s="19">
        <f t="shared" si="3"/>
        <v>6.5802620397605635E-4</v>
      </c>
    </row>
    <row r="108" spans="1:26" s="24" customFormat="1" hidden="1" outlineLevel="1" x14ac:dyDescent="0.25">
      <c r="A108" s="44"/>
      <c r="B108" s="11" t="str">
        <f>CONCATENATE("          ", "4242", " - ", "SALES RETURN TAXABLE-EVERYDAY")</f>
        <v xml:space="preserve">          4242 - SALES RETURN TAXABLE-EVERYDAY</v>
      </c>
      <c r="C108" s="11"/>
      <c r="D108" s="2">
        <f>-76.86</f>
        <v>-76.86</v>
      </c>
      <c r="E108" s="2"/>
      <c r="F108" s="19"/>
      <c r="G108" s="2"/>
      <c r="H108" s="2">
        <f>-754.91</f>
        <v>-754.91</v>
      </c>
      <c r="I108" s="2"/>
      <c r="J108" s="19"/>
      <c r="K108" s="2"/>
      <c r="L108" s="2">
        <f t="shared" si="0"/>
        <v>678.05</v>
      </c>
      <c r="M108" s="2"/>
      <c r="N108" s="19">
        <f t="shared" si="1"/>
        <v>-0.89818653879270371</v>
      </c>
      <c r="O108" s="11"/>
      <c r="P108" s="2">
        <f>-1693.78</f>
        <v>-1693.78</v>
      </c>
      <c r="Q108" s="2"/>
      <c r="R108" s="19"/>
      <c r="S108" s="2"/>
      <c r="T108" s="2">
        <f>-3544.33</f>
        <v>-3544.33</v>
      </c>
      <c r="U108" s="2"/>
      <c r="V108" s="19"/>
      <c r="W108" s="2"/>
      <c r="X108" s="2">
        <f t="shared" si="2"/>
        <v>1850.55</v>
      </c>
      <c r="Y108" s="2"/>
      <c r="Z108" s="19">
        <f t="shared" si="3"/>
        <v>-0.52211560435963922</v>
      </c>
    </row>
    <row r="109" spans="1:26" s="24" customFormat="1" hidden="1" outlineLevel="1" x14ac:dyDescent="0.25">
      <c r="A109" s="44"/>
      <c r="B109" s="11" t="str">
        <f>CONCATENATE("          ", "4243", " - ", "SALES RETURN TAXABLE-CARDS")</f>
        <v xml:space="preserve">          4243 - SALES RETURN TAXABLE-CARDS</v>
      </c>
      <c r="C109" s="11"/>
      <c r="D109" s="2">
        <f>-1422.25</f>
        <v>-1422.25</v>
      </c>
      <c r="E109" s="2"/>
      <c r="F109" s="19"/>
      <c r="G109" s="2"/>
      <c r="H109" s="2">
        <f>-344.74</f>
        <v>-344.74</v>
      </c>
      <c r="I109" s="2"/>
      <c r="J109" s="19"/>
      <c r="K109" s="2"/>
      <c r="L109" s="2">
        <f t="shared" si="0"/>
        <v>-1077.51</v>
      </c>
      <c r="M109" s="2"/>
      <c r="N109" s="19">
        <f t="shared" si="1"/>
        <v>3.1255728955154609</v>
      </c>
      <c r="O109" s="11"/>
      <c r="P109" s="2">
        <f>-4999.79</f>
        <v>-4999.79</v>
      </c>
      <c r="Q109" s="2"/>
      <c r="R109" s="19"/>
      <c r="S109" s="2"/>
      <c r="T109" s="2">
        <f>-1224.21</f>
        <v>-1224.21</v>
      </c>
      <c r="U109" s="2"/>
      <c r="V109" s="19"/>
      <c r="W109" s="2"/>
      <c r="X109" s="2">
        <f t="shared" si="2"/>
        <v>-3775.58</v>
      </c>
      <c r="Y109" s="2"/>
      <c r="Z109" s="19">
        <f t="shared" si="3"/>
        <v>3.0840950490520416</v>
      </c>
    </row>
    <row r="110" spans="1:26" s="24" customFormat="1" hidden="1" outlineLevel="1" x14ac:dyDescent="0.25">
      <c r="A110" s="44"/>
      <c r="B110" s="11" t="str">
        <f>CONCATENATE("          ", "4244", " - ", "SALES RETURN TAXABLE-ACCESSORI")</f>
        <v xml:space="preserve">          4244 - SALES RETURN TAXABLE-ACCESSORI</v>
      </c>
      <c r="C110" s="11"/>
      <c r="D110" s="2">
        <f>-93.98</f>
        <v>-93.98</v>
      </c>
      <c r="E110" s="2"/>
      <c r="F110" s="19"/>
      <c r="G110" s="2"/>
      <c r="H110" s="2">
        <f>-370.28</f>
        <v>-370.28</v>
      </c>
      <c r="I110" s="2"/>
      <c r="J110" s="19"/>
      <c r="K110" s="2"/>
      <c r="L110" s="2">
        <f t="shared" si="0"/>
        <v>276.29999999999995</v>
      </c>
      <c r="M110" s="2"/>
      <c r="N110" s="19">
        <f t="shared" si="1"/>
        <v>-0.74619207086529105</v>
      </c>
      <c r="O110" s="11"/>
      <c r="P110" s="2">
        <f>-984.85</f>
        <v>-984.85</v>
      </c>
      <c r="Q110" s="2"/>
      <c r="R110" s="19"/>
      <c r="S110" s="2"/>
      <c r="T110" s="2">
        <f>-2102.05</f>
        <v>-2102.0500000000002</v>
      </c>
      <c r="U110" s="2"/>
      <c r="V110" s="19"/>
      <c r="W110" s="2"/>
      <c r="X110" s="2">
        <f t="shared" si="2"/>
        <v>1117.2000000000003</v>
      </c>
      <c r="Y110" s="2"/>
      <c r="Z110" s="19">
        <f t="shared" si="3"/>
        <v>-0.5314811731405058</v>
      </c>
    </row>
    <row r="111" spans="1:26" s="24" customFormat="1" hidden="1" outlineLevel="1" x14ac:dyDescent="0.25">
      <c r="A111" s="44"/>
      <c r="B111" s="11" t="str">
        <f>CONCATENATE("          ", "4245", " - ", "SALES RETURN TAXABLE-SPECIAL O")</f>
        <v xml:space="preserve">          4245 - SALES RETURN TAXABLE-SPECIAL O</v>
      </c>
      <c r="C111" s="11"/>
      <c r="D111" s="2">
        <f>0</f>
        <v>0</v>
      </c>
      <c r="E111" s="2"/>
      <c r="F111" s="19"/>
      <c r="G111" s="2"/>
      <c r="H111" s="2">
        <f>-1623.09</f>
        <v>-1623.09</v>
      </c>
      <c r="I111" s="2"/>
      <c r="J111" s="19"/>
      <c r="K111" s="2"/>
      <c r="L111" s="2">
        <f t="shared" si="0"/>
        <v>1623.09</v>
      </c>
      <c r="M111" s="2"/>
      <c r="N111" s="19">
        <f t="shared" si="1"/>
        <v>-1</v>
      </c>
      <c r="O111" s="11"/>
      <c r="P111" s="2">
        <f>-11345.61</f>
        <v>-11345.61</v>
      </c>
      <c r="Q111" s="2"/>
      <c r="R111" s="19"/>
      <c r="S111" s="2"/>
      <c r="T111" s="2">
        <f>-1715.05</f>
        <v>-1715.05</v>
      </c>
      <c r="U111" s="2"/>
      <c r="V111" s="19"/>
      <c r="W111" s="2"/>
      <c r="X111" s="2">
        <f t="shared" si="2"/>
        <v>-9630.5600000000013</v>
      </c>
      <c r="Y111" s="2"/>
      <c r="Z111" s="19">
        <f t="shared" si="3"/>
        <v>5.6153231684207467</v>
      </c>
    </row>
    <row r="112" spans="1:26" s="24" customFormat="1" hidden="1" outlineLevel="1" x14ac:dyDescent="0.25">
      <c r="A112" s="44"/>
      <c r="B112" s="11" t="str">
        <f>CONCATENATE("          ", "4281", " - ", "SALES RETURN TAXABLE-ELECTRONI")</f>
        <v xml:space="preserve">          4281 - SALES RETURN TAXABLE-ELECTRONI</v>
      </c>
      <c r="C112" s="11"/>
      <c r="D112" s="2">
        <f>-129.99</f>
        <v>-129.99</v>
      </c>
      <c r="E112" s="2"/>
      <c r="F112" s="19"/>
      <c r="G112" s="2"/>
      <c r="H112" s="2">
        <f>-642.85</f>
        <v>-642.85</v>
      </c>
      <c r="I112" s="2"/>
      <c r="J112" s="19"/>
      <c r="K112" s="2"/>
      <c r="L112" s="2">
        <f t="shared" si="0"/>
        <v>512.86</v>
      </c>
      <c r="M112" s="2"/>
      <c r="N112" s="19">
        <f t="shared" si="1"/>
        <v>-0.79779108656762854</v>
      </c>
      <c r="O112" s="11"/>
      <c r="P112" s="2">
        <f>-14762.14</f>
        <v>-14762.14</v>
      </c>
      <c r="Q112" s="2"/>
      <c r="R112" s="19"/>
      <c r="S112" s="2"/>
      <c r="T112" s="2">
        <f>-6504.81</f>
        <v>-6504.81</v>
      </c>
      <c r="U112" s="2"/>
      <c r="V112" s="19"/>
      <c r="W112" s="2"/>
      <c r="X112" s="2">
        <f t="shared" si="2"/>
        <v>-8257.3299999999981</v>
      </c>
      <c r="Y112" s="2"/>
      <c r="Z112" s="19">
        <f t="shared" si="3"/>
        <v>1.2694190914108172</v>
      </c>
    </row>
    <row r="113" spans="1:26" s="24" customFormat="1" hidden="1" outlineLevel="1" x14ac:dyDescent="0.25">
      <c r="A113" s="44"/>
      <c r="B113" s="11" t="str">
        <f>CONCATENATE("          ", "4282", " - ", "SALES RETURN TAXABLE-COMPUTER")</f>
        <v xml:space="preserve">          4282 - SALES RETURN TAXABLE-COMPUTER</v>
      </c>
      <c r="C113" s="11"/>
      <c r="D113" s="2">
        <f>-4897</f>
        <v>-4897</v>
      </c>
      <c r="E113" s="2"/>
      <c r="F113" s="19"/>
      <c r="G113" s="2"/>
      <c r="H113" s="2">
        <f>-15229.61</f>
        <v>-15229.61</v>
      </c>
      <c r="I113" s="2"/>
      <c r="J113" s="19"/>
      <c r="K113" s="2"/>
      <c r="L113" s="2">
        <f t="shared" si="0"/>
        <v>10332.61</v>
      </c>
      <c r="M113" s="2"/>
      <c r="N113" s="19">
        <f t="shared" si="1"/>
        <v>-0.67845532485730098</v>
      </c>
      <c r="O113" s="11"/>
      <c r="P113" s="2">
        <f>-96917.01</f>
        <v>-96917.01</v>
      </c>
      <c r="Q113" s="2"/>
      <c r="R113" s="19"/>
      <c r="S113" s="2"/>
      <c r="T113" s="2">
        <f>-202883.19</f>
        <v>-202883.19</v>
      </c>
      <c r="U113" s="2"/>
      <c r="V113" s="19"/>
      <c r="W113" s="2"/>
      <c r="X113" s="2">
        <f t="shared" si="2"/>
        <v>105966.18000000001</v>
      </c>
      <c r="Y113" s="2"/>
      <c r="Z113" s="19">
        <f t="shared" si="3"/>
        <v>-0.52230142871866325</v>
      </c>
    </row>
    <row r="114" spans="1:26" s="24" customFormat="1" hidden="1" outlineLevel="1" x14ac:dyDescent="0.25">
      <c r="A114" s="44"/>
      <c r="B114" s="11" t="str">
        <f>CONCATENATE("          ", "4283", " - ", "SALES RETURN TAXABLE-COMPUTER")</f>
        <v xml:space="preserve">          4283 - SALES RETURN TAXABLE-COMPUTER</v>
      </c>
      <c r="C114" s="11"/>
      <c r="D114" s="2">
        <f>--264.97</f>
        <v>264.97000000000003</v>
      </c>
      <c r="E114" s="2"/>
      <c r="F114" s="19"/>
      <c r="G114" s="2"/>
      <c r="H114" s="2">
        <f>-1632.57</f>
        <v>-1632.57</v>
      </c>
      <c r="I114" s="2"/>
      <c r="J114" s="19"/>
      <c r="K114" s="2"/>
      <c r="L114" s="2">
        <f t="shared" si="0"/>
        <v>1897.54</v>
      </c>
      <c r="M114" s="2"/>
      <c r="N114" s="19">
        <f t="shared" si="1"/>
        <v>-1.1623023821336911</v>
      </c>
      <c r="O114" s="11"/>
      <c r="P114" s="2">
        <f>-3146.29</f>
        <v>-3146.29</v>
      </c>
      <c r="Q114" s="2"/>
      <c r="R114" s="19"/>
      <c r="S114" s="2"/>
      <c r="T114" s="2">
        <f>-4914.72</f>
        <v>-4914.72</v>
      </c>
      <c r="U114" s="2"/>
      <c r="V114" s="19"/>
      <c r="W114" s="2"/>
      <c r="X114" s="2">
        <f t="shared" si="2"/>
        <v>1768.4300000000003</v>
      </c>
      <c r="Y114" s="2"/>
      <c r="Z114" s="19">
        <f t="shared" si="3"/>
        <v>-0.35982314353615263</v>
      </c>
    </row>
    <row r="115" spans="1:26" s="24" customFormat="1" hidden="1" outlineLevel="1" x14ac:dyDescent="0.25">
      <c r="A115" s="44"/>
      <c r="B115" s="11" t="str">
        <f>CONCATENATE("          ", "4284", " - ", "SALES RETURN TAXABLE-SOFTWARE")</f>
        <v xml:space="preserve">          4284 - SALES RETURN TAXABLE-SOFTWARE</v>
      </c>
      <c r="C115" s="11"/>
      <c r="D115" s="2">
        <f t="shared" ref="D115:D116" si="21">0</f>
        <v>0</v>
      </c>
      <c r="E115" s="2"/>
      <c r="F115" s="19"/>
      <c r="G115" s="2"/>
      <c r="H115" s="2">
        <f t="shared" ref="H115:H116" si="22">0</f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0</f>
        <v>0</v>
      </c>
      <c r="Q115" s="2"/>
      <c r="R115" s="19"/>
      <c r="S115" s="2"/>
      <c r="T115" s="2">
        <f>-129</f>
        <v>-129</v>
      </c>
      <c r="U115" s="2"/>
      <c r="V115" s="19"/>
      <c r="W115" s="2"/>
      <c r="X115" s="2">
        <f t="shared" si="2"/>
        <v>129</v>
      </c>
      <c r="Y115" s="2"/>
      <c r="Z115" s="19">
        <f t="shared" si="3"/>
        <v>-1</v>
      </c>
    </row>
    <row r="116" spans="1:26" s="24" customFormat="1" hidden="1" outlineLevel="1" x14ac:dyDescent="0.25">
      <c r="A116" s="44"/>
      <c r="B116" s="11" t="str">
        <f>CONCATENATE("          ", "4285", " - ", "SALES RETURN TAXABLE-SOFTWARE")</f>
        <v xml:space="preserve">          4285 - SALES RETURN TAXABLE-SOFTWARE</v>
      </c>
      <c r="C116" s="11"/>
      <c r="D116" s="2">
        <f t="shared" si="21"/>
        <v>0</v>
      </c>
      <c r="E116" s="2"/>
      <c r="F116" s="19"/>
      <c r="G116" s="2"/>
      <c r="H116" s="2">
        <f t="shared" si="22"/>
        <v>0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-691.98</f>
        <v>-691.98</v>
      </c>
      <c r="Q116" s="2"/>
      <c r="R116" s="19"/>
      <c r="S116" s="2"/>
      <c r="T116" s="2">
        <f>-655.98</f>
        <v>-655.98</v>
      </c>
      <c r="U116" s="2"/>
      <c r="V116" s="19"/>
      <c r="W116" s="2"/>
      <c r="X116" s="2">
        <f t="shared" si="2"/>
        <v>-36</v>
      </c>
      <c r="Y116" s="2"/>
      <c r="Z116" s="19">
        <f t="shared" si="3"/>
        <v>5.4879721942742155E-2</v>
      </c>
    </row>
    <row r="117" spans="1:26" s="24" customFormat="1" hidden="1" outlineLevel="1" x14ac:dyDescent="0.25">
      <c r="A117" s="44"/>
      <c r="B117" s="11" t="str">
        <f>CONCATENATE("          ", "4286", " - ", "SALES RETURN TAXABLE-COMPUTER")</f>
        <v xml:space="preserve">          4286 - SALES RETURN TAXABLE-COMPUTER</v>
      </c>
      <c r="C117" s="11"/>
      <c r="D117" s="2">
        <f>-18.99</f>
        <v>-18.989999999999998</v>
      </c>
      <c r="E117" s="2"/>
      <c r="F117" s="19"/>
      <c r="G117" s="2"/>
      <c r="H117" s="2">
        <f>-304.12</f>
        <v>-304.12</v>
      </c>
      <c r="I117" s="2"/>
      <c r="J117" s="19"/>
      <c r="K117" s="2"/>
      <c r="L117" s="2">
        <f t="shared" si="0"/>
        <v>285.13</v>
      </c>
      <c r="M117" s="2"/>
      <c r="N117" s="19">
        <f t="shared" si="1"/>
        <v>-0.93755754307510186</v>
      </c>
      <c r="O117" s="11"/>
      <c r="P117" s="2">
        <f>-4727.34</f>
        <v>-4727.34</v>
      </c>
      <c r="Q117" s="2"/>
      <c r="R117" s="19"/>
      <c r="S117" s="2"/>
      <c r="T117" s="2">
        <f>-3292.01</f>
        <v>-3292.01</v>
      </c>
      <c r="U117" s="2"/>
      <c r="V117" s="19"/>
      <c r="W117" s="2"/>
      <c r="X117" s="2">
        <f t="shared" si="2"/>
        <v>-1435.33</v>
      </c>
      <c r="Y117" s="2"/>
      <c r="Z117" s="19">
        <f t="shared" si="3"/>
        <v>0.43600414336529958</v>
      </c>
    </row>
    <row r="118" spans="1:26" s="24" customFormat="1" hidden="1" outlineLevel="1" x14ac:dyDescent="0.25">
      <c r="A118" s="44"/>
      <c r="B118" s="11" t="str">
        <f>CONCATENATE("          ", "4288", " - ", "TAXABLE SALES RETURN-MUSIC")</f>
        <v xml:space="preserve">          4288 - TAXABLE SALES RETURN-MUSIC</v>
      </c>
      <c r="C118" s="11"/>
      <c r="D118" s="2">
        <f t="shared" ref="D118:D120" si="23">0</f>
        <v>0</v>
      </c>
      <c r="E118" s="2"/>
      <c r="F118" s="19"/>
      <c r="G118" s="2"/>
      <c r="H118" s="2">
        <f t="shared" ref="H118:H120" si="24">0</f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 t="shared" ref="P118:P120" si="25">0</f>
        <v>0</v>
      </c>
      <c r="Q118" s="2"/>
      <c r="R118" s="19"/>
      <c r="S118" s="2"/>
      <c r="T118" s="2">
        <f>-3.99</f>
        <v>-3.99</v>
      </c>
      <c r="U118" s="2"/>
      <c r="V118" s="19"/>
      <c r="W118" s="2"/>
      <c r="X118" s="2">
        <f t="shared" si="2"/>
        <v>3.99</v>
      </c>
      <c r="Y118" s="2"/>
      <c r="Z118" s="19">
        <f t="shared" si="3"/>
        <v>-1</v>
      </c>
    </row>
    <row r="119" spans="1:26" s="24" customFormat="1" hidden="1" outlineLevel="1" x14ac:dyDescent="0.25">
      <c r="A119" s="44"/>
      <c r="B119" s="11" t="str">
        <f>CONCATENATE("          ", "4292", " - ", "SALES RETURN TAXABLE-GRAD MERC")</f>
        <v xml:space="preserve">          4292 - SALES RETURN TAXABLE-GRAD MERC</v>
      </c>
      <c r="C119" s="11"/>
      <c r="D119" s="2">
        <f t="shared" si="23"/>
        <v>0</v>
      </c>
      <c r="E119" s="2"/>
      <c r="F119" s="19"/>
      <c r="G119" s="2"/>
      <c r="H119" s="2">
        <f t="shared" si="24"/>
        <v>0</v>
      </c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 t="shared" si="25"/>
        <v>0</v>
      </c>
      <c r="Q119" s="2"/>
      <c r="R119" s="19"/>
      <c r="S119" s="2"/>
      <c r="T119" s="2">
        <f>-419.05</f>
        <v>-419.05</v>
      </c>
      <c r="U119" s="2"/>
      <c r="V119" s="19"/>
      <c r="W119" s="2"/>
      <c r="X119" s="2">
        <f t="shared" si="2"/>
        <v>419.05</v>
      </c>
      <c r="Y119" s="2"/>
      <c r="Z119" s="19">
        <f t="shared" si="3"/>
        <v>-1</v>
      </c>
    </row>
    <row r="120" spans="1:26" s="24" customFormat="1" hidden="1" outlineLevel="1" x14ac:dyDescent="0.25">
      <c r="A120" s="44"/>
      <c r="B120" s="11" t="str">
        <f>CONCATENATE("          ", "4295", " - ", "SALES RETURN TAXABLE-CUSTOMER")</f>
        <v xml:space="preserve">          4295 - SALES RETURN TAXABLE-CUSTOMER</v>
      </c>
      <c r="C120" s="11"/>
      <c r="D120" s="2">
        <f t="shared" si="23"/>
        <v>0</v>
      </c>
      <c r="E120" s="2"/>
      <c r="F120" s="19"/>
      <c r="G120" s="2"/>
      <c r="H120" s="2">
        <f t="shared" si="24"/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 t="shared" si="25"/>
        <v>0</v>
      </c>
      <c r="Q120" s="2"/>
      <c r="R120" s="19"/>
      <c r="S120" s="2"/>
      <c r="T120" s="2">
        <f>--0.99</f>
        <v>0.99</v>
      </c>
      <c r="U120" s="2"/>
      <c r="V120" s="19"/>
      <c r="W120" s="2"/>
      <c r="X120" s="2">
        <f t="shared" si="2"/>
        <v>-0.99</v>
      </c>
      <c r="Y120" s="2"/>
      <c r="Z120" s="19">
        <f t="shared" si="3"/>
        <v>-1</v>
      </c>
    </row>
    <row r="121" spans="1:26" s="24" customFormat="1" hidden="1" outlineLevel="1" x14ac:dyDescent="0.25">
      <c r="A121" s="44"/>
      <c r="B121" s="11" t="str">
        <f>CONCATENATE("          ", "4301", " - ", "SALES RETURN NON TAXABLE-NEW T")</f>
        <v xml:space="preserve">          4301 - SALES RETURN NON TAXABLE-NEW T</v>
      </c>
      <c r="C121" s="11"/>
      <c r="D121" s="2">
        <f>-256.69</f>
        <v>-256.69</v>
      </c>
      <c r="E121" s="2"/>
      <c r="F121" s="19"/>
      <c r="G121" s="2"/>
      <c r="H121" s="2">
        <f>-2910.64</f>
        <v>-2910.64</v>
      </c>
      <c r="I121" s="2"/>
      <c r="J121" s="19"/>
      <c r="K121" s="2"/>
      <c r="L121" s="2">
        <f t="shared" si="0"/>
        <v>2653.95</v>
      </c>
      <c r="M121" s="2"/>
      <c r="N121" s="19">
        <f t="shared" si="1"/>
        <v>-0.91180977379545392</v>
      </c>
      <c r="O121" s="11"/>
      <c r="P121" s="2">
        <f>-3005.79</f>
        <v>-3005.79</v>
      </c>
      <c r="Q121" s="2"/>
      <c r="R121" s="19"/>
      <c r="S121" s="2"/>
      <c r="T121" s="2">
        <f>-15221.62</f>
        <v>-15221.62</v>
      </c>
      <c r="U121" s="2"/>
      <c r="V121" s="19"/>
      <c r="W121" s="2"/>
      <c r="X121" s="2">
        <f t="shared" si="2"/>
        <v>12215.830000000002</v>
      </c>
      <c r="Y121" s="2"/>
      <c r="Z121" s="19">
        <f t="shared" si="3"/>
        <v>-0.80253153080946715</v>
      </c>
    </row>
    <row r="122" spans="1:26" s="24" customFormat="1" hidden="1" outlineLevel="1" x14ac:dyDescent="0.25">
      <c r="A122" s="44"/>
      <c r="B122" s="11" t="str">
        <f>CONCATENATE("          ", "4302", " - ", "SALES RETURN NON TAXABLE-TEXT")</f>
        <v xml:space="preserve">          4302 - SALES RETURN NON TAXABLE-TEXT</v>
      </c>
      <c r="C122" s="11"/>
      <c r="D122" s="2">
        <f>-532.96</f>
        <v>-532.96</v>
      </c>
      <c r="E122" s="2"/>
      <c r="F122" s="19"/>
      <c r="G122" s="2"/>
      <c r="H122" s="2">
        <f>-614.47</f>
        <v>-614.47</v>
      </c>
      <c r="I122" s="2"/>
      <c r="J122" s="19"/>
      <c r="K122" s="2"/>
      <c r="L122" s="2">
        <f t="shared" si="0"/>
        <v>81.509999999999991</v>
      </c>
      <c r="M122" s="2"/>
      <c r="N122" s="19">
        <f t="shared" si="1"/>
        <v>-0.13265090240369748</v>
      </c>
      <c r="O122" s="11"/>
      <c r="P122" s="2">
        <f>-2003.16</f>
        <v>-2003.16</v>
      </c>
      <c r="Q122" s="2"/>
      <c r="R122" s="19"/>
      <c r="S122" s="2"/>
      <c r="T122" s="2">
        <f>-1312.37</f>
        <v>-1312.37</v>
      </c>
      <c r="U122" s="2"/>
      <c r="V122" s="19"/>
      <c r="W122" s="2"/>
      <c r="X122" s="2">
        <f t="shared" si="2"/>
        <v>-690.79000000000019</v>
      </c>
      <c r="Y122" s="2"/>
      <c r="Z122" s="19">
        <f t="shared" si="3"/>
        <v>0.52636832600562355</v>
      </c>
    </row>
    <row r="123" spans="1:26" s="24" customFormat="1" hidden="1" outlineLevel="1" x14ac:dyDescent="0.25">
      <c r="A123" s="44"/>
      <c r="B123" s="11" t="str">
        <f>CONCATENATE("          ", "4303", " - ", "SALES RETURN NON-TAXABLE-RENTA")</f>
        <v xml:space="preserve">          4303 - SALES RETURN NON-TAXABLE-RENTA</v>
      </c>
      <c r="C123" s="11"/>
      <c r="D123" s="2">
        <f>0</f>
        <v>0</v>
      </c>
      <c r="E123" s="2"/>
      <c r="F123" s="19"/>
      <c r="G123" s="2"/>
      <c r="H123" s="2">
        <f>0</f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0</f>
        <v>0</v>
      </c>
      <c r="Q123" s="2"/>
      <c r="R123" s="19"/>
      <c r="S123" s="2"/>
      <c r="T123" s="2">
        <f>-184.99</f>
        <v>-184.99</v>
      </c>
      <c r="U123" s="2"/>
      <c r="V123" s="19"/>
      <c r="W123" s="2"/>
      <c r="X123" s="2">
        <f t="shared" si="2"/>
        <v>184.99</v>
      </c>
      <c r="Y123" s="2"/>
      <c r="Z123" s="19">
        <f t="shared" si="3"/>
        <v>-1</v>
      </c>
    </row>
    <row r="124" spans="1:26" s="24" customFormat="1" hidden="1" outlineLevel="1" x14ac:dyDescent="0.25">
      <c r="A124" s="44"/>
      <c r="B124" s="11" t="str">
        <f>CONCATENATE("          ", "4304", " - ", "SALES RETURN NON TAXABLE-DIGIT")</f>
        <v xml:space="preserve">          4304 - SALES RETURN NON TAXABLE-DIGIT</v>
      </c>
      <c r="C124" s="11"/>
      <c r="D124" s="2">
        <f>-10673</f>
        <v>-10673</v>
      </c>
      <c r="E124" s="2"/>
      <c r="F124" s="19"/>
      <c r="G124" s="2"/>
      <c r="H124" s="2">
        <f>-4312.43</f>
        <v>-4312.43</v>
      </c>
      <c r="I124" s="2"/>
      <c r="J124" s="19"/>
      <c r="K124" s="2"/>
      <c r="L124" s="2">
        <f t="shared" si="0"/>
        <v>-6360.57</v>
      </c>
      <c r="M124" s="2"/>
      <c r="N124" s="19">
        <f t="shared" si="1"/>
        <v>1.4749387236430502</v>
      </c>
      <c r="O124" s="11"/>
      <c r="P124" s="2">
        <f>-25095.77</f>
        <v>-25095.77</v>
      </c>
      <c r="Q124" s="2"/>
      <c r="R124" s="19"/>
      <c r="S124" s="2"/>
      <c r="T124" s="2">
        <f>-17742.75</f>
        <v>-17742.75</v>
      </c>
      <c r="U124" s="2"/>
      <c r="V124" s="19"/>
      <c r="W124" s="2"/>
      <c r="X124" s="2">
        <f t="shared" si="2"/>
        <v>-7353.02</v>
      </c>
      <c r="Y124" s="2"/>
      <c r="Z124" s="19">
        <f t="shared" si="3"/>
        <v>0.41442391962914432</v>
      </c>
    </row>
    <row r="125" spans="1:26" s="24" customFormat="1" hidden="1" outlineLevel="1" x14ac:dyDescent="0.25">
      <c r="A125" s="44"/>
      <c r="B125" s="11" t="str">
        <f>CONCATENATE("          ", "4311", " - ", "SALES RETURN NON TAXABLE-NO VA")</f>
        <v xml:space="preserve">          4311 - SALES RETURN NON TAXABLE-NO VA</v>
      </c>
      <c r="C125" s="11"/>
      <c r="D125" s="2">
        <f t="shared" ref="D125:D126" si="26">0</f>
        <v>0</v>
      </c>
      <c r="E125" s="2"/>
      <c r="F125" s="19"/>
      <c r="G125" s="2"/>
      <c r="H125" s="2">
        <f>-237.35</f>
        <v>-237.35</v>
      </c>
      <c r="I125" s="2"/>
      <c r="J125" s="19"/>
      <c r="K125" s="2"/>
      <c r="L125" s="2">
        <f t="shared" si="0"/>
        <v>237.35</v>
      </c>
      <c r="M125" s="2"/>
      <c r="N125" s="19">
        <f t="shared" si="1"/>
        <v>-1</v>
      </c>
      <c r="O125" s="11"/>
      <c r="P125" s="2">
        <f t="shared" ref="P125:P126" si="27">0</f>
        <v>0</v>
      </c>
      <c r="Q125" s="2"/>
      <c r="R125" s="19"/>
      <c r="S125" s="2"/>
      <c r="T125" s="2">
        <f>-625.31</f>
        <v>-625.30999999999995</v>
      </c>
      <c r="U125" s="2"/>
      <c r="V125" s="19"/>
      <c r="W125" s="2"/>
      <c r="X125" s="2">
        <f t="shared" si="2"/>
        <v>625.30999999999995</v>
      </c>
      <c r="Y125" s="2"/>
      <c r="Z125" s="19">
        <f t="shared" si="3"/>
        <v>-1</v>
      </c>
    </row>
    <row r="126" spans="1:26" s="24" customFormat="1" hidden="1" outlineLevel="1" x14ac:dyDescent="0.25">
      <c r="A126" s="44"/>
      <c r="B126" s="11" t="str">
        <f>CONCATENATE("          ", "4327", " - ", "SALES RETURN NON TAXABLE-SCHOO")</f>
        <v xml:space="preserve">          4327 - SALES RETURN NON TAXABLE-SCHOO</v>
      </c>
      <c r="C126" s="11"/>
      <c r="D126" s="2">
        <f t="shared" si="26"/>
        <v>0</v>
      </c>
      <c r="E126" s="2"/>
      <c r="F126" s="19"/>
      <c r="G126" s="2"/>
      <c r="H126" s="2">
        <f>0</f>
        <v>0</v>
      </c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 t="shared" si="27"/>
        <v>0</v>
      </c>
      <c r="Q126" s="2"/>
      <c r="R126" s="19"/>
      <c r="S126" s="2"/>
      <c r="T126" s="2">
        <f>-21.87</f>
        <v>-21.87</v>
      </c>
      <c r="U126" s="2"/>
      <c r="V126" s="19"/>
      <c r="W126" s="2"/>
      <c r="X126" s="2">
        <f t="shared" si="2"/>
        <v>21.87</v>
      </c>
      <c r="Y126" s="2"/>
      <c r="Z126" s="19">
        <f t="shared" si="3"/>
        <v>-1</v>
      </c>
    </row>
    <row r="127" spans="1:26" s="24" customFormat="1" hidden="1" outlineLevel="1" x14ac:dyDescent="0.25">
      <c r="A127" s="44"/>
      <c r="B127" s="11" t="str">
        <f>CONCATENATE("          ", "4340", " - ", "SALES RETURN NON TAXABLE-LOGO")</f>
        <v xml:space="preserve">          4340 - SALES RETURN NON TAXABLE-LOGO</v>
      </c>
      <c r="C127" s="11"/>
      <c r="D127" s="2">
        <f>-732.22</f>
        <v>-732.22</v>
      </c>
      <c r="E127" s="2"/>
      <c r="F127" s="19"/>
      <c r="G127" s="2"/>
      <c r="H127" s="2">
        <f>-216.75</f>
        <v>-216.75</v>
      </c>
      <c r="I127" s="2"/>
      <c r="J127" s="19"/>
      <c r="K127" s="2"/>
      <c r="L127" s="2">
        <f t="shared" si="0"/>
        <v>-515.47</v>
      </c>
      <c r="M127" s="2"/>
      <c r="N127" s="19">
        <f t="shared" si="1"/>
        <v>2.3781776239907728</v>
      </c>
      <c r="O127" s="11"/>
      <c r="P127" s="2">
        <f>-2215.94</f>
        <v>-2215.94</v>
      </c>
      <c r="Q127" s="2"/>
      <c r="R127" s="19"/>
      <c r="S127" s="2"/>
      <c r="T127" s="2">
        <f>-931.65</f>
        <v>-931.65</v>
      </c>
      <c r="U127" s="2"/>
      <c r="V127" s="19"/>
      <c r="W127" s="2"/>
      <c r="X127" s="2">
        <f t="shared" si="2"/>
        <v>-1284.29</v>
      </c>
      <c r="Y127" s="2"/>
      <c r="Z127" s="19">
        <f t="shared" si="3"/>
        <v>1.378511243492728</v>
      </c>
    </row>
    <row r="128" spans="1:26" s="24" customFormat="1" hidden="1" outlineLevel="1" x14ac:dyDescent="0.25">
      <c r="A128" s="44"/>
      <c r="B128" s="11" t="str">
        <f>CONCATENATE("          ", "4341", " - ", "SALES RETURN NON TAXABLE-LOGO")</f>
        <v xml:space="preserve">          4341 - SALES RETURN NON TAXABLE-LOGO</v>
      </c>
      <c r="C128" s="11"/>
      <c r="D128" s="2">
        <f>-27</f>
        <v>-27</v>
      </c>
      <c r="E128" s="2"/>
      <c r="F128" s="19"/>
      <c r="G128" s="2"/>
      <c r="H128" s="2">
        <f>-9.95</f>
        <v>-9.9499999999999993</v>
      </c>
      <c r="I128" s="2"/>
      <c r="J128" s="19"/>
      <c r="K128" s="2"/>
      <c r="L128" s="2">
        <f t="shared" si="0"/>
        <v>-17.05</v>
      </c>
      <c r="M128" s="2"/>
      <c r="N128" s="19">
        <f t="shared" si="1"/>
        <v>1.7135678391959801</v>
      </c>
      <c r="O128" s="11"/>
      <c r="P128" s="2">
        <f>-362.64</f>
        <v>-362.64</v>
      </c>
      <c r="Q128" s="2"/>
      <c r="R128" s="19"/>
      <c r="S128" s="2"/>
      <c r="T128" s="2">
        <f>-30.8</f>
        <v>-30.8</v>
      </c>
      <c r="U128" s="2"/>
      <c r="V128" s="19"/>
      <c r="W128" s="2"/>
      <c r="X128" s="2">
        <f t="shared" si="2"/>
        <v>-331.84</v>
      </c>
      <c r="Y128" s="2"/>
      <c r="Z128" s="19">
        <f t="shared" si="3"/>
        <v>10.774025974025973</v>
      </c>
    </row>
    <row r="129" spans="1:26" s="24" customFormat="1" hidden="1" outlineLevel="1" x14ac:dyDescent="0.25">
      <c r="A129" s="44"/>
      <c r="B129" s="11" t="str">
        <f>CONCATENATE("          ", "4342", " - ", "SALES RETURN NON TAXABLE-EVERY")</f>
        <v xml:space="preserve">          4342 - SALES RETURN NON TAXABLE-EVERY</v>
      </c>
      <c r="C129" s="11"/>
      <c r="D129" s="2">
        <f t="shared" ref="D129:D133" si="28">0</f>
        <v>0</v>
      </c>
      <c r="E129" s="2"/>
      <c r="F129" s="19"/>
      <c r="G129" s="2"/>
      <c r="H129" s="2">
        <f>-39.42</f>
        <v>-39.42</v>
      </c>
      <c r="I129" s="2"/>
      <c r="J129" s="19"/>
      <c r="K129" s="2"/>
      <c r="L129" s="2">
        <f t="shared" si="0"/>
        <v>39.42</v>
      </c>
      <c r="M129" s="2"/>
      <c r="N129" s="19">
        <f t="shared" si="1"/>
        <v>-1</v>
      </c>
      <c r="O129" s="11"/>
      <c r="P129" s="2">
        <f>-118.7</f>
        <v>-118.7</v>
      </c>
      <c r="Q129" s="2"/>
      <c r="R129" s="19"/>
      <c r="S129" s="2"/>
      <c r="T129" s="2">
        <f>-149.22</f>
        <v>-149.22</v>
      </c>
      <c r="U129" s="2"/>
      <c r="V129" s="19"/>
      <c r="W129" s="2"/>
      <c r="X129" s="2">
        <f t="shared" si="2"/>
        <v>30.519999999999996</v>
      </c>
      <c r="Y129" s="2"/>
      <c r="Z129" s="19">
        <f t="shared" si="3"/>
        <v>-0.20453022383058569</v>
      </c>
    </row>
    <row r="130" spans="1:26" s="24" customFormat="1" hidden="1" outlineLevel="1" x14ac:dyDescent="0.25">
      <c r="A130" s="44"/>
      <c r="B130" s="11" t="str">
        <f>CONCATENATE("          ", "4346", " - ", "SALES RETURN NON TAXABLE-COIN-")</f>
        <v xml:space="preserve">          4346 - SALES RETURN NON TAXABLE-COIN-</v>
      </c>
      <c r="C130" s="11"/>
      <c r="D130" s="2">
        <f t="shared" si="28"/>
        <v>0</v>
      </c>
      <c r="E130" s="2"/>
      <c r="F130" s="19"/>
      <c r="G130" s="2"/>
      <c r="H130" s="2">
        <f t="shared" ref="H130:H132" si="29">0</f>
        <v>0</v>
      </c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1"/>
      <c r="P130" s="2">
        <f>0</f>
        <v>0</v>
      </c>
      <c r="Q130" s="2"/>
      <c r="R130" s="19"/>
      <c r="S130" s="2"/>
      <c r="T130" s="2">
        <f>-8.15</f>
        <v>-8.15</v>
      </c>
      <c r="U130" s="2"/>
      <c r="V130" s="19"/>
      <c r="W130" s="2"/>
      <c r="X130" s="2">
        <f t="shared" si="2"/>
        <v>8.15</v>
      </c>
      <c r="Y130" s="2"/>
      <c r="Z130" s="19">
        <f t="shared" si="3"/>
        <v>-1</v>
      </c>
    </row>
    <row r="131" spans="1:26" s="24" customFormat="1" hidden="1" outlineLevel="1" x14ac:dyDescent="0.25">
      <c r="A131" s="44"/>
      <c r="B131" s="11" t="str">
        <f>CONCATENATE("          ", "4381", " - ", "SALES RETURN NON TAXABLE-ELECT")</f>
        <v xml:space="preserve">          4381 - SALES RETURN NON TAXABLE-ELECT</v>
      </c>
      <c r="C131" s="11"/>
      <c r="D131" s="2">
        <f t="shared" si="28"/>
        <v>0</v>
      </c>
      <c r="E131" s="2"/>
      <c r="F131" s="19"/>
      <c r="G131" s="2"/>
      <c r="H131" s="2">
        <f t="shared" si="29"/>
        <v>0</v>
      </c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1"/>
      <c r="P131" s="2">
        <f>-5624.15</f>
        <v>-5624.15</v>
      </c>
      <c r="Q131" s="2"/>
      <c r="R131" s="19"/>
      <c r="S131" s="2"/>
      <c r="T131" s="2">
        <f>-1279.84</f>
        <v>-1279.8399999999999</v>
      </c>
      <c r="U131" s="2"/>
      <c r="V131" s="19"/>
      <c r="W131" s="2"/>
      <c r="X131" s="2">
        <f t="shared" si="2"/>
        <v>-4344.3099999999995</v>
      </c>
      <c r="Y131" s="2"/>
      <c r="Z131" s="19">
        <f t="shared" si="3"/>
        <v>3.3944164895611948</v>
      </c>
    </row>
    <row r="132" spans="1:26" s="24" customFormat="1" hidden="1" outlineLevel="1" x14ac:dyDescent="0.25">
      <c r="A132" s="44"/>
      <c r="B132" s="11" t="str">
        <f>CONCATENATE("          ", "4383", " - ", "SALES RETURN NON TAXABLE-COMPU")</f>
        <v xml:space="preserve">          4383 - SALES RETURN NON TAXABLE-COMPU</v>
      </c>
      <c r="C132" s="11"/>
      <c r="D132" s="2">
        <f t="shared" si="28"/>
        <v>0</v>
      </c>
      <c r="E132" s="2"/>
      <c r="F132" s="19"/>
      <c r="G132" s="2"/>
      <c r="H132" s="2">
        <f t="shared" si="29"/>
        <v>0</v>
      </c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1"/>
      <c r="P132" s="2">
        <f t="shared" ref="P132:P133" si="30">0</f>
        <v>0</v>
      </c>
      <c r="Q132" s="2"/>
      <c r="R132" s="19"/>
      <c r="S132" s="2"/>
      <c r="T132" s="2">
        <f>-49.98</f>
        <v>-49.98</v>
      </c>
      <c r="U132" s="2"/>
      <c r="V132" s="19"/>
      <c r="W132" s="2"/>
      <c r="X132" s="2">
        <f t="shared" si="2"/>
        <v>49.98</v>
      </c>
      <c r="Y132" s="2"/>
      <c r="Z132" s="19">
        <f t="shared" si="3"/>
        <v>-1</v>
      </c>
    </row>
    <row r="133" spans="1:26" s="24" customFormat="1" hidden="1" outlineLevel="1" x14ac:dyDescent="0.25">
      <c r="A133" s="44"/>
      <c r="B133" s="11" t="str">
        <f>CONCATENATE("          ", "4386", " - ", "SALES RETURN NON TAXABLE-COMPU")</f>
        <v xml:space="preserve">          4386 - SALES RETURN NON TAXABLE-COMPU</v>
      </c>
      <c r="C133" s="11"/>
      <c r="D133" s="2">
        <f t="shared" si="28"/>
        <v>0</v>
      </c>
      <c r="E133" s="2"/>
      <c r="F133" s="19"/>
      <c r="G133" s="2"/>
      <c r="H133" s="2">
        <f>-49.99</f>
        <v>-49.99</v>
      </c>
      <c r="I133" s="2"/>
      <c r="J133" s="19"/>
      <c r="K133" s="2"/>
      <c r="L133" s="2">
        <f t="shared" si="0"/>
        <v>49.99</v>
      </c>
      <c r="M133" s="2"/>
      <c r="N133" s="19">
        <f t="shared" si="1"/>
        <v>-1</v>
      </c>
      <c r="O133" s="11"/>
      <c r="P133" s="2">
        <f t="shared" si="30"/>
        <v>0</v>
      </c>
      <c r="Q133" s="2"/>
      <c r="R133" s="19"/>
      <c r="S133" s="2"/>
      <c r="T133" s="2">
        <f>-104.96</f>
        <v>-104.96</v>
      </c>
      <c r="U133" s="2"/>
      <c r="V133" s="19"/>
      <c r="W133" s="2"/>
      <c r="X133" s="2">
        <f t="shared" si="2"/>
        <v>104.96</v>
      </c>
      <c r="Y133" s="2"/>
      <c r="Z133" s="19">
        <f t="shared" si="3"/>
        <v>-1</v>
      </c>
    </row>
    <row r="134" spans="1:26" x14ac:dyDescent="0.25">
      <c r="A134" s="9"/>
      <c r="B134" s="10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collapsed="1" x14ac:dyDescent="0.25">
      <c r="A135" s="10"/>
      <c r="B135" s="29" t="s">
        <v>8</v>
      </c>
      <c r="C135" s="10"/>
      <c r="D135" s="4">
        <f>SUM(OSRRefD16x_0)</f>
        <v>915207.02999999991</v>
      </c>
      <c r="E135" s="4"/>
      <c r="F135" s="12">
        <f t="shared" ref="F135:F194" si="31">IF(D$12=0,0,D135/D$12)</f>
        <v>0.62585783733380851</v>
      </c>
      <c r="G135" s="4"/>
      <c r="H135" s="4">
        <f>SUM(OSRRefH16x_0)</f>
        <v>1773538.9499999995</v>
      </c>
      <c r="I135" s="4"/>
      <c r="J135" s="12">
        <f t="shared" ref="J135:J194" si="32">IF(H$12=0,0,H135/H$12)</f>
        <v>0.4853868195109029</v>
      </c>
      <c r="K135" s="4"/>
      <c r="L135" s="4">
        <f t="shared" ref="L135:L194" si="33">+D135-H135</f>
        <v>-858331.91999999958</v>
      </c>
      <c r="M135" s="4"/>
      <c r="N135" s="12">
        <f t="shared" ref="N135:N194" si="34">IF(H135=0,0,L135/H135)</f>
        <v>-0.48396564394596453</v>
      </c>
      <c r="O135" s="10"/>
      <c r="P135" s="4">
        <f>SUM(OSRRefP16x_0)</f>
        <v>4144648.3000000003</v>
      </c>
      <c r="Q135" s="4"/>
      <c r="R135" s="12">
        <f t="shared" ref="R135:R194" si="35">IF(P$12=0,0,P135/P$12)</f>
        <v>0.62747734733404725</v>
      </c>
      <c r="S135" s="4"/>
      <c r="T135" s="4">
        <f>SUM(OSRRefT16x_0)</f>
        <v>9655340.9400000032</v>
      </c>
      <c r="U135" s="4"/>
      <c r="V135" s="12">
        <f t="shared" ref="V135:V194" si="36">IF(T$12=0,0,T135/T$12)</f>
        <v>0.44429758073655878</v>
      </c>
      <c r="W135" s="4"/>
      <c r="X135" s="4">
        <f t="shared" ref="X135:X194" si="37">+P135-T135</f>
        <v>-5510692.6400000025</v>
      </c>
      <c r="Y135" s="4"/>
      <c r="Z135" s="12">
        <f t="shared" ref="Z135:Z194" si="38">IF(T135=0,0,X135/T135)</f>
        <v>-0.57074034715546773</v>
      </c>
    </row>
    <row r="136" spans="1:26" s="24" customFormat="1" hidden="1" outlineLevel="1" x14ac:dyDescent="0.25">
      <c r="A136" s="44"/>
      <c r="B136" s="11" t="str">
        <f>CONCATENATE("          ", "5001", " - ", "PURCHASES @ COST-NEW TEXT")</f>
        <v xml:space="preserve">          5001 - PURCHASES @ COST-NEW TEXT</v>
      </c>
      <c r="C136" s="11"/>
      <c r="D136" s="2">
        <v>381096.17</v>
      </c>
      <c r="E136" s="2"/>
      <c r="F136" s="19">
        <f t="shared" si="31"/>
        <v>0.26060991333556238</v>
      </c>
      <c r="G136" s="2"/>
      <c r="H136" s="2">
        <v>890224.90999999992</v>
      </c>
      <c r="I136" s="2"/>
      <c r="J136" s="19">
        <f t="shared" si="32"/>
        <v>0.24363910232379157</v>
      </c>
      <c r="K136" s="2"/>
      <c r="L136" s="2">
        <f t="shared" si="33"/>
        <v>-509128.73999999993</v>
      </c>
      <c r="M136" s="2"/>
      <c r="N136" s="19">
        <f t="shared" si="34"/>
        <v>-0.57191023782967387</v>
      </c>
      <c r="O136" s="11"/>
      <c r="P136" s="2">
        <v>1659009.21</v>
      </c>
      <c r="Q136" s="2"/>
      <c r="R136" s="19">
        <f t="shared" si="35"/>
        <v>0.25116502606350294</v>
      </c>
      <c r="S136" s="2"/>
      <c r="T136" s="2">
        <v>2627294.66</v>
      </c>
      <c r="U136" s="2"/>
      <c r="V136" s="19">
        <f t="shared" si="36"/>
        <v>0.12089688687058205</v>
      </c>
      <c r="W136" s="2"/>
      <c r="X136" s="2">
        <f t="shared" si="37"/>
        <v>-968285.45000000019</v>
      </c>
      <c r="Y136" s="2"/>
      <c r="Z136" s="19">
        <f t="shared" si="38"/>
        <v>-0.36854847868491469</v>
      </c>
    </row>
    <row r="137" spans="1:26" s="24" customFormat="1" hidden="1" outlineLevel="1" x14ac:dyDescent="0.25">
      <c r="A137" s="44"/>
      <c r="B137" s="11" t="str">
        <f>CONCATENATE("          ", "5002", " - ", "PURCHASES @ COST-USED TEXT")</f>
        <v xml:space="preserve">          5002 - PURCHASES @ COST-USED TEXT</v>
      </c>
      <c r="C137" s="11"/>
      <c r="D137" s="2">
        <v>95863.360000000001</v>
      </c>
      <c r="E137" s="2"/>
      <c r="F137" s="19">
        <f t="shared" si="31"/>
        <v>6.5555478927158517E-2</v>
      </c>
      <c r="G137" s="2"/>
      <c r="H137" s="2">
        <v>260084.68000000002</v>
      </c>
      <c r="I137" s="2"/>
      <c r="J137" s="19">
        <f t="shared" si="32"/>
        <v>7.1180661484040703E-2</v>
      </c>
      <c r="K137" s="2"/>
      <c r="L137" s="2">
        <f t="shared" si="33"/>
        <v>-164221.32</v>
      </c>
      <c r="M137" s="2"/>
      <c r="N137" s="19">
        <f t="shared" si="34"/>
        <v>-0.63141481459038651</v>
      </c>
      <c r="O137" s="11"/>
      <c r="P137" s="2">
        <v>260336.28</v>
      </c>
      <c r="Q137" s="2"/>
      <c r="R137" s="19">
        <f t="shared" si="35"/>
        <v>3.9413505456956086E-2</v>
      </c>
      <c r="S137" s="2"/>
      <c r="T137" s="2">
        <v>512607.53</v>
      </c>
      <c r="U137" s="2"/>
      <c r="V137" s="19">
        <f t="shared" si="36"/>
        <v>2.3588010704295535E-2</v>
      </c>
      <c r="W137" s="2"/>
      <c r="X137" s="2">
        <f t="shared" si="37"/>
        <v>-252271.25000000003</v>
      </c>
      <c r="Y137" s="2"/>
      <c r="Z137" s="19">
        <f t="shared" si="38"/>
        <v>-0.492133328591564</v>
      </c>
    </row>
    <row r="138" spans="1:26" s="24" customFormat="1" hidden="1" outlineLevel="1" x14ac:dyDescent="0.25">
      <c r="A138" s="44"/>
      <c r="B138" s="11" t="str">
        <f>CONCATENATE("          ", "5003", " - ", "PURCHASES @ COST-RENTAL TEXT")</f>
        <v xml:space="preserve">          5003 - PURCHASES @ COST-RENTAL TEXT</v>
      </c>
      <c r="C138" s="11"/>
      <c r="D138" s="2"/>
      <c r="E138" s="2"/>
      <c r="F138" s="19">
        <f t="shared" si="31"/>
        <v>0</v>
      </c>
      <c r="G138" s="2"/>
      <c r="H138" s="2"/>
      <c r="I138" s="2"/>
      <c r="J138" s="19">
        <f t="shared" si="32"/>
        <v>0</v>
      </c>
      <c r="K138" s="2"/>
      <c r="L138" s="2">
        <f t="shared" si="33"/>
        <v>0</v>
      </c>
      <c r="M138" s="2"/>
      <c r="N138" s="19">
        <f t="shared" si="34"/>
        <v>0</v>
      </c>
      <c r="O138" s="11"/>
      <c r="P138" s="2">
        <v>32.520000000000003</v>
      </c>
      <c r="Q138" s="2"/>
      <c r="R138" s="19">
        <f t="shared" si="35"/>
        <v>4.9233522022370915E-6</v>
      </c>
      <c r="S138" s="2"/>
      <c r="T138" s="2">
        <v>-78.400000000000006</v>
      </c>
      <c r="U138" s="2"/>
      <c r="V138" s="19">
        <f t="shared" si="36"/>
        <v>-3.6076333861439179E-6</v>
      </c>
      <c r="W138" s="2"/>
      <c r="X138" s="2">
        <f t="shared" si="37"/>
        <v>110.92000000000002</v>
      </c>
      <c r="Y138" s="2"/>
      <c r="Z138" s="19">
        <f t="shared" si="38"/>
        <v>-1.4147959183673471</v>
      </c>
    </row>
    <row r="139" spans="1:26" s="24" customFormat="1" hidden="1" outlineLevel="1" x14ac:dyDescent="0.25">
      <c r="A139" s="44"/>
      <c r="B139" s="11" t="str">
        <f>CONCATENATE("          ", "5004", " - ", "PURCHASES @ COST-DIGITAL TEXT")</f>
        <v xml:space="preserve">          5004 - PURCHASES @ COST-DIGITAL TEXT</v>
      </c>
      <c r="C139" s="11"/>
      <c r="D139" s="2">
        <v>18888.449999999997</v>
      </c>
      <c r="E139" s="2"/>
      <c r="F139" s="19">
        <f t="shared" si="31"/>
        <v>1.2916732586273703E-2</v>
      </c>
      <c r="G139" s="2"/>
      <c r="H139" s="2">
        <v>119541.49999999999</v>
      </c>
      <c r="I139" s="2"/>
      <c r="J139" s="19">
        <f t="shared" si="32"/>
        <v>3.2716433143214929E-2</v>
      </c>
      <c r="K139" s="2"/>
      <c r="L139" s="2">
        <f t="shared" si="33"/>
        <v>-100653.04999999999</v>
      </c>
      <c r="M139" s="2"/>
      <c r="N139" s="19">
        <f t="shared" si="34"/>
        <v>-0.84199252979090944</v>
      </c>
      <c r="O139" s="11"/>
      <c r="P139" s="2">
        <v>216726.56</v>
      </c>
      <c r="Q139" s="2"/>
      <c r="R139" s="19">
        <f t="shared" si="35"/>
        <v>3.2811229595918479E-2</v>
      </c>
      <c r="S139" s="2"/>
      <c r="T139" s="2">
        <v>473893.77</v>
      </c>
      <c r="U139" s="2"/>
      <c r="V139" s="19">
        <f t="shared" si="36"/>
        <v>2.1806568700734781E-2</v>
      </c>
      <c r="W139" s="2"/>
      <c r="X139" s="2">
        <f t="shared" si="37"/>
        <v>-257167.21000000002</v>
      </c>
      <c r="Y139" s="2"/>
      <c r="Z139" s="19">
        <f t="shared" si="38"/>
        <v>-0.5426684761017222</v>
      </c>
    </row>
    <row r="140" spans="1:26" s="24" customFormat="1" hidden="1" outlineLevel="1" x14ac:dyDescent="0.25">
      <c r="A140" s="44"/>
      <c r="B140" s="11" t="str">
        <f>CONCATENATE("          ", "5011", " - ", "PURCHASES @ COST-NO VALUE TEXT")</f>
        <v xml:space="preserve">          5011 - PURCHASES @ COST-NO VALUE TEXT</v>
      </c>
      <c r="C140" s="11"/>
      <c r="D140" s="2"/>
      <c r="E140" s="2"/>
      <c r="F140" s="19">
        <f t="shared" si="31"/>
        <v>0</v>
      </c>
      <c r="G140" s="2"/>
      <c r="H140" s="2">
        <v>573</v>
      </c>
      <c r="I140" s="2"/>
      <c r="J140" s="19">
        <f t="shared" si="32"/>
        <v>1.568201519226558E-4</v>
      </c>
      <c r="K140" s="2"/>
      <c r="L140" s="2">
        <f t="shared" si="33"/>
        <v>-573</v>
      </c>
      <c r="M140" s="2"/>
      <c r="N140" s="19">
        <f t="shared" si="34"/>
        <v>-1</v>
      </c>
      <c r="O140" s="11"/>
      <c r="P140" s="2">
        <v>67.17</v>
      </c>
      <c r="Q140" s="2"/>
      <c r="R140" s="19">
        <f t="shared" si="35"/>
        <v>1.0169174890045061E-5</v>
      </c>
      <c r="S140" s="2"/>
      <c r="T140" s="2">
        <v>5475</v>
      </c>
      <c r="U140" s="2"/>
      <c r="V140" s="19">
        <f t="shared" si="36"/>
        <v>2.5193613251451463E-4</v>
      </c>
      <c r="W140" s="2"/>
      <c r="X140" s="2">
        <f t="shared" si="37"/>
        <v>-5407.83</v>
      </c>
      <c r="Y140" s="2"/>
      <c r="Z140" s="19">
        <f t="shared" si="38"/>
        <v>-0.9877315068493151</v>
      </c>
    </row>
    <row r="141" spans="1:26" s="24" customFormat="1" hidden="1" outlineLevel="1" x14ac:dyDescent="0.25">
      <c r="A141" s="44"/>
      <c r="B141" s="11" t="str">
        <f>CONCATENATE("          ", "5013", " - ", "PURCHASES @ COST-TRADE BOOKS")</f>
        <v xml:space="preserve">          5013 - PURCHASES @ COST-TRADE BOOKS</v>
      </c>
      <c r="C141" s="11"/>
      <c r="D141" s="2">
        <v>3531.13</v>
      </c>
      <c r="E141" s="2"/>
      <c r="F141" s="19">
        <f t="shared" si="31"/>
        <v>2.4147382097190967E-3</v>
      </c>
      <c r="G141" s="2"/>
      <c r="H141" s="2">
        <v>-276.85000000000002</v>
      </c>
      <c r="I141" s="2"/>
      <c r="J141" s="19">
        <f t="shared" si="32"/>
        <v>-7.576903849875613E-5</v>
      </c>
      <c r="K141" s="2"/>
      <c r="L141" s="2">
        <f t="shared" si="33"/>
        <v>3807.98</v>
      </c>
      <c r="M141" s="2"/>
      <c r="N141" s="19">
        <f t="shared" si="34"/>
        <v>-13.754668593100956</v>
      </c>
      <c r="O141" s="11"/>
      <c r="P141" s="2">
        <v>5656.98</v>
      </c>
      <c r="Q141" s="2"/>
      <c r="R141" s="19">
        <f t="shared" si="35"/>
        <v>8.5643619129800665E-4</v>
      </c>
      <c r="S141" s="2"/>
      <c r="T141" s="2">
        <v>458.46</v>
      </c>
      <c r="U141" s="2"/>
      <c r="V141" s="19">
        <f t="shared" si="36"/>
        <v>2.1096372477188015E-5</v>
      </c>
      <c r="W141" s="2"/>
      <c r="X141" s="2">
        <f t="shared" si="37"/>
        <v>5198.5199999999995</v>
      </c>
      <c r="Y141" s="2"/>
      <c r="Z141" s="19">
        <f t="shared" si="38"/>
        <v>11.339091741918596</v>
      </c>
    </row>
    <row r="142" spans="1:26" s="24" customFormat="1" hidden="1" outlineLevel="1" x14ac:dyDescent="0.25">
      <c r="A142" s="44"/>
      <c r="B142" s="11" t="str">
        <f>CONCATENATE("          ", "5014", " - ", "PURCHASES @ COST-REMAINDERS")</f>
        <v xml:space="preserve">          5014 - PURCHASES @ COST-REMAINDERS</v>
      </c>
      <c r="C142" s="11"/>
      <c r="D142" s="2"/>
      <c r="E142" s="2"/>
      <c r="F142" s="19">
        <f t="shared" si="31"/>
        <v>0</v>
      </c>
      <c r="G142" s="2"/>
      <c r="H142" s="2">
        <v>69.599999999999994</v>
      </c>
      <c r="I142" s="2"/>
      <c r="J142" s="19">
        <f t="shared" si="32"/>
        <v>1.9048311647149813E-5</v>
      </c>
      <c r="K142" s="2"/>
      <c r="L142" s="2">
        <f t="shared" si="33"/>
        <v>-69.599999999999994</v>
      </c>
      <c r="M142" s="2"/>
      <c r="N142" s="19">
        <f t="shared" si="34"/>
        <v>-1</v>
      </c>
      <c r="O142" s="11"/>
      <c r="P142" s="2">
        <v>90.41</v>
      </c>
      <c r="Q142" s="2"/>
      <c r="R142" s="19">
        <f t="shared" si="35"/>
        <v>1.3687585258433437E-5</v>
      </c>
      <c r="S142" s="2"/>
      <c r="T142" s="2">
        <v>583.39</v>
      </c>
      <c r="U142" s="2"/>
      <c r="V142" s="19">
        <f t="shared" si="36"/>
        <v>2.684511787171556E-5</v>
      </c>
      <c r="W142" s="2"/>
      <c r="X142" s="2">
        <f t="shared" si="37"/>
        <v>-492.98</v>
      </c>
      <c r="Y142" s="2"/>
      <c r="Z142" s="19">
        <f t="shared" si="38"/>
        <v>-0.84502648314163775</v>
      </c>
    </row>
    <row r="143" spans="1:26" s="24" customFormat="1" hidden="1" outlineLevel="1" x14ac:dyDescent="0.25">
      <c r="A143" s="44"/>
      <c r="B143" s="11" t="str">
        <f>CONCATENATE("          ", "5017", " - ", "PURCHASES @ COST-DORM/HOUSEWAR")</f>
        <v xml:space="preserve">          5017 - PURCHASES @ COST-DORM/HOUSEWAR</v>
      </c>
      <c r="C143" s="11"/>
      <c r="D143" s="2"/>
      <c r="E143" s="2"/>
      <c r="F143" s="19">
        <f t="shared" si="31"/>
        <v>0</v>
      </c>
      <c r="G143" s="2"/>
      <c r="H143" s="2"/>
      <c r="I143" s="2"/>
      <c r="J143" s="19">
        <f t="shared" si="32"/>
        <v>0</v>
      </c>
      <c r="K143" s="2"/>
      <c r="L143" s="2">
        <f t="shared" si="33"/>
        <v>0</v>
      </c>
      <c r="M143" s="2"/>
      <c r="N143" s="19">
        <f t="shared" si="34"/>
        <v>0</v>
      </c>
      <c r="O143" s="11"/>
      <c r="P143" s="2"/>
      <c r="Q143" s="2"/>
      <c r="R143" s="19">
        <f t="shared" si="35"/>
        <v>0</v>
      </c>
      <c r="S143" s="2"/>
      <c r="T143" s="2">
        <v>0</v>
      </c>
      <c r="U143" s="2"/>
      <c r="V143" s="19">
        <f t="shared" si="36"/>
        <v>0</v>
      </c>
      <c r="W143" s="2"/>
      <c r="X143" s="2">
        <f t="shared" si="37"/>
        <v>0</v>
      </c>
      <c r="Y143" s="2"/>
      <c r="Z143" s="19">
        <f t="shared" si="38"/>
        <v>0</v>
      </c>
    </row>
    <row r="144" spans="1:26" s="24" customFormat="1" hidden="1" outlineLevel="1" x14ac:dyDescent="0.25">
      <c r="A144" s="44"/>
      <c r="B144" s="11" t="str">
        <f>CONCATENATE("          ", "5018", " - ", "PURCHASES @ COST-STUDY GUIDES")</f>
        <v xml:space="preserve">          5018 - PURCHASES @ COST-STUDY GUIDES</v>
      </c>
      <c r="C144" s="11"/>
      <c r="D144" s="2">
        <v>416</v>
      </c>
      <c r="E144" s="2"/>
      <c r="F144" s="19">
        <f t="shared" si="31"/>
        <v>2.844786499628006E-4</v>
      </c>
      <c r="G144" s="2"/>
      <c r="H144" s="2">
        <v>1032.75</v>
      </c>
      <c r="I144" s="2"/>
      <c r="J144" s="19">
        <f t="shared" si="32"/>
        <v>2.8264574502290187E-4</v>
      </c>
      <c r="K144" s="2"/>
      <c r="L144" s="2">
        <f t="shared" si="33"/>
        <v>-616.75</v>
      </c>
      <c r="M144" s="2"/>
      <c r="N144" s="19">
        <f t="shared" si="34"/>
        <v>-0.59719196320503509</v>
      </c>
      <c r="O144" s="11"/>
      <c r="P144" s="2">
        <v>522.34</v>
      </c>
      <c r="Q144" s="2"/>
      <c r="R144" s="19">
        <f t="shared" si="35"/>
        <v>7.9079452316006216E-5</v>
      </c>
      <c r="S144" s="2"/>
      <c r="T144" s="2">
        <v>2031.15</v>
      </c>
      <c r="U144" s="2"/>
      <c r="V144" s="19">
        <f t="shared" si="36"/>
        <v>9.3464853982987473E-5</v>
      </c>
      <c r="W144" s="2"/>
      <c r="X144" s="2">
        <f t="shared" si="37"/>
        <v>-1508.81</v>
      </c>
      <c r="Y144" s="2"/>
      <c r="Z144" s="19">
        <f t="shared" si="38"/>
        <v>-0.74283533958594883</v>
      </c>
    </row>
    <row r="145" spans="1:26" s="24" customFormat="1" hidden="1" outlineLevel="1" x14ac:dyDescent="0.25">
      <c r="A145" s="44"/>
      <c r="B145" s="11" t="str">
        <f>CONCATENATE("          ", "5025", " - ", "PURCHASES @ COST-TEST FORMS")</f>
        <v xml:space="preserve">          5025 - PURCHASES @ COST-TEST FORMS</v>
      </c>
      <c r="C145" s="11"/>
      <c r="D145" s="2"/>
      <c r="E145" s="2"/>
      <c r="F145" s="19">
        <f t="shared" si="31"/>
        <v>0</v>
      </c>
      <c r="G145" s="2"/>
      <c r="H145" s="2">
        <v>880</v>
      </c>
      <c r="I145" s="2"/>
      <c r="J145" s="19">
        <f t="shared" si="32"/>
        <v>2.4084072197545742E-4</v>
      </c>
      <c r="K145" s="2"/>
      <c r="L145" s="2">
        <f t="shared" si="33"/>
        <v>-880</v>
      </c>
      <c r="M145" s="2"/>
      <c r="N145" s="19">
        <f t="shared" si="34"/>
        <v>-1</v>
      </c>
      <c r="O145" s="11"/>
      <c r="P145" s="2">
        <v>599.29</v>
      </c>
      <c r="Q145" s="2"/>
      <c r="R145" s="19">
        <f t="shared" si="35"/>
        <v>9.0729266336982354E-5</v>
      </c>
      <c r="S145" s="2"/>
      <c r="T145" s="2">
        <v>22978.390000000003</v>
      </c>
      <c r="U145" s="2"/>
      <c r="V145" s="19">
        <f t="shared" si="36"/>
        <v>1.0573674352530045E-3</v>
      </c>
      <c r="W145" s="2"/>
      <c r="X145" s="2">
        <f t="shared" si="37"/>
        <v>-22379.100000000002</v>
      </c>
      <c r="Y145" s="2"/>
      <c r="Z145" s="19">
        <f t="shared" si="38"/>
        <v>-0.97391940862697512</v>
      </c>
    </row>
    <row r="146" spans="1:26" s="24" customFormat="1" hidden="1" outlineLevel="1" x14ac:dyDescent="0.25">
      <c r="A146" s="44"/>
      <c r="B146" s="11" t="str">
        <f>CONCATENATE("          ", "5026", " - ", "PURCHASES @ COST-WRITING INSTR")</f>
        <v xml:space="preserve">          5026 - PURCHASES @ COST-WRITING INSTR</v>
      </c>
      <c r="C146" s="11"/>
      <c r="D146" s="2"/>
      <c r="E146" s="2"/>
      <c r="F146" s="19">
        <f t="shared" si="31"/>
        <v>0</v>
      </c>
      <c r="G146" s="2"/>
      <c r="H146" s="2">
        <v>9201.3799999999992</v>
      </c>
      <c r="I146" s="2"/>
      <c r="J146" s="19">
        <f t="shared" si="32"/>
        <v>2.5182579572392435E-3</v>
      </c>
      <c r="K146" s="2"/>
      <c r="L146" s="2">
        <f t="shared" si="33"/>
        <v>-9201.3799999999992</v>
      </c>
      <c r="M146" s="2"/>
      <c r="N146" s="19">
        <f t="shared" si="34"/>
        <v>-1</v>
      </c>
      <c r="O146" s="11"/>
      <c r="P146" s="2">
        <v>374.91</v>
      </c>
      <c r="Q146" s="2"/>
      <c r="R146" s="19">
        <f t="shared" si="35"/>
        <v>5.6759347298299748E-5</v>
      </c>
      <c r="S146" s="2"/>
      <c r="T146" s="2">
        <v>43496.15</v>
      </c>
      <c r="U146" s="2"/>
      <c r="V146" s="19">
        <f t="shared" si="36"/>
        <v>2.0015071799582111E-3</v>
      </c>
      <c r="W146" s="2"/>
      <c r="X146" s="2">
        <f t="shared" si="37"/>
        <v>-43121.24</v>
      </c>
      <c r="Y146" s="2"/>
      <c r="Z146" s="19">
        <f t="shared" si="38"/>
        <v>-0.99138061644536346</v>
      </c>
    </row>
    <row r="147" spans="1:26" s="24" customFormat="1" hidden="1" outlineLevel="1" x14ac:dyDescent="0.25">
      <c r="A147" s="44"/>
      <c r="B147" s="11" t="str">
        <f>CONCATENATE("          ", "5027", " - ", "PURCHASES @ COST-SCHOOL SUPPLI")</f>
        <v xml:space="preserve">          5027 - PURCHASES @ COST-SCHOOL SUPPLI</v>
      </c>
      <c r="C147" s="11"/>
      <c r="D147" s="2"/>
      <c r="E147" s="2"/>
      <c r="F147" s="19">
        <f t="shared" si="31"/>
        <v>0</v>
      </c>
      <c r="G147" s="2"/>
      <c r="H147" s="2">
        <v>42814.02</v>
      </c>
      <c r="I147" s="2"/>
      <c r="J147" s="19">
        <f t="shared" si="32"/>
        <v>1.1717453963035992E-2</v>
      </c>
      <c r="K147" s="2"/>
      <c r="L147" s="2">
        <f t="shared" si="33"/>
        <v>-42814.02</v>
      </c>
      <c r="M147" s="2"/>
      <c r="N147" s="19">
        <f t="shared" si="34"/>
        <v>-1</v>
      </c>
      <c r="O147" s="11"/>
      <c r="P147" s="2">
        <v>19071.350000000002</v>
      </c>
      <c r="Q147" s="2"/>
      <c r="R147" s="19">
        <f t="shared" si="35"/>
        <v>2.8872992934235657E-3</v>
      </c>
      <c r="S147" s="2"/>
      <c r="T147" s="2">
        <v>120814.02</v>
      </c>
      <c r="U147" s="2"/>
      <c r="V147" s="19">
        <f t="shared" si="36"/>
        <v>5.5593455620696298E-3</v>
      </c>
      <c r="W147" s="2"/>
      <c r="X147" s="2">
        <f t="shared" si="37"/>
        <v>-101742.67</v>
      </c>
      <c r="Y147" s="2"/>
      <c r="Z147" s="19">
        <f t="shared" si="38"/>
        <v>-0.8421429069242129</v>
      </c>
    </row>
    <row r="148" spans="1:26" s="24" customFormat="1" hidden="1" outlineLevel="1" x14ac:dyDescent="0.25">
      <c r="A148" s="44"/>
      <c r="B148" s="11" t="str">
        <f>CONCATENATE("          ", "5028", " - ", "PURCHASES @ COST-ART/TECH")</f>
        <v xml:space="preserve">          5028 - PURCHASES @ COST-ART/TECH</v>
      </c>
      <c r="C148" s="11"/>
      <c r="D148" s="2"/>
      <c r="E148" s="2"/>
      <c r="F148" s="19">
        <f t="shared" si="31"/>
        <v>0</v>
      </c>
      <c r="G148" s="2"/>
      <c r="H148" s="2">
        <v>32126.68</v>
      </c>
      <c r="I148" s="2"/>
      <c r="J148" s="19">
        <f t="shared" si="32"/>
        <v>8.7925145521300999E-3</v>
      </c>
      <c r="K148" s="2"/>
      <c r="L148" s="2">
        <f t="shared" si="33"/>
        <v>-32126.68</v>
      </c>
      <c r="M148" s="2"/>
      <c r="N148" s="19">
        <f t="shared" si="34"/>
        <v>-1</v>
      </c>
      <c r="O148" s="11"/>
      <c r="P148" s="2">
        <v>41358.449999999997</v>
      </c>
      <c r="Q148" s="2"/>
      <c r="R148" s="19">
        <f t="shared" si="35"/>
        <v>6.2614457530323674E-3</v>
      </c>
      <c r="S148" s="2"/>
      <c r="T148" s="2">
        <v>135127.5</v>
      </c>
      <c r="U148" s="2"/>
      <c r="V148" s="19">
        <f t="shared" si="36"/>
        <v>6.2179908212520686E-3</v>
      </c>
      <c r="W148" s="2"/>
      <c r="X148" s="2">
        <f t="shared" si="37"/>
        <v>-93769.05</v>
      </c>
      <c r="Y148" s="2"/>
      <c r="Z148" s="19">
        <f t="shared" si="38"/>
        <v>-0.69393017705500359</v>
      </c>
    </row>
    <row r="149" spans="1:26" s="24" customFormat="1" hidden="1" outlineLevel="1" x14ac:dyDescent="0.25">
      <c r="A149" s="44"/>
      <c r="B149" s="11" t="str">
        <f>CONCATENATE("          ", "5031", " - ", "PURCHASES @ COST-FOOD")</f>
        <v xml:space="preserve">          5031 - PURCHASES @ COST-FOOD</v>
      </c>
      <c r="C149" s="11"/>
      <c r="D149" s="2">
        <v>239.16</v>
      </c>
      <c r="E149" s="2"/>
      <c r="F149" s="19">
        <f t="shared" si="31"/>
        <v>1.6354787001226779E-4</v>
      </c>
      <c r="G149" s="2"/>
      <c r="H149" s="2">
        <v>2390.66</v>
      </c>
      <c r="I149" s="2"/>
      <c r="J149" s="19">
        <f t="shared" si="32"/>
        <v>6.5428213681573524E-4</v>
      </c>
      <c r="K149" s="2"/>
      <c r="L149" s="2">
        <f t="shared" si="33"/>
        <v>-2151.5</v>
      </c>
      <c r="M149" s="2"/>
      <c r="N149" s="19">
        <f t="shared" si="34"/>
        <v>-0.89996068031422294</v>
      </c>
      <c r="O149" s="11"/>
      <c r="P149" s="2">
        <v>7514.26</v>
      </c>
      <c r="Q149" s="2"/>
      <c r="R149" s="19">
        <f t="shared" si="35"/>
        <v>1.1376183431482806E-3</v>
      </c>
      <c r="S149" s="2"/>
      <c r="T149" s="2">
        <v>24900.390000000003</v>
      </c>
      <c r="U149" s="2"/>
      <c r="V149" s="19">
        <f t="shared" si="36"/>
        <v>1.1458096720918898E-3</v>
      </c>
      <c r="W149" s="2"/>
      <c r="X149" s="2">
        <f t="shared" si="37"/>
        <v>-17386.130000000005</v>
      </c>
      <c r="Y149" s="2"/>
      <c r="Z149" s="19">
        <f t="shared" si="38"/>
        <v>-0.69822721652150843</v>
      </c>
    </row>
    <row r="150" spans="1:26" s="24" customFormat="1" hidden="1" outlineLevel="1" x14ac:dyDescent="0.25">
      <c r="A150" s="44"/>
      <c r="B150" s="11" t="str">
        <f>CONCATENATE("          ", "5032", " - ", "PURCHASES @ COST-JUICE")</f>
        <v xml:space="preserve">          5032 - PURCHASES @ COST-JUICE</v>
      </c>
      <c r="C150" s="11"/>
      <c r="D150" s="2"/>
      <c r="E150" s="2"/>
      <c r="F150" s="19">
        <f t="shared" si="31"/>
        <v>0</v>
      </c>
      <c r="G150" s="2"/>
      <c r="H150" s="2">
        <v>371.03</v>
      </c>
      <c r="I150" s="2"/>
      <c r="J150" s="19">
        <f t="shared" si="32"/>
        <v>1.0154446940290222E-4</v>
      </c>
      <c r="K150" s="2"/>
      <c r="L150" s="2">
        <f t="shared" si="33"/>
        <v>-371.03</v>
      </c>
      <c r="M150" s="2"/>
      <c r="N150" s="19">
        <f t="shared" si="34"/>
        <v>-1</v>
      </c>
      <c r="O150" s="11"/>
      <c r="P150" s="2"/>
      <c r="Q150" s="2"/>
      <c r="R150" s="19">
        <f t="shared" si="35"/>
        <v>0</v>
      </c>
      <c r="S150" s="2"/>
      <c r="T150" s="2">
        <v>5392.51</v>
      </c>
      <c r="U150" s="2"/>
      <c r="V150" s="19">
        <f t="shared" si="36"/>
        <v>2.4814029478462932E-4</v>
      </c>
      <c r="W150" s="2"/>
      <c r="X150" s="2">
        <f t="shared" si="37"/>
        <v>-5392.51</v>
      </c>
      <c r="Y150" s="2"/>
      <c r="Z150" s="19">
        <f t="shared" si="38"/>
        <v>-1</v>
      </c>
    </row>
    <row r="151" spans="1:26" s="24" customFormat="1" hidden="1" outlineLevel="1" x14ac:dyDescent="0.25">
      <c r="A151" s="44"/>
      <c r="B151" s="11" t="str">
        <f>CONCATENATE("          ", "5033", " - ", "PURCHASES @ COST-CANDY")</f>
        <v xml:space="preserve">          5033 - PURCHASES @ COST-CANDY</v>
      </c>
      <c r="C151" s="11"/>
      <c r="D151" s="2"/>
      <c r="E151" s="2"/>
      <c r="F151" s="19">
        <f t="shared" si="31"/>
        <v>0</v>
      </c>
      <c r="G151" s="2"/>
      <c r="H151" s="2">
        <v>805.69</v>
      </c>
      <c r="I151" s="2"/>
      <c r="J151" s="19">
        <f t="shared" si="32"/>
        <v>2.205033651004617E-4</v>
      </c>
      <c r="K151" s="2"/>
      <c r="L151" s="2">
        <f t="shared" si="33"/>
        <v>-805.69</v>
      </c>
      <c r="M151" s="2"/>
      <c r="N151" s="19">
        <f t="shared" si="34"/>
        <v>-1</v>
      </c>
      <c r="O151" s="11"/>
      <c r="P151" s="2"/>
      <c r="Q151" s="2"/>
      <c r="R151" s="19">
        <f t="shared" si="35"/>
        <v>0</v>
      </c>
      <c r="S151" s="2"/>
      <c r="T151" s="2">
        <v>7003.62</v>
      </c>
      <c r="U151" s="2"/>
      <c r="V151" s="19">
        <f t="shared" si="36"/>
        <v>3.2227670071256716E-4</v>
      </c>
      <c r="W151" s="2"/>
      <c r="X151" s="2">
        <f t="shared" si="37"/>
        <v>-7003.62</v>
      </c>
      <c r="Y151" s="2"/>
      <c r="Z151" s="19">
        <f t="shared" si="38"/>
        <v>-1</v>
      </c>
    </row>
    <row r="152" spans="1:26" s="24" customFormat="1" hidden="1" outlineLevel="1" x14ac:dyDescent="0.25">
      <c r="A152" s="44"/>
      <c r="B152" s="11" t="str">
        <f>CONCATENATE("          ", "5034", " - ", "PURCHASES @ COST-SODA")</f>
        <v xml:space="preserve">          5034 - PURCHASES @ COST-SODA</v>
      </c>
      <c r="C152" s="11"/>
      <c r="D152" s="2"/>
      <c r="E152" s="2"/>
      <c r="F152" s="19">
        <f t="shared" si="31"/>
        <v>0</v>
      </c>
      <c r="G152" s="2"/>
      <c r="H152" s="2"/>
      <c r="I152" s="2"/>
      <c r="J152" s="19">
        <f t="shared" si="32"/>
        <v>0</v>
      </c>
      <c r="K152" s="2"/>
      <c r="L152" s="2">
        <f t="shared" si="33"/>
        <v>0</v>
      </c>
      <c r="M152" s="2"/>
      <c r="N152" s="19">
        <f t="shared" si="34"/>
        <v>0</v>
      </c>
      <c r="O152" s="11"/>
      <c r="P152" s="2"/>
      <c r="Q152" s="2"/>
      <c r="R152" s="19">
        <f t="shared" si="35"/>
        <v>0</v>
      </c>
      <c r="S152" s="2"/>
      <c r="T152" s="2">
        <v>2124.16</v>
      </c>
      <c r="U152" s="2"/>
      <c r="V152" s="19">
        <f t="shared" si="36"/>
        <v>9.7744777213156414E-5</v>
      </c>
      <c r="W152" s="2"/>
      <c r="X152" s="2">
        <f t="shared" si="37"/>
        <v>-2124.16</v>
      </c>
      <c r="Y152" s="2"/>
      <c r="Z152" s="19">
        <f t="shared" si="38"/>
        <v>-1</v>
      </c>
    </row>
    <row r="153" spans="1:26" s="24" customFormat="1" hidden="1" outlineLevel="1" x14ac:dyDescent="0.25">
      <c r="A153" s="44"/>
      <c r="B153" s="11" t="str">
        <f>CONCATENATE("          ", "5035", " - ", "PURCHASES @ COST-HEALTH &amp; BEAU")</f>
        <v xml:space="preserve">          5035 - PURCHASES @ COST-HEALTH &amp; BEAU</v>
      </c>
      <c r="C153" s="11"/>
      <c r="D153" s="2"/>
      <c r="E153" s="2"/>
      <c r="F153" s="19">
        <f t="shared" si="31"/>
        <v>0</v>
      </c>
      <c r="G153" s="2"/>
      <c r="H153" s="2">
        <v>32.82</v>
      </c>
      <c r="I153" s="2"/>
      <c r="J153" s="19">
        <f t="shared" si="32"/>
        <v>8.9822641991301278E-6</v>
      </c>
      <c r="K153" s="2"/>
      <c r="L153" s="2">
        <f t="shared" si="33"/>
        <v>-32.82</v>
      </c>
      <c r="M153" s="2"/>
      <c r="N153" s="19">
        <f t="shared" si="34"/>
        <v>-1</v>
      </c>
      <c r="O153" s="11"/>
      <c r="P153" s="2"/>
      <c r="Q153" s="2"/>
      <c r="R153" s="19">
        <f t="shared" si="35"/>
        <v>0</v>
      </c>
      <c r="S153" s="2"/>
      <c r="T153" s="2">
        <v>857.2</v>
      </c>
      <c r="U153" s="2"/>
      <c r="V153" s="19">
        <f t="shared" si="36"/>
        <v>3.9444685441359261E-5</v>
      </c>
      <c r="W153" s="2"/>
      <c r="X153" s="2">
        <f t="shared" si="37"/>
        <v>-857.2</v>
      </c>
      <c r="Y153" s="2"/>
      <c r="Z153" s="19">
        <f t="shared" si="38"/>
        <v>-1</v>
      </c>
    </row>
    <row r="154" spans="1:26" s="24" customFormat="1" hidden="1" outlineLevel="1" x14ac:dyDescent="0.25">
      <c r="A154" s="44"/>
      <c r="B154" s="11" t="str">
        <f>CONCATENATE("          ", "5037", " - ", "PURCHASES @ COST-WATER")</f>
        <v xml:space="preserve">          5037 - PURCHASES @ COST-WATER</v>
      </c>
      <c r="C154" s="11"/>
      <c r="D154" s="2"/>
      <c r="E154" s="2"/>
      <c r="F154" s="19">
        <f t="shared" si="31"/>
        <v>0</v>
      </c>
      <c r="G154" s="2"/>
      <c r="H154" s="2"/>
      <c r="I154" s="2"/>
      <c r="J154" s="19">
        <f t="shared" si="32"/>
        <v>0</v>
      </c>
      <c r="K154" s="2"/>
      <c r="L154" s="2">
        <f t="shared" si="33"/>
        <v>0</v>
      </c>
      <c r="M154" s="2"/>
      <c r="N154" s="19">
        <f t="shared" si="34"/>
        <v>0</v>
      </c>
      <c r="O154" s="11"/>
      <c r="P154" s="2"/>
      <c r="Q154" s="2"/>
      <c r="R154" s="19">
        <f t="shared" si="35"/>
        <v>0</v>
      </c>
      <c r="S154" s="2"/>
      <c r="T154" s="2">
        <v>3759.27</v>
      </c>
      <c r="U154" s="2"/>
      <c r="V154" s="19">
        <f t="shared" si="36"/>
        <v>1.7298556070828117E-4</v>
      </c>
      <c r="W154" s="2"/>
      <c r="X154" s="2">
        <f t="shared" si="37"/>
        <v>-3759.27</v>
      </c>
      <c r="Y154" s="2"/>
      <c r="Z154" s="19">
        <f t="shared" si="38"/>
        <v>-1</v>
      </c>
    </row>
    <row r="155" spans="1:26" s="24" customFormat="1" hidden="1" outlineLevel="1" x14ac:dyDescent="0.25">
      <c r="A155" s="44"/>
      <c r="B155" s="11" t="str">
        <f>CONCATENATE("          ", "5040", " - ", "PURCHASES @ COST-LOGO CLOTHING")</f>
        <v xml:space="preserve">          5040 - PURCHASES @ COST-LOGO CLOTHING</v>
      </c>
      <c r="C155" s="11"/>
      <c r="D155" s="2">
        <v>34900.79</v>
      </c>
      <c r="E155" s="2"/>
      <c r="F155" s="19">
        <f t="shared" si="31"/>
        <v>2.3866657744796186E-2</v>
      </c>
      <c r="G155" s="2"/>
      <c r="H155" s="2">
        <v>94500.17</v>
      </c>
      <c r="I155" s="2"/>
      <c r="J155" s="19">
        <f t="shared" si="32"/>
        <v>2.5863055874549387E-2</v>
      </c>
      <c r="K155" s="2"/>
      <c r="L155" s="2">
        <f t="shared" si="33"/>
        <v>-59599.38</v>
      </c>
      <c r="M155" s="2"/>
      <c r="N155" s="19">
        <f t="shared" si="34"/>
        <v>-0.63068013528441269</v>
      </c>
      <c r="O155" s="11"/>
      <c r="P155" s="2">
        <v>167371.19</v>
      </c>
      <c r="Q155" s="2"/>
      <c r="R155" s="19">
        <f t="shared" si="35"/>
        <v>2.5339093384918281E-2</v>
      </c>
      <c r="S155" s="2"/>
      <c r="T155" s="2">
        <v>810739.01</v>
      </c>
      <c r="U155" s="2"/>
      <c r="V155" s="19">
        <f t="shared" si="36"/>
        <v>3.7306748978638615E-2</v>
      </c>
      <c r="W155" s="2"/>
      <c r="X155" s="2">
        <f t="shared" si="37"/>
        <v>-643367.82000000007</v>
      </c>
      <c r="Y155" s="2"/>
      <c r="Z155" s="19">
        <f t="shared" si="38"/>
        <v>-0.7935572509333183</v>
      </c>
    </row>
    <row r="156" spans="1:26" s="24" customFormat="1" hidden="1" outlineLevel="1" x14ac:dyDescent="0.25">
      <c r="A156" s="44"/>
      <c r="B156" s="11" t="str">
        <f>CONCATENATE("          ", "5041", " - ", "PURCHASES @ COST-LOGO GIFTS")</f>
        <v xml:space="preserve">          5041 - PURCHASES @ COST-LOGO GIFTS</v>
      </c>
      <c r="C156" s="11"/>
      <c r="D156" s="2">
        <v>8769.24</v>
      </c>
      <c r="E156" s="2"/>
      <c r="F156" s="19">
        <f t="shared" si="31"/>
        <v>5.9967825874994943E-3</v>
      </c>
      <c r="G156" s="2"/>
      <c r="H156" s="2">
        <v>14612.2</v>
      </c>
      <c r="I156" s="2"/>
      <c r="J156" s="19">
        <f t="shared" si="32"/>
        <v>3.9991054518747488E-3</v>
      </c>
      <c r="K156" s="2"/>
      <c r="L156" s="2">
        <f t="shared" si="33"/>
        <v>-5842.9600000000009</v>
      </c>
      <c r="M156" s="2"/>
      <c r="N156" s="19">
        <f t="shared" si="34"/>
        <v>-0.39986860294822141</v>
      </c>
      <c r="O156" s="11"/>
      <c r="P156" s="2">
        <v>40971</v>
      </c>
      <c r="Q156" s="2"/>
      <c r="R156" s="19">
        <f t="shared" si="35"/>
        <v>6.2027879175232427E-3</v>
      </c>
      <c r="S156" s="2"/>
      <c r="T156" s="2">
        <v>124015.87000000001</v>
      </c>
      <c r="U156" s="2"/>
      <c r="V156" s="19">
        <f t="shared" si="36"/>
        <v>5.7066810334653563E-3</v>
      </c>
      <c r="W156" s="2"/>
      <c r="X156" s="2">
        <f t="shared" si="37"/>
        <v>-83044.87000000001</v>
      </c>
      <c r="Y156" s="2"/>
      <c r="Z156" s="19">
        <f t="shared" si="38"/>
        <v>-0.66963099158196449</v>
      </c>
    </row>
    <row r="157" spans="1:26" s="24" customFormat="1" hidden="1" outlineLevel="1" x14ac:dyDescent="0.25">
      <c r="A157" s="44"/>
      <c r="B157" s="11" t="str">
        <f>CONCATENATE("          ", "5042", " - ", "PURCHASES @ COST-EVERYDAY GIFT")</f>
        <v xml:space="preserve">          5042 - PURCHASES @ COST-EVERYDAY GIFT</v>
      </c>
      <c r="C157" s="11"/>
      <c r="D157" s="2">
        <v>6760.7</v>
      </c>
      <c r="E157" s="2"/>
      <c r="F157" s="19">
        <f t="shared" si="31"/>
        <v>4.623256751931505E-3</v>
      </c>
      <c r="G157" s="2"/>
      <c r="H157" s="2">
        <v>2972.86</v>
      </c>
      <c r="I157" s="2"/>
      <c r="J157" s="19">
        <f t="shared" si="32"/>
        <v>8.1362016901358907E-4</v>
      </c>
      <c r="K157" s="2"/>
      <c r="L157" s="2">
        <f t="shared" si="33"/>
        <v>3787.8399999999997</v>
      </c>
      <c r="M157" s="2"/>
      <c r="N157" s="19">
        <f t="shared" si="34"/>
        <v>1.2741400536856762</v>
      </c>
      <c r="O157" s="11"/>
      <c r="P157" s="2">
        <v>17821.98</v>
      </c>
      <c r="Q157" s="2"/>
      <c r="R157" s="19">
        <f t="shared" si="35"/>
        <v>2.6981514293119738E-3</v>
      </c>
      <c r="S157" s="2"/>
      <c r="T157" s="2">
        <v>91360.97</v>
      </c>
      <c r="U157" s="2"/>
      <c r="V157" s="19">
        <f t="shared" si="36"/>
        <v>4.2040419076848582E-3</v>
      </c>
      <c r="W157" s="2"/>
      <c r="X157" s="2">
        <f t="shared" si="37"/>
        <v>-73538.990000000005</v>
      </c>
      <c r="Y157" s="2"/>
      <c r="Z157" s="19">
        <f t="shared" si="38"/>
        <v>-0.80492785923792187</v>
      </c>
    </row>
    <row r="158" spans="1:26" s="24" customFormat="1" hidden="1" outlineLevel="1" x14ac:dyDescent="0.25">
      <c r="A158" s="44"/>
      <c r="B158" s="11" t="str">
        <f>CONCATENATE("          ", "5043", " - ", "PURCHASES @ COST-CARDS")</f>
        <v xml:space="preserve">          5043 - PURCHASES @ COST-CARDS</v>
      </c>
      <c r="C158" s="11"/>
      <c r="D158" s="2">
        <v>8743.1</v>
      </c>
      <c r="E158" s="2"/>
      <c r="F158" s="19">
        <f t="shared" si="31"/>
        <v>5.9789069338696205E-3</v>
      </c>
      <c r="G158" s="2"/>
      <c r="H158" s="2">
        <v>3909.52</v>
      </c>
      <c r="I158" s="2"/>
      <c r="J158" s="19">
        <f t="shared" si="32"/>
        <v>1.0699677492926026E-3</v>
      </c>
      <c r="K158" s="2"/>
      <c r="L158" s="2">
        <f t="shared" si="33"/>
        <v>4833.58</v>
      </c>
      <c r="M158" s="2"/>
      <c r="N158" s="19">
        <f t="shared" si="34"/>
        <v>1.2363614970635781</v>
      </c>
      <c r="O158" s="11"/>
      <c r="P158" s="2">
        <v>55364.33</v>
      </c>
      <c r="Q158" s="2"/>
      <c r="R158" s="19">
        <f t="shared" si="35"/>
        <v>8.3818602715523081E-3</v>
      </c>
      <c r="S158" s="2"/>
      <c r="T158" s="2">
        <v>10694.41</v>
      </c>
      <c r="U158" s="2"/>
      <c r="V158" s="19">
        <f t="shared" si="36"/>
        <v>4.921111040958083E-4</v>
      </c>
      <c r="W158" s="2"/>
      <c r="X158" s="2">
        <f t="shared" si="37"/>
        <v>44669.919999999998</v>
      </c>
      <c r="Y158" s="2"/>
      <c r="Z158" s="19">
        <f t="shared" si="38"/>
        <v>4.1769410374204838</v>
      </c>
    </row>
    <row r="159" spans="1:26" s="24" customFormat="1" hidden="1" outlineLevel="1" x14ac:dyDescent="0.25">
      <c r="A159" s="44"/>
      <c r="B159" s="11" t="str">
        <f>CONCATENATE("          ", "5044", " - ", "PURCHASES @ COST-ACCESSORIES")</f>
        <v xml:space="preserve">          5044 - PURCHASES @ COST-ACCESSORIES</v>
      </c>
      <c r="C159" s="11"/>
      <c r="D159" s="2">
        <v>782.5</v>
      </c>
      <c r="E159" s="2"/>
      <c r="F159" s="19">
        <f t="shared" si="31"/>
        <v>5.3510707595166222E-4</v>
      </c>
      <c r="G159" s="2"/>
      <c r="H159" s="2">
        <v>3179.63</v>
      </c>
      <c r="I159" s="2"/>
      <c r="J159" s="19">
        <f t="shared" si="32"/>
        <v>8.7020952819866324E-4</v>
      </c>
      <c r="K159" s="2"/>
      <c r="L159" s="2">
        <f t="shared" si="33"/>
        <v>-2397.13</v>
      </c>
      <c r="M159" s="2"/>
      <c r="N159" s="19">
        <f t="shared" si="34"/>
        <v>-0.75390218358739858</v>
      </c>
      <c r="O159" s="11"/>
      <c r="P159" s="2">
        <v>1064.83</v>
      </c>
      <c r="Q159" s="2"/>
      <c r="R159" s="19">
        <f t="shared" si="35"/>
        <v>1.6120950570443177E-4</v>
      </c>
      <c r="S159" s="2"/>
      <c r="T159" s="2">
        <v>20867.21</v>
      </c>
      <c r="U159" s="2"/>
      <c r="V159" s="19">
        <f t="shared" si="36"/>
        <v>9.6021994224076805E-4</v>
      </c>
      <c r="W159" s="2"/>
      <c r="X159" s="2">
        <f t="shared" si="37"/>
        <v>-19802.379999999997</v>
      </c>
      <c r="Y159" s="2"/>
      <c r="Z159" s="19">
        <f t="shared" si="38"/>
        <v>-0.94897113701352498</v>
      </c>
    </row>
    <row r="160" spans="1:26" s="24" customFormat="1" hidden="1" outlineLevel="1" x14ac:dyDescent="0.25">
      <c r="A160" s="44"/>
      <c r="B160" s="11" t="str">
        <f>CONCATENATE("          ", "5045", " - ", "PURCHASES @ COST-SPECIAL ORDER")</f>
        <v xml:space="preserve">          5045 - PURCHASES @ COST-SPECIAL ORDER</v>
      </c>
      <c r="C160" s="11"/>
      <c r="D160" s="2">
        <v>5855.38</v>
      </c>
      <c r="E160" s="2"/>
      <c r="F160" s="19">
        <f t="shared" si="31"/>
        <v>4.0041600899499603E-3</v>
      </c>
      <c r="G160" s="2"/>
      <c r="H160" s="2">
        <v>6835.65</v>
      </c>
      <c r="I160" s="2"/>
      <c r="J160" s="19">
        <f t="shared" si="32"/>
        <v>1.8707987286040175E-3</v>
      </c>
      <c r="K160" s="2"/>
      <c r="L160" s="2">
        <f t="shared" si="33"/>
        <v>-980.26999999999953</v>
      </c>
      <c r="M160" s="2"/>
      <c r="N160" s="19">
        <f t="shared" si="34"/>
        <v>-0.14340552836965023</v>
      </c>
      <c r="O160" s="11"/>
      <c r="P160" s="2">
        <v>93464.38</v>
      </c>
      <c r="Q160" s="2"/>
      <c r="R160" s="19">
        <f t="shared" si="35"/>
        <v>1.4150001878958313E-2</v>
      </c>
      <c r="S160" s="2"/>
      <c r="T160" s="2">
        <v>48016.23</v>
      </c>
      <c r="U160" s="2"/>
      <c r="V160" s="19">
        <f t="shared" si="36"/>
        <v>2.2095019697036373E-3</v>
      </c>
      <c r="W160" s="2"/>
      <c r="X160" s="2">
        <f t="shared" si="37"/>
        <v>45448.15</v>
      </c>
      <c r="Y160" s="2"/>
      <c r="Z160" s="19">
        <f t="shared" si="38"/>
        <v>0.94651641746967641</v>
      </c>
    </row>
    <row r="161" spans="1:26" s="24" customFormat="1" hidden="1" outlineLevel="1" x14ac:dyDescent="0.25">
      <c r="A161" s="44"/>
      <c r="B161" s="11" t="str">
        <f>CONCATENATE("          ", "5053", " - ", "PURCHASES @ COST-FOOD")</f>
        <v xml:space="preserve">          5053 - PURCHASES @ COST-FOOD</v>
      </c>
      <c r="C161" s="11"/>
      <c r="D161" s="2">
        <v>30627.69</v>
      </c>
      <c r="E161" s="2"/>
      <c r="F161" s="19">
        <f t="shared" si="31"/>
        <v>2.094452861220954E-2</v>
      </c>
      <c r="G161" s="2"/>
      <c r="H161" s="2">
        <v>475096.19000000006</v>
      </c>
      <c r="I161" s="2"/>
      <c r="J161" s="19">
        <f t="shared" si="32"/>
        <v>0.13002557887203309</v>
      </c>
      <c r="K161" s="2"/>
      <c r="L161" s="2">
        <f t="shared" si="33"/>
        <v>-444468.50000000006</v>
      </c>
      <c r="M161" s="2"/>
      <c r="N161" s="19">
        <f t="shared" si="34"/>
        <v>-0.93553370739512776</v>
      </c>
      <c r="O161" s="11"/>
      <c r="P161" s="2">
        <v>297700.40000000002</v>
      </c>
      <c r="Q161" s="2"/>
      <c r="R161" s="19">
        <f t="shared" si="35"/>
        <v>4.5070231240678445E-2</v>
      </c>
      <c r="S161" s="2"/>
      <c r="T161" s="2">
        <v>3765569.04</v>
      </c>
      <c r="U161" s="2"/>
      <c r="V161" s="19">
        <f t="shared" si="36"/>
        <v>0.17327541564456506</v>
      </c>
      <c r="W161" s="2"/>
      <c r="X161" s="2">
        <f t="shared" si="37"/>
        <v>-3467868.64</v>
      </c>
      <c r="Y161" s="2"/>
      <c r="Z161" s="19">
        <f t="shared" si="38"/>
        <v>-0.92094145749615575</v>
      </c>
    </row>
    <row r="162" spans="1:26" s="24" customFormat="1" hidden="1" outlineLevel="1" x14ac:dyDescent="0.25">
      <c r="A162" s="44"/>
      <c r="B162" s="11" t="str">
        <f>CONCATENATE("          ", "5059", " - ", "PURCHASES @ COST-FOOD")</f>
        <v xml:space="preserve">          5059 - PURCHASES @ COST-FOOD</v>
      </c>
      <c r="C162" s="11"/>
      <c r="D162" s="2">
        <v>2417</v>
      </c>
      <c r="E162" s="2"/>
      <c r="F162" s="19">
        <f t="shared" si="31"/>
        <v>1.6528483100002142E-3</v>
      </c>
      <c r="G162" s="2"/>
      <c r="H162" s="2">
        <v>-72342.099999999991</v>
      </c>
      <c r="I162" s="2"/>
      <c r="J162" s="19">
        <f t="shared" si="32"/>
        <v>-1.9798776810478109E-2</v>
      </c>
      <c r="K162" s="2"/>
      <c r="L162" s="2">
        <f t="shared" si="33"/>
        <v>74759.099999999991</v>
      </c>
      <c r="M162" s="2"/>
      <c r="N162" s="19">
        <f t="shared" si="34"/>
        <v>-1.0334106972288613</v>
      </c>
      <c r="O162" s="11"/>
      <c r="P162" s="2">
        <v>14195.29</v>
      </c>
      <c r="Q162" s="2"/>
      <c r="R162" s="19">
        <f t="shared" si="35"/>
        <v>2.1490901686006814E-3</v>
      </c>
      <c r="S162" s="2"/>
      <c r="T162" s="2">
        <v>-108486.77</v>
      </c>
      <c r="U162" s="2"/>
      <c r="V162" s="19">
        <f t="shared" si="36"/>
        <v>-4.99209813019026E-3</v>
      </c>
      <c r="W162" s="2"/>
      <c r="X162" s="2">
        <f t="shared" si="37"/>
        <v>122682.06</v>
      </c>
      <c r="Y162" s="2"/>
      <c r="Z162" s="19">
        <f t="shared" si="38"/>
        <v>-1.1308481209275563</v>
      </c>
    </row>
    <row r="163" spans="1:26" s="24" customFormat="1" hidden="1" outlineLevel="1" x14ac:dyDescent="0.25">
      <c r="A163" s="44"/>
      <c r="B163" s="11" t="str">
        <f>CONCATENATE("          ", "5081", " - ", "PURCHASES @ COST-ELECTRONICS")</f>
        <v xml:space="preserve">          5081 - PURCHASES @ COST-ELECTRONICS</v>
      </c>
      <c r="C163" s="11"/>
      <c r="D163" s="2">
        <v>313.26</v>
      </c>
      <c r="E163" s="2"/>
      <c r="F163" s="19">
        <f t="shared" si="31"/>
        <v>2.1422062953689163E-4</v>
      </c>
      <c r="G163" s="2"/>
      <c r="H163" s="2">
        <v>32465.820000000003</v>
      </c>
      <c r="I163" s="2"/>
      <c r="J163" s="19">
        <f t="shared" si="32"/>
        <v>8.8853312821877799E-3</v>
      </c>
      <c r="K163" s="2"/>
      <c r="L163" s="2">
        <f t="shared" si="33"/>
        <v>-32152.560000000005</v>
      </c>
      <c r="M163" s="2"/>
      <c r="N163" s="19">
        <f t="shared" si="34"/>
        <v>-0.99035108307752584</v>
      </c>
      <c r="O163" s="11"/>
      <c r="P163" s="2">
        <v>25573.769999999997</v>
      </c>
      <c r="Q163" s="2"/>
      <c r="R163" s="19">
        <f t="shared" si="35"/>
        <v>3.8717305304122028E-3</v>
      </c>
      <c r="S163" s="2"/>
      <c r="T163" s="2">
        <v>221646.8</v>
      </c>
      <c r="U163" s="2"/>
      <c r="V163" s="19">
        <f t="shared" si="36"/>
        <v>1.0199239739948516E-2</v>
      </c>
      <c r="W163" s="2"/>
      <c r="X163" s="2">
        <f t="shared" si="37"/>
        <v>-196073.03</v>
      </c>
      <c r="Y163" s="2"/>
      <c r="Z163" s="19">
        <f t="shared" si="38"/>
        <v>-0.88461926813290337</v>
      </c>
    </row>
    <row r="164" spans="1:26" s="24" customFormat="1" hidden="1" outlineLevel="1" x14ac:dyDescent="0.25">
      <c r="A164" s="44"/>
      <c r="B164" s="11" t="str">
        <f>CONCATENATE("          ", "5082", " - ", "PURCHASES @ COST-COMPUTER HARD")</f>
        <v xml:space="preserve">          5082 - PURCHASES @ COST-COMPUTER HARD</v>
      </c>
      <c r="C164" s="11"/>
      <c r="D164" s="2">
        <v>98264.71</v>
      </c>
      <c r="E164" s="2"/>
      <c r="F164" s="19">
        <f t="shared" si="31"/>
        <v>6.7197625095639701E-2</v>
      </c>
      <c r="G164" s="2"/>
      <c r="H164" s="2">
        <v>159135.18</v>
      </c>
      <c r="I164" s="2"/>
      <c r="J164" s="19">
        <f t="shared" si="32"/>
        <v>4.3552535957834509E-2</v>
      </c>
      <c r="K164" s="2"/>
      <c r="L164" s="2">
        <f t="shared" si="33"/>
        <v>-60870.469999999987</v>
      </c>
      <c r="M164" s="2"/>
      <c r="N164" s="19">
        <f t="shared" si="34"/>
        <v>-0.38250794073315525</v>
      </c>
      <c r="O164" s="11"/>
      <c r="P164" s="2">
        <v>1079201.53</v>
      </c>
      <c r="Q164" s="2"/>
      <c r="R164" s="19">
        <f t="shared" si="35"/>
        <v>0.16338527765630806</v>
      </c>
      <c r="S164" s="2"/>
      <c r="T164" s="2">
        <v>1167662.76</v>
      </c>
      <c r="U164" s="2"/>
      <c r="V164" s="19">
        <f t="shared" si="36"/>
        <v>5.3730856590981535E-2</v>
      </c>
      <c r="W164" s="2"/>
      <c r="X164" s="2">
        <f t="shared" si="37"/>
        <v>-88461.229999999981</v>
      </c>
      <c r="Y164" s="2"/>
      <c r="Z164" s="19">
        <f t="shared" si="38"/>
        <v>-7.5759228632075223E-2</v>
      </c>
    </row>
    <row r="165" spans="1:26" s="24" customFormat="1" hidden="1" outlineLevel="1" x14ac:dyDescent="0.25">
      <c r="A165" s="44"/>
      <c r="B165" s="11" t="str">
        <f>CONCATENATE("          ", "5083", " - ", "PURCHASES @ COST-COMPUTER EQUI")</f>
        <v xml:space="preserve">          5083 - PURCHASES @ COST-COMPUTER EQUI</v>
      </c>
      <c r="C165" s="11"/>
      <c r="D165" s="2">
        <v>8829.83</v>
      </c>
      <c r="E165" s="2"/>
      <c r="F165" s="19">
        <f t="shared" si="31"/>
        <v>6.0382166293294131E-3</v>
      </c>
      <c r="G165" s="2"/>
      <c r="H165" s="2">
        <v>10530</v>
      </c>
      <c r="I165" s="2"/>
      <c r="J165" s="19">
        <f t="shared" si="32"/>
        <v>2.8818781845472347E-3</v>
      </c>
      <c r="K165" s="2"/>
      <c r="L165" s="2">
        <f t="shared" si="33"/>
        <v>-1700.17</v>
      </c>
      <c r="M165" s="2"/>
      <c r="N165" s="19">
        <f t="shared" si="34"/>
        <v>-0.16145963912630579</v>
      </c>
      <c r="O165" s="11"/>
      <c r="P165" s="2">
        <v>90556.67</v>
      </c>
      <c r="Q165" s="2"/>
      <c r="R165" s="19">
        <f t="shared" si="35"/>
        <v>1.3709790303559578E-2</v>
      </c>
      <c r="S165" s="2"/>
      <c r="T165" s="2">
        <v>65360.780000000006</v>
      </c>
      <c r="U165" s="2"/>
      <c r="V165" s="19">
        <f t="shared" si="36"/>
        <v>3.0076241335766285E-3</v>
      </c>
      <c r="W165" s="2"/>
      <c r="X165" s="2">
        <f t="shared" si="37"/>
        <v>25195.889999999992</v>
      </c>
      <c r="Y165" s="2"/>
      <c r="Z165" s="19">
        <f t="shared" si="38"/>
        <v>0.38548943265364932</v>
      </c>
    </row>
    <row r="166" spans="1:26" s="24" customFormat="1" hidden="1" outlineLevel="1" x14ac:dyDescent="0.25">
      <c r="A166" s="44"/>
      <c r="B166" s="11" t="str">
        <f>CONCATENATE("          ", "5084", " - ", "PURCHASES @ COST-SOFTWARE LICE")</f>
        <v xml:space="preserve">          5084 - PURCHASES @ COST-SOFTWARE LICE</v>
      </c>
      <c r="C166" s="11"/>
      <c r="D166" s="2"/>
      <c r="E166" s="2"/>
      <c r="F166" s="19">
        <f t="shared" si="31"/>
        <v>0</v>
      </c>
      <c r="G166" s="2"/>
      <c r="H166" s="2"/>
      <c r="I166" s="2"/>
      <c r="J166" s="19">
        <f t="shared" si="32"/>
        <v>0</v>
      </c>
      <c r="K166" s="2"/>
      <c r="L166" s="2">
        <f t="shared" si="33"/>
        <v>0</v>
      </c>
      <c r="M166" s="2"/>
      <c r="N166" s="19">
        <f t="shared" si="34"/>
        <v>0</v>
      </c>
      <c r="O166" s="11"/>
      <c r="P166" s="2"/>
      <c r="Q166" s="2"/>
      <c r="R166" s="19">
        <f t="shared" si="35"/>
        <v>0</v>
      </c>
      <c r="S166" s="2"/>
      <c r="T166" s="2">
        <v>2728</v>
      </c>
      <c r="U166" s="2"/>
      <c r="V166" s="19">
        <f t="shared" si="36"/>
        <v>1.2553091680357918E-4</v>
      </c>
      <c r="W166" s="2"/>
      <c r="X166" s="2">
        <f t="shared" si="37"/>
        <v>-2728</v>
      </c>
      <c r="Y166" s="2"/>
      <c r="Z166" s="19">
        <f t="shared" si="38"/>
        <v>-1</v>
      </c>
    </row>
    <row r="167" spans="1:26" s="24" customFormat="1" hidden="1" outlineLevel="1" x14ac:dyDescent="0.25">
      <c r="A167" s="44"/>
      <c r="B167" s="11" t="str">
        <f>CONCATENATE("          ", "5085", " - ", "PURCHASES @ COST-SOFTWARE")</f>
        <v xml:space="preserve">          5085 - PURCHASES @ COST-SOFTWARE</v>
      </c>
      <c r="C167" s="11"/>
      <c r="D167" s="2">
        <v>4174.1400000000003</v>
      </c>
      <c r="E167" s="2"/>
      <c r="F167" s="19">
        <f t="shared" si="31"/>
        <v>2.8544560383551073E-3</v>
      </c>
      <c r="G167" s="2"/>
      <c r="H167" s="2"/>
      <c r="I167" s="2"/>
      <c r="J167" s="19">
        <f t="shared" si="32"/>
        <v>0</v>
      </c>
      <c r="K167" s="2"/>
      <c r="L167" s="2">
        <f t="shared" si="33"/>
        <v>4174.1400000000003</v>
      </c>
      <c r="M167" s="2"/>
      <c r="N167" s="19">
        <f t="shared" si="34"/>
        <v>0</v>
      </c>
      <c r="O167" s="11"/>
      <c r="P167" s="2">
        <v>28746.22</v>
      </c>
      <c r="Q167" s="2"/>
      <c r="R167" s="19">
        <f t="shared" si="35"/>
        <v>4.3520223106701082E-3</v>
      </c>
      <c r="S167" s="2"/>
      <c r="T167" s="2">
        <v>7860.66</v>
      </c>
      <c r="U167" s="2"/>
      <c r="V167" s="19">
        <f t="shared" si="36"/>
        <v>3.6171402363681181E-4</v>
      </c>
      <c r="W167" s="2"/>
      <c r="X167" s="2">
        <f t="shared" si="37"/>
        <v>20885.560000000001</v>
      </c>
      <c r="Y167" s="2"/>
      <c r="Z167" s="19">
        <f t="shared" si="38"/>
        <v>2.6569728241648924</v>
      </c>
    </row>
    <row r="168" spans="1:26" s="24" customFormat="1" hidden="1" outlineLevel="1" x14ac:dyDescent="0.25">
      <c r="A168" s="44"/>
      <c r="B168" s="11" t="str">
        <f>CONCATENATE("          ", "5086", " - ", "PURCHASES @ COST-COMPUTER SUPP")</f>
        <v xml:space="preserve">          5086 - PURCHASES @ COST-COMPUTER SUPP</v>
      </c>
      <c r="C168" s="11"/>
      <c r="D168" s="2">
        <v>21.24</v>
      </c>
      <c r="E168" s="2"/>
      <c r="F168" s="19">
        <f t="shared" si="31"/>
        <v>1.4524823377908377E-5</v>
      </c>
      <c r="G168" s="2"/>
      <c r="H168" s="2">
        <v>4364.12</v>
      </c>
      <c r="I168" s="2"/>
      <c r="J168" s="19">
        <f t="shared" si="32"/>
        <v>1.1943838768040151E-3</v>
      </c>
      <c r="K168" s="2"/>
      <c r="L168" s="2">
        <f t="shared" si="33"/>
        <v>-4342.88</v>
      </c>
      <c r="M168" s="2"/>
      <c r="N168" s="19">
        <f t="shared" si="34"/>
        <v>-0.99513303942146414</v>
      </c>
      <c r="O168" s="11"/>
      <c r="P168" s="2">
        <v>22739.85</v>
      </c>
      <c r="Q168" s="2"/>
      <c r="R168" s="19">
        <f t="shared" si="35"/>
        <v>3.4426903621168851E-3</v>
      </c>
      <c r="S168" s="2"/>
      <c r="T168" s="2">
        <v>25347.759999999998</v>
      </c>
      <c r="U168" s="2"/>
      <c r="V168" s="19">
        <f t="shared" si="36"/>
        <v>1.1663957301015731E-3</v>
      </c>
      <c r="W168" s="2"/>
      <c r="X168" s="2">
        <f t="shared" si="37"/>
        <v>-2607.91</v>
      </c>
      <c r="Y168" s="2"/>
      <c r="Z168" s="19">
        <f t="shared" si="38"/>
        <v>-0.10288522536113645</v>
      </c>
    </row>
    <row r="169" spans="1:26" s="24" customFormat="1" hidden="1" outlineLevel="1" x14ac:dyDescent="0.25">
      <c r="A169" s="44"/>
      <c r="B169" s="11" t="str">
        <f>CONCATENATE("          ", "5088", " - ", "PURCHASES @ COST-MUSIC")</f>
        <v xml:space="preserve">          5088 - PURCHASES @ COST-MUSIC</v>
      </c>
      <c r="C169" s="11"/>
      <c r="D169" s="2"/>
      <c r="E169" s="2"/>
      <c r="F169" s="19">
        <f t="shared" si="31"/>
        <v>0</v>
      </c>
      <c r="G169" s="2"/>
      <c r="H169" s="2"/>
      <c r="I169" s="2"/>
      <c r="J169" s="19">
        <f t="shared" si="32"/>
        <v>0</v>
      </c>
      <c r="K169" s="2"/>
      <c r="L169" s="2">
        <f t="shared" si="33"/>
        <v>0</v>
      </c>
      <c r="M169" s="2"/>
      <c r="N169" s="19">
        <f t="shared" si="34"/>
        <v>0</v>
      </c>
      <c r="O169" s="11"/>
      <c r="P169" s="2"/>
      <c r="Q169" s="2"/>
      <c r="R169" s="19">
        <f t="shared" si="35"/>
        <v>0</v>
      </c>
      <c r="S169" s="2"/>
      <c r="T169" s="2">
        <v>88.75</v>
      </c>
      <c r="U169" s="2"/>
      <c r="V169" s="19">
        <f t="shared" si="36"/>
        <v>4.0838962119932739E-6</v>
      </c>
      <c r="W169" s="2"/>
      <c r="X169" s="2">
        <f t="shared" si="37"/>
        <v>-88.75</v>
      </c>
      <c r="Y169" s="2"/>
      <c r="Z169" s="19">
        <f t="shared" si="38"/>
        <v>-1</v>
      </c>
    </row>
    <row r="170" spans="1:26" s="24" customFormat="1" hidden="1" outlineLevel="1" x14ac:dyDescent="0.25">
      <c r="A170" s="44"/>
      <c r="B170" s="11" t="str">
        <f>CONCATENATE("          ", "5092", " - ", "PURCHASES @ COST-GRAD MERCH")</f>
        <v xml:space="preserve">          5092 - PURCHASES @ COST-GRAD MERCH</v>
      </c>
      <c r="C170" s="11"/>
      <c r="D170" s="2"/>
      <c r="E170" s="2"/>
      <c r="F170" s="19">
        <f t="shared" si="31"/>
        <v>0</v>
      </c>
      <c r="G170" s="2"/>
      <c r="H170" s="2">
        <v>122.72</v>
      </c>
      <c r="I170" s="2"/>
      <c r="J170" s="19">
        <f t="shared" si="32"/>
        <v>3.3586333410031971E-5</v>
      </c>
      <c r="K170" s="2"/>
      <c r="L170" s="2">
        <f t="shared" si="33"/>
        <v>-122.72</v>
      </c>
      <c r="M170" s="2"/>
      <c r="N170" s="19">
        <f t="shared" si="34"/>
        <v>-1</v>
      </c>
      <c r="O170" s="11"/>
      <c r="P170" s="2"/>
      <c r="Q170" s="2"/>
      <c r="R170" s="19">
        <f t="shared" si="35"/>
        <v>0</v>
      </c>
      <c r="S170" s="2"/>
      <c r="T170" s="2">
        <v>2046.86</v>
      </c>
      <c r="U170" s="2"/>
      <c r="V170" s="19">
        <f t="shared" si="36"/>
        <v>9.4187761132175242E-5</v>
      </c>
      <c r="W170" s="2"/>
      <c r="X170" s="2">
        <f t="shared" si="37"/>
        <v>-2046.86</v>
      </c>
      <c r="Y170" s="2"/>
      <c r="Z170" s="19">
        <f t="shared" si="38"/>
        <v>-1</v>
      </c>
    </row>
    <row r="171" spans="1:26" s="24" customFormat="1" hidden="1" outlineLevel="1" x14ac:dyDescent="0.25">
      <c r="A171" s="44"/>
      <c r="B171" s="11" t="str">
        <f>CONCATENATE("          ", "5095", " - ", "PURCHASES @ COST-CUSTOMER SERV")</f>
        <v xml:space="preserve">          5095 - PURCHASES @ COST-CUSTOMER SERV</v>
      </c>
      <c r="C171" s="11"/>
      <c r="D171" s="2"/>
      <c r="E171" s="2"/>
      <c r="F171" s="19">
        <f t="shared" si="31"/>
        <v>0</v>
      </c>
      <c r="G171" s="2"/>
      <c r="H171" s="2"/>
      <c r="I171" s="2"/>
      <c r="J171" s="19">
        <f t="shared" si="32"/>
        <v>0</v>
      </c>
      <c r="K171" s="2"/>
      <c r="L171" s="2">
        <f t="shared" si="33"/>
        <v>0</v>
      </c>
      <c r="M171" s="2"/>
      <c r="N171" s="19">
        <f t="shared" si="34"/>
        <v>0</v>
      </c>
      <c r="O171" s="11"/>
      <c r="P171" s="2"/>
      <c r="Q171" s="2"/>
      <c r="R171" s="19">
        <f t="shared" si="35"/>
        <v>0</v>
      </c>
      <c r="S171" s="2"/>
      <c r="T171" s="2">
        <v>0</v>
      </c>
      <c r="U171" s="2"/>
      <c r="V171" s="19">
        <f t="shared" si="36"/>
        <v>0</v>
      </c>
      <c r="W171" s="2"/>
      <c r="X171" s="2">
        <f t="shared" si="37"/>
        <v>0</v>
      </c>
      <c r="Y171" s="2"/>
      <c r="Z171" s="19">
        <f t="shared" si="38"/>
        <v>0</v>
      </c>
    </row>
    <row r="172" spans="1:26" s="24" customFormat="1" hidden="1" outlineLevel="1" x14ac:dyDescent="0.25">
      <c r="A172" s="44"/>
      <c r="B172" s="11" t="str">
        <f>CONCATENATE("          ", "5200", " - ", "PURCHASES OFFSET")</f>
        <v xml:space="preserve">          5200 - PURCHASES OFFSET</v>
      </c>
      <c r="C172" s="11"/>
      <c r="D172" s="2">
        <v>-502374.21</v>
      </c>
      <c r="E172" s="2"/>
      <c r="F172" s="19">
        <f t="shared" si="31"/>
        <v>-0.34354504095415506</v>
      </c>
      <c r="G172" s="2"/>
      <c r="H172" s="2">
        <v>-1245332</v>
      </c>
      <c r="I172" s="2"/>
      <c r="J172" s="19">
        <f t="shared" si="32"/>
        <v>-0.34082574770356855</v>
      </c>
      <c r="K172" s="2"/>
      <c r="L172" s="2">
        <f t="shared" si="33"/>
        <v>742957.79</v>
      </c>
      <c r="M172" s="2"/>
      <c r="N172" s="19">
        <f t="shared" si="34"/>
        <v>-0.5965941532057315</v>
      </c>
      <c r="O172" s="11"/>
      <c r="P172" s="2">
        <v>-3379047.18</v>
      </c>
      <c r="Q172" s="2"/>
      <c r="R172" s="19">
        <f t="shared" si="35"/>
        <v>-0.51156947647958273</v>
      </c>
      <c r="S172" s="2"/>
      <c r="T172" s="2">
        <v>-5513495</v>
      </c>
      <c r="U172" s="2"/>
      <c r="V172" s="19">
        <f t="shared" si="36"/>
        <v>-0.25370750811655046</v>
      </c>
      <c r="W172" s="2"/>
      <c r="X172" s="2">
        <f t="shared" si="37"/>
        <v>2134447.8199999998</v>
      </c>
      <c r="Y172" s="2"/>
      <c r="Z172" s="19">
        <f t="shared" si="38"/>
        <v>-0.38713154178973586</v>
      </c>
    </row>
    <row r="173" spans="1:26" s="24" customFormat="1" hidden="1" outlineLevel="1" x14ac:dyDescent="0.25">
      <c r="A173" s="44"/>
      <c r="B173" s="11" t="str">
        <f>CONCATENATE("          ", "5300", " - ", "COG$ OFFSET")</f>
        <v xml:space="preserve">          5300 - COG$ OFFSET</v>
      </c>
      <c r="C173" s="11"/>
      <c r="D173" s="2">
        <v>695026</v>
      </c>
      <c r="E173" s="2"/>
      <c r="F173" s="19">
        <f t="shared" si="31"/>
        <v>0.47528860136789775</v>
      </c>
      <c r="G173" s="2"/>
      <c r="H173" s="2">
        <v>914062</v>
      </c>
      <c r="I173" s="2"/>
      <c r="J173" s="19">
        <f t="shared" si="32"/>
        <v>0.2501629000117393</v>
      </c>
      <c r="K173" s="2"/>
      <c r="L173" s="2">
        <f t="shared" si="33"/>
        <v>-219036</v>
      </c>
      <c r="M173" s="2"/>
      <c r="N173" s="19">
        <f t="shared" si="34"/>
        <v>-0.23962925928438114</v>
      </c>
      <c r="O173" s="11"/>
      <c r="P173" s="2">
        <v>3298180</v>
      </c>
      <c r="Q173" s="2"/>
      <c r="R173" s="19">
        <f t="shared" si="35"/>
        <v>0.49932662258223642</v>
      </c>
      <c r="S173" s="2"/>
      <c r="T173" s="2">
        <v>4834197.4700000007</v>
      </c>
      <c r="U173" s="2"/>
      <c r="V173" s="19">
        <f t="shared" si="36"/>
        <v>0.2224491350508222</v>
      </c>
      <c r="W173" s="2"/>
      <c r="X173" s="2">
        <f t="shared" si="37"/>
        <v>-1536017.4700000007</v>
      </c>
      <c r="Y173" s="2"/>
      <c r="Z173" s="19">
        <f t="shared" si="38"/>
        <v>-0.31773991019857956</v>
      </c>
    </row>
    <row r="174" spans="1:26" s="24" customFormat="1" hidden="1" outlineLevel="1" x14ac:dyDescent="0.25">
      <c r="A174" s="44"/>
      <c r="B174" s="11" t="str">
        <f>CONCATENATE("          ", "5500", " - ", "FREIGHT-IN")</f>
        <v xml:space="preserve">          5500 - FREIGHT-IN</v>
      </c>
      <c r="C174" s="11"/>
      <c r="D174" s="2"/>
      <c r="E174" s="2"/>
      <c r="F174" s="19">
        <f t="shared" si="31"/>
        <v>0</v>
      </c>
      <c r="G174" s="2"/>
      <c r="H174" s="2">
        <v>7.3</v>
      </c>
      <c r="I174" s="2"/>
      <c r="J174" s="19">
        <f t="shared" si="32"/>
        <v>1.9978832618418628E-6</v>
      </c>
      <c r="K174" s="2"/>
      <c r="L174" s="2">
        <f t="shared" si="33"/>
        <v>-7.3</v>
      </c>
      <c r="M174" s="2"/>
      <c r="N174" s="19">
        <f t="shared" si="34"/>
        <v>-1</v>
      </c>
      <c r="O174" s="11"/>
      <c r="P174" s="2"/>
      <c r="Q174" s="2"/>
      <c r="R174" s="19">
        <f t="shared" si="35"/>
        <v>0</v>
      </c>
      <c r="S174" s="2"/>
      <c r="T174" s="2">
        <v>122.53</v>
      </c>
      <c r="U174" s="2"/>
      <c r="V174" s="19">
        <f t="shared" si="36"/>
        <v>5.638307637808855E-6</v>
      </c>
      <c r="W174" s="2"/>
      <c r="X174" s="2">
        <f t="shared" si="37"/>
        <v>-122.53</v>
      </c>
      <c r="Y174" s="2"/>
      <c r="Z174" s="19">
        <f t="shared" si="38"/>
        <v>-1</v>
      </c>
    </row>
    <row r="175" spans="1:26" s="24" customFormat="1" hidden="1" outlineLevel="1" x14ac:dyDescent="0.25">
      <c r="A175" s="44"/>
      <c r="B175" s="11" t="str">
        <f>CONCATENATE("          ", "5501", " - ", "FREIGHT-IN-NEW TEXT")</f>
        <v xml:space="preserve">          5501 - FREIGHT-IN-NEW TEXT</v>
      </c>
      <c r="C175" s="11"/>
      <c r="D175" s="2">
        <v>7155.21</v>
      </c>
      <c r="E175" s="2"/>
      <c r="F175" s="19">
        <f t="shared" si="31"/>
        <v>4.8930396177892565E-3</v>
      </c>
      <c r="G175" s="2"/>
      <c r="H175" s="2">
        <v>3407.43</v>
      </c>
      <c r="I175" s="2"/>
      <c r="J175" s="19">
        <f t="shared" si="32"/>
        <v>9.3255443327367371E-4</v>
      </c>
      <c r="K175" s="2"/>
      <c r="L175" s="2">
        <f t="shared" si="33"/>
        <v>3747.78</v>
      </c>
      <c r="M175" s="2"/>
      <c r="N175" s="19">
        <f t="shared" si="34"/>
        <v>1.0998846638082074</v>
      </c>
      <c r="O175" s="11"/>
      <c r="P175" s="2">
        <v>44618.79</v>
      </c>
      <c r="Q175" s="2"/>
      <c r="R175" s="19">
        <f t="shared" si="35"/>
        <v>6.7550436041714113E-3</v>
      </c>
      <c r="S175" s="2"/>
      <c r="T175" s="2">
        <v>42077.369999999995</v>
      </c>
      <c r="U175" s="2"/>
      <c r="V175" s="19">
        <f t="shared" si="36"/>
        <v>1.9362209797593173E-3</v>
      </c>
      <c r="W175" s="2"/>
      <c r="X175" s="2">
        <f t="shared" si="37"/>
        <v>2541.4200000000055</v>
      </c>
      <c r="Y175" s="2"/>
      <c r="Z175" s="19">
        <f t="shared" si="38"/>
        <v>6.0398736898242593E-2</v>
      </c>
    </row>
    <row r="176" spans="1:26" s="24" customFormat="1" hidden="1" outlineLevel="1" x14ac:dyDescent="0.25">
      <c r="A176" s="44"/>
      <c r="B176" s="11" t="str">
        <f>CONCATENATE("          ", "5502", " - ", "FREIGHT-IN-USED TEXT")</f>
        <v xml:space="preserve">          5502 - FREIGHT-IN-USED TEXT</v>
      </c>
      <c r="C176" s="11"/>
      <c r="D176" s="2">
        <v>2129.7399999999998</v>
      </c>
      <c r="E176" s="2"/>
      <c r="F176" s="19">
        <f t="shared" si="31"/>
        <v>1.4564075960859975E-3</v>
      </c>
      <c r="G176" s="2"/>
      <c r="H176" s="2">
        <v>4124.8100000000004</v>
      </c>
      <c r="I176" s="2"/>
      <c r="J176" s="19">
        <f t="shared" si="32"/>
        <v>1.1288888845586212E-3</v>
      </c>
      <c r="K176" s="2"/>
      <c r="L176" s="2">
        <f t="shared" si="33"/>
        <v>-1995.0700000000006</v>
      </c>
      <c r="M176" s="2"/>
      <c r="N176" s="19">
        <f t="shared" si="34"/>
        <v>-0.48367561172514623</v>
      </c>
      <c r="O176" s="11"/>
      <c r="P176" s="2">
        <v>15652.310000000001</v>
      </c>
      <c r="Q176" s="2"/>
      <c r="R176" s="19">
        <f t="shared" si="35"/>
        <v>2.3696751201905796E-3</v>
      </c>
      <c r="S176" s="2"/>
      <c r="T176" s="2">
        <v>11778.23</v>
      </c>
      <c r="U176" s="2"/>
      <c r="V176" s="19">
        <f t="shared" si="36"/>
        <v>5.4198387471533001E-4</v>
      </c>
      <c r="W176" s="2"/>
      <c r="X176" s="2">
        <f t="shared" si="37"/>
        <v>3874.0800000000017</v>
      </c>
      <c r="Y176" s="2"/>
      <c r="Z176" s="19">
        <f t="shared" si="38"/>
        <v>0.32891869151816544</v>
      </c>
    </row>
    <row r="177" spans="1:26" s="24" customFormat="1" hidden="1" outlineLevel="1" x14ac:dyDescent="0.25">
      <c r="A177" s="44"/>
      <c r="B177" s="11" t="str">
        <f>CONCATENATE("          ", "5504", " - ", "FREIGHT-IN-DIGITAL TEXT")</f>
        <v xml:space="preserve">          5504 - FREIGHT-IN-DIGITAL TEXT</v>
      </c>
      <c r="C177" s="11"/>
      <c r="D177" s="2"/>
      <c r="E177" s="2"/>
      <c r="F177" s="19">
        <f t="shared" si="31"/>
        <v>0</v>
      </c>
      <c r="G177" s="2"/>
      <c r="H177" s="2"/>
      <c r="I177" s="2"/>
      <c r="J177" s="19">
        <f t="shared" si="32"/>
        <v>0</v>
      </c>
      <c r="K177" s="2"/>
      <c r="L177" s="2">
        <f t="shared" si="33"/>
        <v>0</v>
      </c>
      <c r="M177" s="2"/>
      <c r="N177" s="19">
        <f t="shared" si="34"/>
        <v>0</v>
      </c>
      <c r="O177" s="11"/>
      <c r="P177" s="2">
        <v>21.98</v>
      </c>
      <c r="Q177" s="2"/>
      <c r="R177" s="19">
        <f t="shared" si="35"/>
        <v>3.3276531797408138E-6</v>
      </c>
      <c r="S177" s="2"/>
      <c r="T177" s="2">
        <v>105.97</v>
      </c>
      <c r="U177" s="2"/>
      <c r="V177" s="19">
        <f t="shared" si="36"/>
        <v>4.8762871164498843E-6</v>
      </c>
      <c r="W177" s="2"/>
      <c r="X177" s="2">
        <f t="shared" si="37"/>
        <v>-83.99</v>
      </c>
      <c r="Y177" s="2"/>
      <c r="Z177" s="19">
        <f t="shared" si="38"/>
        <v>-0.79258280645465695</v>
      </c>
    </row>
    <row r="178" spans="1:26" s="24" customFormat="1" hidden="1" outlineLevel="1" x14ac:dyDescent="0.25">
      <c r="A178" s="44"/>
      <c r="B178" s="11" t="str">
        <f>CONCATENATE("          ", "5513", " - ", "FREIGHT-IN-TRADE BOOKS")</f>
        <v xml:space="preserve">          5513 - FREIGHT-IN-TRADE BOOKS</v>
      </c>
      <c r="C178" s="11"/>
      <c r="D178" s="2">
        <v>7.06</v>
      </c>
      <c r="E178" s="2"/>
      <c r="F178" s="19">
        <f t="shared" si="31"/>
        <v>4.827930934464837E-6</v>
      </c>
      <c r="G178" s="2"/>
      <c r="H178" s="2"/>
      <c r="I178" s="2"/>
      <c r="J178" s="19">
        <f t="shared" si="32"/>
        <v>0</v>
      </c>
      <c r="K178" s="2"/>
      <c r="L178" s="2">
        <f t="shared" si="33"/>
        <v>7.06</v>
      </c>
      <c r="M178" s="2"/>
      <c r="N178" s="19">
        <f t="shared" si="34"/>
        <v>0</v>
      </c>
      <c r="O178" s="11"/>
      <c r="P178" s="2">
        <v>33.520000000000003</v>
      </c>
      <c r="Q178" s="2"/>
      <c r="R178" s="19">
        <f t="shared" si="35"/>
        <v>5.0747467964018238E-6</v>
      </c>
      <c r="S178" s="2"/>
      <c r="T178" s="2">
        <v>21.41</v>
      </c>
      <c r="U178" s="2"/>
      <c r="V178" s="19">
        <f t="shared" si="36"/>
        <v>9.8519682139465903E-7</v>
      </c>
      <c r="W178" s="2"/>
      <c r="X178" s="2">
        <f t="shared" si="37"/>
        <v>12.110000000000003</v>
      </c>
      <c r="Y178" s="2"/>
      <c r="Z178" s="19">
        <f t="shared" si="38"/>
        <v>0.56562354040168161</v>
      </c>
    </row>
    <row r="179" spans="1:26" s="24" customFormat="1" hidden="1" outlineLevel="1" x14ac:dyDescent="0.25">
      <c r="A179" s="44"/>
      <c r="B179" s="11" t="str">
        <f>CONCATENATE("          ", "5518", " - ", "FREIGHT-IN-STUDY GUIDES")</f>
        <v xml:space="preserve">          5518 - FREIGHT-IN-STUDY GUIDES</v>
      </c>
      <c r="C179" s="11"/>
      <c r="D179" s="2"/>
      <c r="E179" s="2"/>
      <c r="F179" s="19">
        <f t="shared" si="31"/>
        <v>0</v>
      </c>
      <c r="G179" s="2"/>
      <c r="H179" s="2"/>
      <c r="I179" s="2"/>
      <c r="J179" s="19">
        <f t="shared" si="32"/>
        <v>0</v>
      </c>
      <c r="K179" s="2"/>
      <c r="L179" s="2">
        <f t="shared" si="33"/>
        <v>0</v>
      </c>
      <c r="M179" s="2"/>
      <c r="N179" s="19">
        <f t="shared" si="34"/>
        <v>0</v>
      </c>
      <c r="O179" s="11"/>
      <c r="P179" s="2"/>
      <c r="Q179" s="2"/>
      <c r="R179" s="19">
        <f t="shared" si="35"/>
        <v>0</v>
      </c>
      <c r="S179" s="2"/>
      <c r="T179" s="2">
        <v>21.13</v>
      </c>
      <c r="U179" s="2"/>
      <c r="V179" s="19">
        <f t="shared" si="36"/>
        <v>9.7231241644414504E-7</v>
      </c>
      <c r="W179" s="2"/>
      <c r="X179" s="2">
        <f t="shared" si="37"/>
        <v>-21.13</v>
      </c>
      <c r="Y179" s="2"/>
      <c r="Z179" s="19">
        <f t="shared" si="38"/>
        <v>-1</v>
      </c>
    </row>
    <row r="180" spans="1:26" s="24" customFormat="1" hidden="1" outlineLevel="1" x14ac:dyDescent="0.25">
      <c r="A180" s="44"/>
      <c r="B180" s="11" t="str">
        <f>CONCATENATE("          ", "5525", " - ", "FREIGHT-IN-TEST FORMS")</f>
        <v xml:space="preserve">          5525 - FREIGHT-IN-TEST FORMS</v>
      </c>
      <c r="C180" s="11"/>
      <c r="D180" s="2"/>
      <c r="E180" s="2"/>
      <c r="F180" s="19">
        <f t="shared" si="31"/>
        <v>0</v>
      </c>
      <c r="G180" s="2"/>
      <c r="H180" s="2"/>
      <c r="I180" s="2"/>
      <c r="J180" s="19">
        <f t="shared" si="32"/>
        <v>0</v>
      </c>
      <c r="K180" s="2"/>
      <c r="L180" s="2">
        <f t="shared" si="33"/>
        <v>0</v>
      </c>
      <c r="M180" s="2"/>
      <c r="N180" s="19">
        <f t="shared" si="34"/>
        <v>0</v>
      </c>
      <c r="O180" s="11"/>
      <c r="P180" s="2">
        <v>48.14</v>
      </c>
      <c r="Q180" s="2"/>
      <c r="R180" s="19">
        <f t="shared" si="35"/>
        <v>7.2881357630902073E-6</v>
      </c>
      <c r="S180" s="2"/>
      <c r="T180" s="2">
        <v>622.41</v>
      </c>
      <c r="U180" s="2"/>
      <c r="V180" s="19">
        <f t="shared" si="36"/>
        <v>2.8640651733033616E-5</v>
      </c>
      <c r="W180" s="2"/>
      <c r="X180" s="2">
        <f t="shared" si="37"/>
        <v>-574.27</v>
      </c>
      <c r="Y180" s="2"/>
      <c r="Z180" s="19">
        <f t="shared" si="38"/>
        <v>-0.92265548432705136</v>
      </c>
    </row>
    <row r="181" spans="1:26" s="24" customFormat="1" hidden="1" outlineLevel="1" x14ac:dyDescent="0.25">
      <c r="A181" s="44"/>
      <c r="B181" s="11" t="str">
        <f>CONCATENATE("          ", "5526", " - ", "FREIGHT-IN-WRITING INSTRUMENTS")</f>
        <v xml:space="preserve">          5526 - FREIGHT-IN-WRITING INSTRUMENTS</v>
      </c>
      <c r="C181" s="11"/>
      <c r="D181" s="2"/>
      <c r="E181" s="2"/>
      <c r="F181" s="19">
        <f t="shared" si="31"/>
        <v>0</v>
      </c>
      <c r="G181" s="2"/>
      <c r="H181" s="2"/>
      <c r="I181" s="2"/>
      <c r="J181" s="19">
        <f t="shared" si="32"/>
        <v>0</v>
      </c>
      <c r="K181" s="2"/>
      <c r="L181" s="2">
        <f t="shared" si="33"/>
        <v>0</v>
      </c>
      <c r="M181" s="2"/>
      <c r="N181" s="19">
        <f t="shared" si="34"/>
        <v>0</v>
      </c>
      <c r="O181" s="11"/>
      <c r="P181" s="2"/>
      <c r="Q181" s="2"/>
      <c r="R181" s="19">
        <f t="shared" si="35"/>
        <v>0</v>
      </c>
      <c r="S181" s="2"/>
      <c r="T181" s="2">
        <v>260.35000000000002</v>
      </c>
      <c r="U181" s="2"/>
      <c r="V181" s="19">
        <f t="shared" si="36"/>
        <v>1.1980195817379707E-5</v>
      </c>
      <c r="W181" s="2"/>
      <c r="X181" s="2">
        <f t="shared" si="37"/>
        <v>-260.35000000000002</v>
      </c>
      <c r="Y181" s="2"/>
      <c r="Z181" s="19">
        <f t="shared" si="38"/>
        <v>-1</v>
      </c>
    </row>
    <row r="182" spans="1:26" s="24" customFormat="1" hidden="1" outlineLevel="1" x14ac:dyDescent="0.25">
      <c r="A182" s="44"/>
      <c r="B182" s="11" t="str">
        <f>CONCATENATE("          ", "5527", " - ", "FREIGHT-IN-SCHOOL SUPPLIES")</f>
        <v xml:space="preserve">          5527 - FREIGHT-IN-SCHOOL SUPPLIES</v>
      </c>
      <c r="C182" s="11"/>
      <c r="D182" s="2"/>
      <c r="E182" s="2"/>
      <c r="F182" s="19">
        <f t="shared" si="31"/>
        <v>0</v>
      </c>
      <c r="G182" s="2"/>
      <c r="H182" s="2">
        <v>321.92</v>
      </c>
      <c r="I182" s="2"/>
      <c r="J182" s="19">
        <f t="shared" si="32"/>
        <v>8.810391502084007E-5</v>
      </c>
      <c r="K182" s="2"/>
      <c r="L182" s="2">
        <f t="shared" si="33"/>
        <v>-321.92</v>
      </c>
      <c r="M182" s="2"/>
      <c r="N182" s="19">
        <f t="shared" si="34"/>
        <v>-1</v>
      </c>
      <c r="O182" s="11"/>
      <c r="P182" s="2">
        <v>177.5</v>
      </c>
      <c r="Q182" s="2"/>
      <c r="R182" s="19">
        <f t="shared" si="35"/>
        <v>2.6872540464239964E-5</v>
      </c>
      <c r="S182" s="2"/>
      <c r="T182" s="2">
        <v>1219.8399999999999</v>
      </c>
      <c r="U182" s="2"/>
      <c r="V182" s="19">
        <f t="shared" si="36"/>
        <v>5.6131830481553523E-5</v>
      </c>
      <c r="W182" s="2"/>
      <c r="X182" s="2">
        <f t="shared" si="37"/>
        <v>-1042.3399999999999</v>
      </c>
      <c r="Y182" s="2"/>
      <c r="Z182" s="19">
        <f t="shared" si="38"/>
        <v>-0.85448911332633792</v>
      </c>
    </row>
    <row r="183" spans="1:26" s="24" customFormat="1" hidden="1" outlineLevel="1" x14ac:dyDescent="0.25">
      <c r="A183" s="44"/>
      <c r="B183" s="11" t="str">
        <f>CONCATENATE("          ", "5528", " - ", "FREIGHT-IN-ART/TECH")</f>
        <v xml:space="preserve">          5528 - FREIGHT-IN-ART/TECH</v>
      </c>
      <c r="C183" s="11"/>
      <c r="D183" s="2">
        <v>48.53</v>
      </c>
      <c r="E183" s="2"/>
      <c r="F183" s="19">
        <f t="shared" si="31"/>
        <v>3.3186896352631527E-5</v>
      </c>
      <c r="G183" s="2"/>
      <c r="H183" s="2">
        <v>220.82</v>
      </c>
      <c r="I183" s="2"/>
      <c r="J183" s="19">
        <f t="shared" si="32"/>
        <v>6.0434600257523304E-5</v>
      </c>
      <c r="K183" s="2"/>
      <c r="L183" s="2">
        <f t="shared" si="33"/>
        <v>-172.29</v>
      </c>
      <c r="M183" s="2"/>
      <c r="N183" s="19">
        <f t="shared" si="34"/>
        <v>-0.78022824019563441</v>
      </c>
      <c r="O183" s="11"/>
      <c r="P183" s="2">
        <v>338.74</v>
      </c>
      <c r="Q183" s="2"/>
      <c r="R183" s="19">
        <f t="shared" si="35"/>
        <v>5.1283404827361381E-5</v>
      </c>
      <c r="S183" s="2"/>
      <c r="T183" s="2">
        <v>1331.46</v>
      </c>
      <c r="U183" s="2"/>
      <c r="V183" s="19">
        <f t="shared" si="36"/>
        <v>6.1268106483611991E-5</v>
      </c>
      <c r="W183" s="2"/>
      <c r="X183" s="2">
        <f t="shared" si="37"/>
        <v>-992.72</v>
      </c>
      <c r="Y183" s="2"/>
      <c r="Z183" s="19">
        <f t="shared" si="38"/>
        <v>-0.74558755050846437</v>
      </c>
    </row>
    <row r="184" spans="1:26" s="24" customFormat="1" hidden="1" outlineLevel="1" x14ac:dyDescent="0.25">
      <c r="A184" s="44"/>
      <c r="B184" s="11" t="str">
        <f>CONCATENATE("          ", "5540", " - ", "FREIGHT-IN-LOGO CLOTHING")</f>
        <v xml:space="preserve">          5540 - FREIGHT-IN-LOGO CLOTHING</v>
      </c>
      <c r="C184" s="11"/>
      <c r="D184" s="2">
        <v>347.67</v>
      </c>
      <c r="E184" s="2"/>
      <c r="F184" s="19">
        <f t="shared" si="31"/>
        <v>2.377516640205935E-4</v>
      </c>
      <c r="G184" s="2"/>
      <c r="H184" s="2">
        <v>1400.5</v>
      </c>
      <c r="I184" s="2"/>
      <c r="J184" s="19">
        <f t="shared" si="32"/>
        <v>3.8329253537116833E-4</v>
      </c>
      <c r="K184" s="2"/>
      <c r="L184" s="2">
        <f t="shared" si="33"/>
        <v>-1052.83</v>
      </c>
      <c r="M184" s="2"/>
      <c r="N184" s="19">
        <f t="shared" si="34"/>
        <v>-0.75175294537665116</v>
      </c>
      <c r="O184" s="11"/>
      <c r="P184" s="2">
        <v>5790.63</v>
      </c>
      <c r="Q184" s="2"/>
      <c r="R184" s="19">
        <f t="shared" si="35"/>
        <v>8.7667007880812319E-4</v>
      </c>
      <c r="S184" s="2"/>
      <c r="T184" s="2">
        <v>25677.89</v>
      </c>
      <c r="U184" s="2"/>
      <c r="V184" s="19">
        <f t="shared" si="36"/>
        <v>1.1815869036955488E-3</v>
      </c>
      <c r="W184" s="2"/>
      <c r="X184" s="2">
        <f t="shared" si="37"/>
        <v>-19887.259999999998</v>
      </c>
      <c r="Y184" s="2"/>
      <c r="Z184" s="19">
        <f t="shared" si="38"/>
        <v>-0.77448964848747304</v>
      </c>
    </row>
    <row r="185" spans="1:26" s="24" customFormat="1" hidden="1" outlineLevel="1" x14ac:dyDescent="0.25">
      <c r="A185" s="44"/>
      <c r="B185" s="11" t="str">
        <f>CONCATENATE("          ", "5541", " - ", "FREIGHT-IN-LOGO GIFTS")</f>
        <v xml:space="preserve">          5541 - FREIGHT-IN-LOGO GIFTS</v>
      </c>
      <c r="C185" s="11"/>
      <c r="D185" s="2">
        <v>182.93</v>
      </c>
      <c r="E185" s="2"/>
      <c r="F185" s="19">
        <f t="shared" si="31"/>
        <v>1.2509538326369019E-4</v>
      </c>
      <c r="G185" s="2"/>
      <c r="H185" s="2">
        <v>24.8</v>
      </c>
      <c r="I185" s="2"/>
      <c r="J185" s="19">
        <f t="shared" si="32"/>
        <v>6.7873294374901637E-6</v>
      </c>
      <c r="K185" s="2"/>
      <c r="L185" s="2">
        <f t="shared" si="33"/>
        <v>158.13</v>
      </c>
      <c r="M185" s="2"/>
      <c r="N185" s="19">
        <f t="shared" si="34"/>
        <v>6.3762096774193546</v>
      </c>
      <c r="O185" s="11"/>
      <c r="P185" s="2">
        <v>1702.87</v>
      </c>
      <c r="Q185" s="2"/>
      <c r="R185" s="19">
        <f t="shared" si="35"/>
        <v>2.5780531256529749E-4</v>
      </c>
      <c r="S185" s="2"/>
      <c r="T185" s="2">
        <v>3587.57</v>
      </c>
      <c r="U185" s="2"/>
      <c r="V185" s="19">
        <f t="shared" si="36"/>
        <v>1.6508465952969816E-4</v>
      </c>
      <c r="W185" s="2"/>
      <c r="X185" s="2">
        <f t="shared" si="37"/>
        <v>-1884.7000000000003</v>
      </c>
      <c r="Y185" s="2"/>
      <c r="Z185" s="19">
        <f t="shared" si="38"/>
        <v>-0.52534166580721775</v>
      </c>
    </row>
    <row r="186" spans="1:26" s="24" customFormat="1" hidden="1" outlineLevel="1" x14ac:dyDescent="0.25">
      <c r="A186" s="44"/>
      <c r="B186" s="11" t="str">
        <f>CONCATENATE("          ", "5542", " - ", "FREIGHT-IN-EVERYDAY GIFTS")</f>
        <v xml:space="preserve">          5542 - FREIGHT-IN-EVERYDAY GIFTS</v>
      </c>
      <c r="C186" s="11"/>
      <c r="D186" s="2">
        <v>187.38</v>
      </c>
      <c r="E186" s="2"/>
      <c r="F186" s="19">
        <f t="shared" si="31"/>
        <v>1.2813848420680188E-4</v>
      </c>
      <c r="G186" s="2"/>
      <c r="H186" s="2"/>
      <c r="I186" s="2"/>
      <c r="J186" s="19">
        <f t="shared" si="32"/>
        <v>0</v>
      </c>
      <c r="K186" s="2"/>
      <c r="L186" s="2">
        <f t="shared" si="33"/>
        <v>187.38</v>
      </c>
      <c r="M186" s="2"/>
      <c r="N186" s="19">
        <f t="shared" si="34"/>
        <v>0</v>
      </c>
      <c r="O186" s="11"/>
      <c r="P186" s="2">
        <v>383.93</v>
      </c>
      <c r="Q186" s="2"/>
      <c r="R186" s="19">
        <f t="shared" si="35"/>
        <v>5.812492653766563E-5</v>
      </c>
      <c r="S186" s="2"/>
      <c r="T186" s="2">
        <v>1708.33</v>
      </c>
      <c r="U186" s="2"/>
      <c r="V186" s="19">
        <f t="shared" si="36"/>
        <v>7.8610055389684167E-5</v>
      </c>
      <c r="W186" s="2"/>
      <c r="X186" s="2">
        <f t="shared" si="37"/>
        <v>-1324.3999999999999</v>
      </c>
      <c r="Y186" s="2"/>
      <c r="Z186" s="19">
        <f t="shared" si="38"/>
        <v>-0.77526004928790104</v>
      </c>
    </row>
    <row r="187" spans="1:26" s="24" customFormat="1" hidden="1" outlineLevel="1" x14ac:dyDescent="0.25">
      <c r="A187" s="44"/>
      <c r="B187" s="11" t="str">
        <f>CONCATENATE("          ", "5543", " - ", "FREIGHT-IN-CARDS")</f>
        <v xml:space="preserve">          5543 - FREIGHT-IN-CARDS</v>
      </c>
      <c r="C187" s="11"/>
      <c r="D187" s="2">
        <v>1992.81</v>
      </c>
      <c r="E187" s="2"/>
      <c r="F187" s="19">
        <f t="shared" si="31"/>
        <v>1.362768986616271E-3</v>
      </c>
      <c r="G187" s="2"/>
      <c r="H187" s="2"/>
      <c r="I187" s="2"/>
      <c r="J187" s="19">
        <f t="shared" si="32"/>
        <v>0</v>
      </c>
      <c r="K187" s="2"/>
      <c r="L187" s="2">
        <f t="shared" si="33"/>
        <v>1992.81</v>
      </c>
      <c r="M187" s="2"/>
      <c r="N187" s="19">
        <f t="shared" si="34"/>
        <v>0</v>
      </c>
      <c r="O187" s="11"/>
      <c r="P187" s="2">
        <v>9110.5300000000007</v>
      </c>
      <c r="Q187" s="2"/>
      <c r="R187" s="19">
        <f t="shared" si="35"/>
        <v>1.3792849919756177E-3</v>
      </c>
      <c r="S187" s="2"/>
      <c r="T187" s="2">
        <v>121.35</v>
      </c>
      <c r="U187" s="2"/>
      <c r="V187" s="19">
        <f t="shared" si="36"/>
        <v>5.5840090740888308E-6</v>
      </c>
      <c r="W187" s="2"/>
      <c r="X187" s="2">
        <f t="shared" si="37"/>
        <v>8989.18</v>
      </c>
      <c r="Y187" s="2"/>
      <c r="Z187" s="19">
        <f t="shared" si="38"/>
        <v>74.07647301194892</v>
      </c>
    </row>
    <row r="188" spans="1:26" s="24" customFormat="1" hidden="1" outlineLevel="1" x14ac:dyDescent="0.25">
      <c r="A188" s="44"/>
      <c r="B188" s="11" t="str">
        <f>CONCATENATE("          ", "5544", " - ", "FREIGHT-IN-ACCESSORIES")</f>
        <v xml:space="preserve">          5544 - FREIGHT-IN-ACCESSORIES</v>
      </c>
      <c r="C188" s="11"/>
      <c r="D188" s="2"/>
      <c r="E188" s="2"/>
      <c r="F188" s="19">
        <f t="shared" si="31"/>
        <v>0</v>
      </c>
      <c r="G188" s="2"/>
      <c r="H188" s="2"/>
      <c r="I188" s="2"/>
      <c r="J188" s="19">
        <f t="shared" si="32"/>
        <v>0</v>
      </c>
      <c r="K188" s="2"/>
      <c r="L188" s="2">
        <f t="shared" si="33"/>
        <v>0</v>
      </c>
      <c r="M188" s="2"/>
      <c r="N188" s="19">
        <f t="shared" si="34"/>
        <v>0</v>
      </c>
      <c r="O188" s="11"/>
      <c r="P188" s="2"/>
      <c r="Q188" s="2"/>
      <c r="R188" s="19">
        <f t="shared" si="35"/>
        <v>0</v>
      </c>
      <c r="S188" s="2"/>
      <c r="T188" s="2">
        <v>442.31</v>
      </c>
      <c r="U188" s="2"/>
      <c r="V188" s="19">
        <f t="shared" si="36"/>
        <v>2.0353218405935156E-5</v>
      </c>
      <c r="W188" s="2"/>
      <c r="X188" s="2">
        <f t="shared" si="37"/>
        <v>-442.31</v>
      </c>
      <c r="Y188" s="2"/>
      <c r="Z188" s="19">
        <f t="shared" si="38"/>
        <v>-1</v>
      </c>
    </row>
    <row r="189" spans="1:26" s="24" customFormat="1" hidden="1" outlineLevel="1" x14ac:dyDescent="0.25">
      <c r="A189" s="44"/>
      <c r="B189" s="11" t="str">
        <f>CONCATENATE("          ", "5545", " - ", "FREIGHT-IN-SPECIAL ORDERS")</f>
        <v xml:space="preserve">          5545 - FREIGHT-IN-SPECIAL ORDERS</v>
      </c>
      <c r="C189" s="11"/>
      <c r="D189" s="2"/>
      <c r="E189" s="2"/>
      <c r="F189" s="19">
        <f t="shared" si="31"/>
        <v>0</v>
      </c>
      <c r="G189" s="2"/>
      <c r="H189" s="2">
        <v>14.23</v>
      </c>
      <c r="I189" s="2"/>
      <c r="J189" s="19">
        <f t="shared" si="32"/>
        <v>3.8945039473985897E-6</v>
      </c>
      <c r="K189" s="2"/>
      <c r="L189" s="2">
        <f t="shared" si="33"/>
        <v>-14.23</v>
      </c>
      <c r="M189" s="2"/>
      <c r="N189" s="19">
        <f t="shared" si="34"/>
        <v>-1</v>
      </c>
      <c r="O189" s="11"/>
      <c r="P189" s="2">
        <v>1113.79</v>
      </c>
      <c r="Q189" s="2"/>
      <c r="R189" s="19">
        <f t="shared" si="35"/>
        <v>1.6862178503473707E-4</v>
      </c>
      <c r="S189" s="2"/>
      <c r="T189" s="2">
        <v>841.9</v>
      </c>
      <c r="U189" s="2"/>
      <c r="V189" s="19">
        <f t="shared" si="36"/>
        <v>3.8740644742277604E-5</v>
      </c>
      <c r="W189" s="2"/>
      <c r="X189" s="2">
        <f t="shared" si="37"/>
        <v>271.89</v>
      </c>
      <c r="Y189" s="2"/>
      <c r="Z189" s="19">
        <f t="shared" si="38"/>
        <v>0.32294809359781446</v>
      </c>
    </row>
    <row r="190" spans="1:26" s="24" customFormat="1" hidden="1" outlineLevel="1" x14ac:dyDescent="0.25">
      <c r="A190" s="44"/>
      <c r="B190" s="11" t="str">
        <f>CONCATENATE("          ", "5581", " - ", "FREIGHT-IN-ELECTRONICS")</f>
        <v xml:space="preserve">          5581 - FREIGHT-IN-ELECTRONICS</v>
      </c>
      <c r="C190" s="11"/>
      <c r="D190" s="2"/>
      <c r="E190" s="2"/>
      <c r="F190" s="19">
        <f t="shared" si="31"/>
        <v>0</v>
      </c>
      <c r="G190" s="2"/>
      <c r="H190" s="2"/>
      <c r="I190" s="2"/>
      <c r="J190" s="19">
        <f t="shared" si="32"/>
        <v>0</v>
      </c>
      <c r="K190" s="2"/>
      <c r="L190" s="2">
        <f t="shared" si="33"/>
        <v>0</v>
      </c>
      <c r="M190" s="2"/>
      <c r="N190" s="19">
        <f t="shared" si="34"/>
        <v>0</v>
      </c>
      <c r="O190" s="11"/>
      <c r="P190" s="2">
        <v>31</v>
      </c>
      <c r="Q190" s="2"/>
      <c r="R190" s="19">
        <f t="shared" si="35"/>
        <v>4.6932324191066975E-6</v>
      </c>
      <c r="S190" s="2"/>
      <c r="T190" s="2">
        <v>105.75</v>
      </c>
      <c r="U190" s="2"/>
      <c r="V190" s="19">
        <f t="shared" si="36"/>
        <v>4.8661636554173374E-6</v>
      </c>
      <c r="W190" s="2"/>
      <c r="X190" s="2">
        <f t="shared" si="37"/>
        <v>-74.75</v>
      </c>
      <c r="Y190" s="2"/>
      <c r="Z190" s="19">
        <f t="shared" si="38"/>
        <v>-0.70685579196217496</v>
      </c>
    </row>
    <row r="191" spans="1:26" s="24" customFormat="1" hidden="1" outlineLevel="1" x14ac:dyDescent="0.25">
      <c r="A191" s="44"/>
      <c r="B191" s="11" t="str">
        <f>CONCATENATE("          ", "5582", " - ", "FREIGHT-IN-COMPUTER HARDWARE")</f>
        <v xml:space="preserve">          5582 - FREIGHT-IN-COMPUTER HARDWARE</v>
      </c>
      <c r="C191" s="11"/>
      <c r="D191" s="2"/>
      <c r="E191" s="2"/>
      <c r="F191" s="19">
        <f t="shared" si="31"/>
        <v>0</v>
      </c>
      <c r="G191" s="2"/>
      <c r="H191" s="2"/>
      <c r="I191" s="2"/>
      <c r="J191" s="19">
        <f t="shared" si="32"/>
        <v>0</v>
      </c>
      <c r="K191" s="2"/>
      <c r="L191" s="2">
        <f t="shared" si="33"/>
        <v>0</v>
      </c>
      <c r="M191" s="2"/>
      <c r="N191" s="19">
        <f t="shared" si="34"/>
        <v>0</v>
      </c>
      <c r="O191" s="11"/>
      <c r="P191" s="2">
        <v>94</v>
      </c>
      <c r="Q191" s="2"/>
      <c r="R191" s="19">
        <f t="shared" si="35"/>
        <v>1.4231091851484826E-5</v>
      </c>
      <c r="S191" s="2"/>
      <c r="T191" s="2">
        <v>4.84</v>
      </c>
      <c r="U191" s="2"/>
      <c r="V191" s="19">
        <f t="shared" si="36"/>
        <v>2.2271614271602756E-7</v>
      </c>
      <c r="W191" s="2"/>
      <c r="X191" s="2">
        <f t="shared" si="37"/>
        <v>89.16</v>
      </c>
      <c r="Y191" s="2"/>
      <c r="Z191" s="19">
        <f t="shared" si="38"/>
        <v>18.421487603305785</v>
      </c>
    </row>
    <row r="192" spans="1:26" s="24" customFormat="1" hidden="1" outlineLevel="1" x14ac:dyDescent="0.25">
      <c r="A192" s="44"/>
      <c r="B192" s="11" t="str">
        <f>CONCATENATE("          ", "5583", " - ", "FREIGHT-IN-COMPUTER EQUIPMENT")</f>
        <v xml:space="preserve">          5583 - FREIGHT-IN-COMPUTER EQUIPMENT</v>
      </c>
      <c r="C192" s="11"/>
      <c r="D192" s="2">
        <v>10.06</v>
      </c>
      <c r="E192" s="2"/>
      <c r="F192" s="19">
        <f t="shared" si="31"/>
        <v>6.879459660158112E-6</v>
      </c>
      <c r="G192" s="2"/>
      <c r="H192" s="2"/>
      <c r="I192" s="2"/>
      <c r="J192" s="19">
        <f t="shared" si="32"/>
        <v>0</v>
      </c>
      <c r="K192" s="2"/>
      <c r="L192" s="2">
        <f t="shared" si="33"/>
        <v>10.06</v>
      </c>
      <c r="M192" s="2"/>
      <c r="N192" s="19">
        <f t="shared" si="34"/>
        <v>0</v>
      </c>
      <c r="O192" s="11"/>
      <c r="P192" s="2">
        <v>242.46</v>
      </c>
      <c r="Q192" s="2"/>
      <c r="R192" s="19">
        <f t="shared" si="35"/>
        <v>3.6707133301180965E-5</v>
      </c>
      <c r="S192" s="2"/>
      <c r="T192" s="2">
        <v>49.12</v>
      </c>
      <c r="U192" s="2"/>
      <c r="V192" s="19">
        <f t="shared" si="36"/>
        <v>2.260292754175883E-6</v>
      </c>
      <c r="W192" s="2"/>
      <c r="X192" s="2">
        <f t="shared" si="37"/>
        <v>193.34</v>
      </c>
      <c r="Y192" s="2"/>
      <c r="Z192" s="19">
        <f t="shared" si="38"/>
        <v>3.9360749185667756</v>
      </c>
    </row>
    <row r="193" spans="1:26" s="24" customFormat="1" hidden="1" outlineLevel="1" x14ac:dyDescent="0.25">
      <c r="A193" s="44"/>
      <c r="B193" s="11" t="str">
        <f>CONCATENATE("          ", "5586", " - ", "FREIGHT-IN-COMPUTER SUPPLIES")</f>
        <v xml:space="preserve">          5586 - FREIGHT-IN-COMPUTER SUPPLIES</v>
      </c>
      <c r="C193" s="11"/>
      <c r="D193" s="2"/>
      <c r="E193" s="2"/>
      <c r="F193" s="19">
        <f t="shared" si="31"/>
        <v>0</v>
      </c>
      <c r="G193" s="2"/>
      <c r="H193" s="2">
        <v>33.31</v>
      </c>
      <c r="I193" s="2"/>
      <c r="J193" s="19">
        <f t="shared" si="32"/>
        <v>9.11636869204828E-6</v>
      </c>
      <c r="K193" s="2"/>
      <c r="L193" s="2">
        <f t="shared" si="33"/>
        <v>-33.31</v>
      </c>
      <c r="M193" s="2"/>
      <c r="N193" s="19">
        <f t="shared" si="34"/>
        <v>-1</v>
      </c>
      <c r="O193" s="11"/>
      <c r="P193" s="2">
        <v>24.12</v>
      </c>
      <c r="Q193" s="2"/>
      <c r="R193" s="19">
        <f t="shared" si="35"/>
        <v>3.6516376112533404E-6</v>
      </c>
      <c r="S193" s="2"/>
      <c r="T193" s="2">
        <v>195.82</v>
      </c>
      <c r="U193" s="2"/>
      <c r="V193" s="19">
        <f t="shared" si="36"/>
        <v>9.0108006336058914E-6</v>
      </c>
      <c r="W193" s="2"/>
      <c r="X193" s="2">
        <f t="shared" si="37"/>
        <v>-171.7</v>
      </c>
      <c r="Y193" s="2"/>
      <c r="Z193" s="19">
        <f t="shared" si="38"/>
        <v>-0.87682565621489117</v>
      </c>
    </row>
    <row r="194" spans="1:26" s="24" customFormat="1" hidden="1" outlineLevel="1" x14ac:dyDescent="0.25">
      <c r="A194" s="44"/>
      <c r="B194" s="11" t="str">
        <f>CONCATENATE("          ", "5592", " - ", "FREIGHT-IN-GRAD MERCH")</f>
        <v xml:space="preserve">          5592 - FREIGHT-IN-GRAD MERCH</v>
      </c>
      <c r="C194" s="11"/>
      <c r="D194" s="2"/>
      <c r="E194" s="2"/>
      <c r="F194" s="19">
        <f t="shared" si="31"/>
        <v>0</v>
      </c>
      <c r="G194" s="2"/>
      <c r="H194" s="2"/>
      <c r="I194" s="2"/>
      <c r="J194" s="19">
        <f t="shared" si="32"/>
        <v>0</v>
      </c>
      <c r="K194" s="2"/>
      <c r="L194" s="2">
        <f t="shared" si="33"/>
        <v>0</v>
      </c>
      <c r="M194" s="2"/>
      <c r="N194" s="19">
        <f t="shared" si="34"/>
        <v>0</v>
      </c>
      <c r="O194" s="11"/>
      <c r="P194" s="2"/>
      <c r="Q194" s="2"/>
      <c r="R194" s="19">
        <f t="shared" si="35"/>
        <v>0</v>
      </c>
      <c r="S194" s="2"/>
      <c r="T194" s="2">
        <v>105.78</v>
      </c>
      <c r="U194" s="2"/>
      <c r="V194" s="19">
        <f t="shared" si="36"/>
        <v>4.8675441273763216E-6</v>
      </c>
      <c r="W194" s="2"/>
      <c r="X194" s="2">
        <f t="shared" si="37"/>
        <v>-105.78</v>
      </c>
      <c r="Y194" s="2"/>
      <c r="Z194" s="19">
        <f t="shared" si="38"/>
        <v>-1</v>
      </c>
    </row>
    <row r="195" spans="1:26" x14ac:dyDescent="0.25">
      <c r="A195" s="9"/>
      <c r="B195" s="10"/>
      <c r="C195" s="10"/>
      <c r="D195" s="3"/>
      <c r="E195" s="3"/>
      <c r="F195" s="8"/>
      <c r="G195" s="3"/>
      <c r="H195" s="3"/>
      <c r="I195" s="3"/>
      <c r="J195" s="8"/>
      <c r="K195" s="3"/>
      <c r="L195" s="3"/>
      <c r="M195" s="3"/>
      <c r="N195" s="8"/>
      <c r="O195" s="10"/>
      <c r="P195" s="3"/>
      <c r="Q195" s="3"/>
      <c r="R195" s="8"/>
      <c r="S195" s="3"/>
      <c r="T195" s="3"/>
      <c r="U195" s="3"/>
      <c r="V195" s="8"/>
      <c r="W195" s="3"/>
      <c r="X195" s="3"/>
      <c r="Y195" s="3"/>
      <c r="Z195" s="8"/>
    </row>
    <row r="196" spans="1:26" s="23" customFormat="1" x14ac:dyDescent="0.25">
      <c r="A196" s="10"/>
      <c r="B196" s="28" t="s">
        <v>6</v>
      </c>
      <c r="C196" s="28"/>
      <c r="D196" s="20">
        <f>D12-D135</f>
        <v>547117.12000000023</v>
      </c>
      <c r="E196" s="14"/>
      <c r="F196" s="22">
        <f>IF(D$12=0,0,D196/D$12)</f>
        <v>0.37414216266619149</v>
      </c>
      <c r="G196" s="14"/>
      <c r="H196" s="20">
        <f>H12-H135</f>
        <v>1880328.1900000016</v>
      </c>
      <c r="I196" s="14"/>
      <c r="J196" s="22">
        <f>IF(H$12=0,0,H196/H$12)</f>
        <v>0.5146131804890971</v>
      </c>
      <c r="K196" s="15"/>
      <c r="L196" s="20">
        <f>+D196-H196</f>
        <v>-1333211.0700000012</v>
      </c>
      <c r="M196" s="15"/>
      <c r="N196" s="22">
        <f>IF(H196=0,0,L196/H196)</f>
        <v>-0.70903104952120088</v>
      </c>
      <c r="O196" s="29"/>
      <c r="P196" s="20">
        <f>P12-P135</f>
        <v>2460607.359999998</v>
      </c>
      <c r="Q196" s="14"/>
      <c r="R196" s="22">
        <f>IF(P$12=0,0,P196/P$12)</f>
        <v>0.37252265266595275</v>
      </c>
      <c r="S196" s="14"/>
      <c r="T196" s="20">
        <f>T12-T135</f>
        <v>12076357.269999994</v>
      </c>
      <c r="U196" s="14"/>
      <c r="V196" s="22">
        <f>IF(T$12=0,0,T196/T$12)</f>
        <v>0.55570241926344122</v>
      </c>
      <c r="W196" s="15"/>
      <c r="X196" s="20">
        <f>+P196-T196</f>
        <v>-9615749.9099999964</v>
      </c>
      <c r="Y196" s="15"/>
      <c r="Z196" s="22">
        <f>IF(T196=0,0,X196/T196)</f>
        <v>-0.79624589559695935</v>
      </c>
    </row>
    <row r="197" spans="1:26" x14ac:dyDescent="0.25">
      <c r="A197" s="9"/>
      <c r="B197" s="10"/>
      <c r="C197" s="9"/>
      <c r="D197" s="1"/>
      <c r="E197" s="1"/>
      <c r="F197" s="5"/>
      <c r="G197" s="1"/>
      <c r="H197" s="1"/>
      <c r="I197" s="1"/>
      <c r="J197" s="5"/>
      <c r="K197" s="1"/>
      <c r="L197" s="1"/>
      <c r="M197" s="1"/>
      <c r="N197" s="5"/>
      <c r="O197" s="37"/>
      <c r="P197" s="1"/>
      <c r="Q197" s="1"/>
      <c r="R197" s="5"/>
      <c r="S197" s="1"/>
      <c r="T197" s="1"/>
      <c r="U197" s="1"/>
      <c r="V197" s="5"/>
      <c r="W197" s="1"/>
      <c r="X197" s="1"/>
      <c r="Y197" s="1"/>
      <c r="Z197" s="5"/>
    </row>
    <row r="198" spans="1:26" s="23" customFormat="1" x14ac:dyDescent="0.25">
      <c r="A198" s="10"/>
      <c r="B198" s="29" t="s">
        <v>9</v>
      </c>
      <c r="C198" s="10"/>
      <c r="D198" s="21">
        <f>SUM(OSRRefD22x_0)</f>
        <v>646417.86</v>
      </c>
      <c r="E198" s="21"/>
      <c r="F198" s="35">
        <f t="shared" ref="F198:F209" si="39">IF(D$12=0,0,D198/D$12)</f>
        <v>0.442048269530391</v>
      </c>
      <c r="G198" s="21"/>
      <c r="H198" s="21">
        <f>SUM(OSRRefH22x_0)</f>
        <v>1519145.6899999995</v>
      </c>
      <c r="I198" s="21"/>
      <c r="J198" s="35">
        <f t="shared" ref="J198:J209" si="40">IF(H$12=0,0,H198/H$12)</f>
        <v>0.41576380086989123</v>
      </c>
      <c r="K198" s="4"/>
      <c r="L198" s="21">
        <f t="shared" ref="L198:L209" si="41">+D198-H198</f>
        <v>-872727.82999999949</v>
      </c>
      <c r="M198" s="4"/>
      <c r="N198" s="35">
        <f t="shared" ref="N198:N209" si="42">IF(H198=0,0,L198/H198)</f>
        <v>-0.57448593360390587</v>
      </c>
      <c r="O198" s="10"/>
      <c r="P198" s="21">
        <f>SUM(OSRRefP22x_0)</f>
        <v>4870085.5200000005</v>
      </c>
      <c r="Q198" s="21"/>
      <c r="R198" s="35">
        <f t="shared" ref="R198:R209" si="43">IF(P$12=0,0,P198/P$12)</f>
        <v>0.7373046208479388</v>
      </c>
      <c r="S198" s="21"/>
      <c r="T198" s="21">
        <f>SUM(OSRRefT22x_0)</f>
        <v>10506273.269999996</v>
      </c>
      <c r="U198" s="21"/>
      <c r="V198" s="35">
        <f t="shared" ref="V198:V209" si="44">IF(T$12=0,0,T198/T$12)</f>
        <v>0.48345385475514557</v>
      </c>
      <c r="W198" s="4"/>
      <c r="X198" s="21">
        <f t="shared" ref="X198:X209" si="45">+P198-T198</f>
        <v>-5636187.7499999953</v>
      </c>
      <c r="Y198" s="4"/>
      <c r="Z198" s="35">
        <f t="shared" ref="Z198:Z209" si="46">IF(T198=0,0,X198/T198)</f>
        <v>-0.53645927582083519</v>
      </c>
    </row>
    <row r="199" spans="1:26" s="26" customFormat="1" outlineLevel="1" collapsed="1" x14ac:dyDescent="0.25">
      <c r="A199" s="27"/>
      <c r="B199" s="13" t="str">
        <f>CONCATENATE("     ","*Benefits                                         ")</f>
        <v xml:space="preserve">     *Benefits                                         </v>
      </c>
      <c r="C199" s="13"/>
      <c r="D199" s="1">
        <f>SUM(OSRRefD22_0x_0)</f>
        <v>150871.78</v>
      </c>
      <c r="E199" s="1"/>
      <c r="F199" s="5">
        <f t="shared" si="39"/>
        <v>0.10317259685549199</v>
      </c>
      <c r="G199" s="1"/>
      <c r="H199" s="1">
        <f>SUM(OSRRefH22_0x_0)</f>
        <v>230373.41</v>
      </c>
      <c r="I199" s="1"/>
      <c r="J199" s="5">
        <f t="shared" si="40"/>
        <v>6.3049202714031888E-2</v>
      </c>
      <c r="K199" s="1"/>
      <c r="L199" s="1">
        <f t="shared" si="41"/>
        <v>-79501.63</v>
      </c>
      <c r="M199" s="1"/>
      <c r="N199" s="5">
        <f t="shared" si="42"/>
        <v>-0.34509898516499798</v>
      </c>
      <c r="O199" s="13"/>
      <c r="P199" s="1">
        <f>SUM(OSRRefP22_0x_0)</f>
        <v>1094703.47</v>
      </c>
      <c r="Q199" s="1"/>
      <c r="R199" s="5">
        <f t="shared" si="43"/>
        <v>0.16573218757137406</v>
      </c>
      <c r="S199" s="1"/>
      <c r="T199" s="1">
        <f>SUM(OSRRefT22_0x_0)</f>
        <v>1637853.95</v>
      </c>
      <c r="U199" s="1"/>
      <c r="V199" s="5">
        <f t="shared" si="44"/>
        <v>7.5367048362853198E-2</v>
      </c>
      <c r="W199" s="1"/>
      <c r="X199" s="1">
        <f t="shared" si="45"/>
        <v>-543150.48</v>
      </c>
      <c r="Y199" s="1"/>
      <c r="Z199" s="5">
        <f t="shared" si="46"/>
        <v>-0.33162326836284761</v>
      </c>
    </row>
    <row r="200" spans="1:26" s="24" customFormat="1" hidden="1" outlineLevel="2" x14ac:dyDescent="0.25">
      <c r="A200" s="25"/>
      <c r="B200" s="11" t="str">
        <f>CONCATENATE("          ", "6111", " - ", "F.I.C.A.")</f>
        <v xml:space="preserve">          6111 - F.I.C.A.</v>
      </c>
      <c r="C200" s="11"/>
      <c r="D200" s="6">
        <v>18515.070000000003</v>
      </c>
      <c r="E200" s="2"/>
      <c r="F200" s="7">
        <f t="shared" si="39"/>
        <v>1.2661399321073923E-2</v>
      </c>
      <c r="G200" s="2"/>
      <c r="H200" s="6">
        <v>30976.83</v>
      </c>
      <c r="I200" s="2"/>
      <c r="J200" s="7">
        <f t="shared" si="40"/>
        <v>8.4778205701261464E-3</v>
      </c>
      <c r="K200" s="2"/>
      <c r="L200" s="6">
        <f t="shared" si="41"/>
        <v>-12461.759999999998</v>
      </c>
      <c r="M200" s="2"/>
      <c r="N200" s="7">
        <f t="shared" si="42"/>
        <v>-0.40229293959388346</v>
      </c>
      <c r="O200" s="11"/>
      <c r="P200" s="6">
        <v>152374.04</v>
      </c>
      <c r="Q200" s="2"/>
      <c r="R200" s="7">
        <f t="shared" si="43"/>
        <v>2.3068605947040671E-2</v>
      </c>
      <c r="S200" s="2"/>
      <c r="T200" s="6">
        <v>283142.46000000002</v>
      </c>
      <c r="U200" s="2"/>
      <c r="V200" s="7">
        <f t="shared" si="44"/>
        <v>1.3029007547588249E-2</v>
      </c>
      <c r="W200" s="2"/>
      <c r="X200" s="6">
        <f t="shared" si="45"/>
        <v>-130768.42000000001</v>
      </c>
      <c r="Y200" s="2"/>
      <c r="Z200" s="7">
        <f t="shared" si="46"/>
        <v>-0.46184673255999825</v>
      </c>
    </row>
    <row r="201" spans="1:26" s="24" customFormat="1" hidden="1" outlineLevel="2" x14ac:dyDescent="0.25">
      <c r="A201" s="25"/>
      <c r="B201" s="11" t="str">
        <f>CONCATENATE("          ", "6112", " - ", "COMPENSATION INSURANCE")</f>
        <v xml:space="preserve">          6112 - COMPENSATION INSURANCE</v>
      </c>
      <c r="C201" s="11"/>
      <c r="D201" s="6">
        <v>1923.58</v>
      </c>
      <c r="E201" s="2"/>
      <c r="F201" s="7">
        <f t="shared" si="39"/>
        <v>1.3154265420563557E-3</v>
      </c>
      <c r="G201" s="2"/>
      <c r="H201" s="6">
        <v>17348.929999999997</v>
      </c>
      <c r="I201" s="2"/>
      <c r="J201" s="7">
        <f t="shared" si="40"/>
        <v>4.7481009394337182E-3</v>
      </c>
      <c r="K201" s="2"/>
      <c r="L201" s="6">
        <f t="shared" si="41"/>
        <v>-15425.349999999997</v>
      </c>
      <c r="M201" s="2"/>
      <c r="N201" s="7">
        <f t="shared" si="42"/>
        <v>-0.88912399784885865</v>
      </c>
      <c r="O201" s="11"/>
      <c r="P201" s="6">
        <v>59153.78</v>
      </c>
      <c r="Q201" s="2"/>
      <c r="R201" s="7">
        <f t="shared" si="43"/>
        <v>8.9555625164098509E-3</v>
      </c>
      <c r="S201" s="2"/>
      <c r="T201" s="6">
        <v>123668.87999999999</v>
      </c>
      <c r="U201" s="2"/>
      <c r="V201" s="7">
        <f t="shared" si="44"/>
        <v>5.6907140346304308E-3</v>
      </c>
      <c r="W201" s="2"/>
      <c r="X201" s="6">
        <f t="shared" si="45"/>
        <v>-64515.099999999991</v>
      </c>
      <c r="Y201" s="2"/>
      <c r="Z201" s="7">
        <f t="shared" si="46"/>
        <v>-0.5216761080071235</v>
      </c>
    </row>
    <row r="202" spans="1:26" s="24" customFormat="1" hidden="1" outlineLevel="2" x14ac:dyDescent="0.25">
      <c r="A202" s="25"/>
      <c r="B202" s="11" t="str">
        <f>CONCATENATE("          ", "6113", " - ", "GROUP INSURANCE")</f>
        <v xml:space="preserve">          6113 - GROUP INSURANCE</v>
      </c>
      <c r="C202" s="11"/>
      <c r="D202" s="6">
        <v>77850.680000000008</v>
      </c>
      <c r="E202" s="2"/>
      <c r="F202" s="7">
        <f t="shared" si="39"/>
        <v>5.3237635444918281E-2</v>
      </c>
      <c r="G202" s="2"/>
      <c r="H202" s="6">
        <v>101786.83</v>
      </c>
      <c r="I202" s="2"/>
      <c r="J202" s="7">
        <f t="shared" si="40"/>
        <v>2.7857288209992215E-2</v>
      </c>
      <c r="K202" s="2"/>
      <c r="L202" s="6">
        <f t="shared" si="41"/>
        <v>-23936.149999999994</v>
      </c>
      <c r="M202" s="2"/>
      <c r="N202" s="7">
        <f t="shared" si="42"/>
        <v>-0.23515959775935644</v>
      </c>
      <c r="O202" s="11"/>
      <c r="P202" s="6">
        <v>526457.66</v>
      </c>
      <c r="Q202" s="2"/>
      <c r="R202" s="7">
        <f t="shared" si="43"/>
        <v>7.9702843780614568E-2</v>
      </c>
      <c r="S202" s="2"/>
      <c r="T202" s="6">
        <v>670386.47</v>
      </c>
      <c r="U202" s="2"/>
      <c r="V202" s="7">
        <f t="shared" si="44"/>
        <v>3.0848324117234281E-2</v>
      </c>
      <c r="W202" s="2"/>
      <c r="X202" s="6">
        <f t="shared" si="45"/>
        <v>-143928.80999999994</v>
      </c>
      <c r="Y202" s="2"/>
      <c r="Z202" s="7">
        <f t="shared" si="46"/>
        <v>-0.21469527868007232</v>
      </c>
    </row>
    <row r="203" spans="1:26" s="24" customFormat="1" hidden="1" outlineLevel="2" x14ac:dyDescent="0.25">
      <c r="A203" s="25"/>
      <c r="B203" s="11" t="str">
        <f>CONCATENATE("          ", "6114", " - ", "STATE UNEMPLOYMENT INSURANCE")</f>
        <v xml:space="preserve">          6114 - STATE UNEMPLOYMENT INSURANCE</v>
      </c>
      <c r="C203" s="11"/>
      <c r="D203" s="6">
        <v>1500.91</v>
      </c>
      <c r="E203" s="2"/>
      <c r="F203" s="7">
        <f t="shared" si="39"/>
        <v>1.0263866598934305E-3</v>
      </c>
      <c r="G203" s="2"/>
      <c r="H203" s="6">
        <v>1622.89</v>
      </c>
      <c r="I203" s="2"/>
      <c r="J203" s="7">
        <f t="shared" si="40"/>
        <v>4.4415681737130694E-4</v>
      </c>
      <c r="K203" s="2"/>
      <c r="L203" s="6">
        <f t="shared" si="41"/>
        <v>-121.98000000000002</v>
      </c>
      <c r="M203" s="2"/>
      <c r="N203" s="7">
        <f t="shared" si="42"/>
        <v>-7.5162210624256737E-2</v>
      </c>
      <c r="O203" s="11"/>
      <c r="P203" s="6">
        <v>6066.75</v>
      </c>
      <c r="Q203" s="2"/>
      <c r="R203" s="7">
        <f t="shared" si="43"/>
        <v>9.1847315414888902E-4</v>
      </c>
      <c r="S203" s="2"/>
      <c r="T203" s="6">
        <v>13802.67</v>
      </c>
      <c r="U203" s="2"/>
      <c r="V203" s="7">
        <f t="shared" si="44"/>
        <v>6.351399631368248E-4</v>
      </c>
      <c r="W203" s="2"/>
      <c r="X203" s="6">
        <f t="shared" si="45"/>
        <v>-7735.92</v>
      </c>
      <c r="Y203" s="2"/>
      <c r="Z203" s="7">
        <f t="shared" si="46"/>
        <v>-0.56046547515806722</v>
      </c>
    </row>
    <row r="204" spans="1:26" s="24" customFormat="1" hidden="1" outlineLevel="2" x14ac:dyDescent="0.25">
      <c r="A204" s="25"/>
      <c r="B204" s="11" t="str">
        <f>CONCATENATE("          ", "6115", " - ", "P.E.R.S.")</f>
        <v xml:space="preserve">          6115 - P.E.R.S.</v>
      </c>
      <c r="C204" s="11"/>
      <c r="D204" s="6">
        <v>19996.609999999997</v>
      </c>
      <c r="E204" s="2"/>
      <c r="F204" s="7">
        <f t="shared" si="39"/>
        <v>1.3674539943828456E-2</v>
      </c>
      <c r="G204" s="2"/>
      <c r="H204" s="6">
        <v>28486.74</v>
      </c>
      <c r="I204" s="2"/>
      <c r="J204" s="7">
        <f t="shared" si="40"/>
        <v>7.7963261685535705E-3</v>
      </c>
      <c r="K204" s="2"/>
      <c r="L204" s="6">
        <f t="shared" si="41"/>
        <v>-8490.1300000000047</v>
      </c>
      <c r="M204" s="2"/>
      <c r="N204" s="7">
        <f t="shared" si="42"/>
        <v>-0.2980379643300709</v>
      </c>
      <c r="O204" s="11"/>
      <c r="P204" s="6">
        <v>115421.24</v>
      </c>
      <c r="Q204" s="2"/>
      <c r="R204" s="7">
        <f t="shared" si="43"/>
        <v>1.7474151787790153E-2</v>
      </c>
      <c r="S204" s="2"/>
      <c r="T204" s="6">
        <v>154014.03</v>
      </c>
      <c r="U204" s="2"/>
      <c r="V204" s="7">
        <f t="shared" si="44"/>
        <v>7.0870683235021801E-3</v>
      </c>
      <c r="W204" s="2"/>
      <c r="X204" s="6">
        <f t="shared" si="45"/>
        <v>-38592.789999999994</v>
      </c>
      <c r="Y204" s="2"/>
      <c r="Z204" s="7">
        <f t="shared" si="46"/>
        <v>-0.25057970368024257</v>
      </c>
    </row>
    <row r="205" spans="1:26" s="24" customFormat="1" hidden="1" outlineLevel="2" x14ac:dyDescent="0.25">
      <c r="A205" s="25"/>
      <c r="B205" s="11" t="str">
        <f>CONCATENATE("          ", "6116", " - ", "EDUCATIONAL BENEFITS")</f>
        <v xml:space="preserve">          6116 - EDUCATIONAL BENEFITS</v>
      </c>
      <c r="C205" s="11"/>
      <c r="D205" s="6"/>
      <c r="E205" s="2"/>
      <c r="F205" s="7">
        <f t="shared" si="39"/>
        <v>0</v>
      </c>
      <c r="G205" s="2"/>
      <c r="H205" s="6"/>
      <c r="I205" s="2"/>
      <c r="J205" s="7">
        <f t="shared" si="40"/>
        <v>0</v>
      </c>
      <c r="K205" s="2"/>
      <c r="L205" s="6">
        <f t="shared" si="41"/>
        <v>0</v>
      </c>
      <c r="M205" s="2"/>
      <c r="N205" s="7">
        <f t="shared" si="42"/>
        <v>0</v>
      </c>
      <c r="O205" s="11"/>
      <c r="P205" s="6">
        <v>0</v>
      </c>
      <c r="Q205" s="2"/>
      <c r="R205" s="7">
        <f t="shared" si="43"/>
        <v>0</v>
      </c>
      <c r="S205" s="2"/>
      <c r="T205" s="6"/>
      <c r="U205" s="2"/>
      <c r="V205" s="7">
        <f t="shared" si="44"/>
        <v>0</v>
      </c>
      <c r="W205" s="2"/>
      <c r="X205" s="6">
        <f t="shared" si="45"/>
        <v>0</v>
      </c>
      <c r="Y205" s="2"/>
      <c r="Z205" s="7">
        <f t="shared" si="46"/>
        <v>0</v>
      </c>
    </row>
    <row r="206" spans="1:26" s="24" customFormat="1" hidden="1" outlineLevel="2" x14ac:dyDescent="0.25">
      <c r="A206" s="25"/>
      <c r="B206" s="11" t="str">
        <f>CONCATENATE("          ", "6117", " - ", "RETIREMENT STAFF HOURLY")</f>
        <v xml:space="preserve">          6117 - RETIREMENT STAFF HOURLY</v>
      </c>
      <c r="C206" s="11"/>
      <c r="D206" s="6">
        <v>2208.6799999999998</v>
      </c>
      <c r="E206" s="2"/>
      <c r="F206" s="7">
        <f t="shared" si="39"/>
        <v>1.5103901552880731E-3</v>
      </c>
      <c r="G206" s="2"/>
      <c r="H206" s="6">
        <v>2834.9</v>
      </c>
      <c r="I206" s="2"/>
      <c r="J206" s="7">
        <f t="shared" si="40"/>
        <v>7.7586291219116396E-4</v>
      </c>
      <c r="K206" s="2"/>
      <c r="L206" s="6">
        <f t="shared" si="41"/>
        <v>-626.22000000000025</v>
      </c>
      <c r="M206" s="2"/>
      <c r="N206" s="7">
        <f t="shared" si="42"/>
        <v>-0.22089668065892984</v>
      </c>
      <c r="O206" s="11"/>
      <c r="P206" s="6">
        <v>14605.25</v>
      </c>
      <c r="Q206" s="2"/>
      <c r="R206" s="7">
        <f t="shared" si="43"/>
        <v>2.2111558964244549E-3</v>
      </c>
      <c r="S206" s="2"/>
      <c r="T206" s="6">
        <v>15437.88</v>
      </c>
      <c r="U206" s="2"/>
      <c r="V206" s="7">
        <f t="shared" si="44"/>
        <v>7.1038534820514615E-4</v>
      </c>
      <c r="W206" s="2"/>
      <c r="X206" s="6">
        <f t="shared" si="45"/>
        <v>-832.6299999999992</v>
      </c>
      <c r="Y206" s="2"/>
      <c r="Z206" s="7">
        <f t="shared" si="46"/>
        <v>-5.3934218947161092E-2</v>
      </c>
    </row>
    <row r="207" spans="1:26" s="24" customFormat="1" hidden="1" outlineLevel="2" x14ac:dyDescent="0.25">
      <c r="A207" s="25"/>
      <c r="B207" s="11" t="str">
        <f>CONCATENATE("          ", "6118", " - ", "VACATION")</f>
        <v xml:space="preserve">          6118 - VACATION</v>
      </c>
      <c r="C207" s="11"/>
      <c r="D207" s="6">
        <v>15535.689999999999</v>
      </c>
      <c r="E207" s="2"/>
      <c r="F207" s="7">
        <f t="shared" si="39"/>
        <v>1.0623971436155245E-2</v>
      </c>
      <c r="G207" s="2"/>
      <c r="H207" s="6">
        <v>20348.5</v>
      </c>
      <c r="I207" s="2"/>
      <c r="J207" s="7">
        <f t="shared" si="40"/>
        <v>5.5690311717245403E-3</v>
      </c>
      <c r="K207" s="2"/>
      <c r="L207" s="6">
        <f t="shared" si="41"/>
        <v>-4812.8100000000013</v>
      </c>
      <c r="M207" s="2"/>
      <c r="N207" s="7">
        <f t="shared" si="42"/>
        <v>-0.23651915374597643</v>
      </c>
      <c r="O207" s="11"/>
      <c r="P207" s="6">
        <v>112430.90999999999</v>
      </c>
      <c r="Q207" s="2"/>
      <c r="R207" s="7">
        <f t="shared" si="43"/>
        <v>1.7021431991021529E-2</v>
      </c>
      <c r="S207" s="2"/>
      <c r="T207" s="6">
        <v>166539</v>
      </c>
      <c r="U207" s="2"/>
      <c r="V207" s="7">
        <f t="shared" si="44"/>
        <v>7.6634139859058916E-3</v>
      </c>
      <c r="W207" s="2"/>
      <c r="X207" s="6">
        <f t="shared" si="45"/>
        <v>-54108.090000000011</v>
      </c>
      <c r="Y207" s="2"/>
      <c r="Z207" s="7">
        <f t="shared" si="46"/>
        <v>-0.32489741141714562</v>
      </c>
    </row>
    <row r="208" spans="1:26" s="24" customFormat="1" hidden="1" outlineLevel="2" x14ac:dyDescent="0.25">
      <c r="A208" s="25"/>
      <c r="B208" s="11" t="str">
        <f>CONCATENATE("          ", "6119", " - ", "SICK LEAVE")</f>
        <v xml:space="preserve">          6119 - SICK LEAVE</v>
      </c>
      <c r="C208" s="11"/>
      <c r="D208" s="6">
        <v>10100.69</v>
      </c>
      <c r="E208" s="2"/>
      <c r="F208" s="7">
        <f t="shared" si="39"/>
        <v>6.9072852281075979E-3</v>
      </c>
      <c r="G208" s="2"/>
      <c r="H208" s="6">
        <v>14835.249999999998</v>
      </c>
      <c r="I208" s="2"/>
      <c r="J208" s="7">
        <f t="shared" si="40"/>
        <v>4.0601503644163688E-3</v>
      </c>
      <c r="K208" s="2"/>
      <c r="L208" s="6">
        <f t="shared" si="41"/>
        <v>-4734.5599999999977</v>
      </c>
      <c r="M208" s="2"/>
      <c r="N208" s="7">
        <f t="shared" si="42"/>
        <v>-0.31914258269998808</v>
      </c>
      <c r="O208" s="11"/>
      <c r="P208" s="6">
        <v>75582.259999999995</v>
      </c>
      <c r="Q208" s="2"/>
      <c r="R208" s="7">
        <f t="shared" si="43"/>
        <v>1.144274557875327E-2</v>
      </c>
      <c r="S208" s="2"/>
      <c r="T208" s="6">
        <v>144358.72</v>
      </c>
      <c r="U208" s="2"/>
      <c r="V208" s="7">
        <f t="shared" si="44"/>
        <v>6.6427721664923684E-3</v>
      </c>
      <c r="W208" s="2"/>
      <c r="X208" s="6">
        <f t="shared" si="45"/>
        <v>-68776.460000000006</v>
      </c>
      <c r="Y208" s="2"/>
      <c r="Z208" s="7">
        <f t="shared" si="46"/>
        <v>-0.47642747178694855</v>
      </c>
    </row>
    <row r="209" spans="1:26" s="24" customFormat="1" hidden="1" outlineLevel="2" x14ac:dyDescent="0.25">
      <c r="A209" s="25"/>
      <c r="B209" s="11" t="str">
        <f>CONCATENATE("          ", "6156", " - ", "EMPLOYEE MEALS")</f>
        <v xml:space="preserve">          6156 - EMPLOYEE MEALS</v>
      </c>
      <c r="C209" s="11"/>
      <c r="D209" s="6">
        <v>3239.87</v>
      </c>
      <c r="E209" s="2"/>
      <c r="F209" s="7">
        <f t="shared" si="39"/>
        <v>2.215562124170622E-3</v>
      </c>
      <c r="G209" s="2"/>
      <c r="H209" s="6">
        <v>12132.54</v>
      </c>
      <c r="I209" s="2"/>
      <c r="J209" s="7">
        <f t="shared" si="40"/>
        <v>3.3204655602228593E-3</v>
      </c>
      <c r="K209" s="2"/>
      <c r="L209" s="6">
        <f t="shared" si="41"/>
        <v>-8892.6700000000019</v>
      </c>
      <c r="M209" s="2"/>
      <c r="N209" s="7">
        <f t="shared" si="42"/>
        <v>-0.7329602869638181</v>
      </c>
      <c r="O209" s="11"/>
      <c r="P209" s="6">
        <v>32611.58</v>
      </c>
      <c r="Q209" s="2"/>
      <c r="R209" s="7">
        <f t="shared" si="43"/>
        <v>4.9372169191706974E-3</v>
      </c>
      <c r="S209" s="2"/>
      <c r="T209" s="6">
        <v>66503.839999999997</v>
      </c>
      <c r="U209" s="2"/>
      <c r="V209" s="7">
        <f t="shared" si="44"/>
        <v>3.0602228761578225E-3</v>
      </c>
      <c r="W209" s="2"/>
      <c r="X209" s="6">
        <f t="shared" si="45"/>
        <v>-33892.259999999995</v>
      </c>
      <c r="Y209" s="2"/>
      <c r="Z209" s="7">
        <f t="shared" si="46"/>
        <v>-0.50962861693399952</v>
      </c>
    </row>
    <row r="210" spans="1:26" s="26" customFormat="1" outlineLevel="1" collapsed="1" x14ac:dyDescent="0.25">
      <c r="A210" s="27"/>
      <c r="B210" s="13" t="str">
        <f>CONCATENATE("     ","*Payroll                                          ")</f>
        <v xml:space="preserve">     *Payroll                                          </v>
      </c>
      <c r="C210" s="13"/>
      <c r="D210" s="1">
        <f>SUM(OSRRefD22_1x_0)</f>
        <v>328486.05</v>
      </c>
      <c r="E210" s="1"/>
      <c r="F210" s="5">
        <f t="shared" ref="F210:F217" si="47">IF(D$12=0,0,D210/D$12)</f>
        <v>0.224632855854839</v>
      </c>
      <c r="G210" s="1"/>
      <c r="H210" s="1">
        <f>SUM(OSRRefH22_1x_0)</f>
        <v>797690.43</v>
      </c>
      <c r="I210" s="1"/>
      <c r="J210" s="5">
        <f t="shared" ref="J210:J217" si="48">IF(H$12=0,0,H210/H$12)</f>
        <v>0.21831402167512851</v>
      </c>
      <c r="K210" s="1"/>
      <c r="L210" s="1">
        <f t="shared" ref="L210:L217" si="49">+D210-H210</f>
        <v>-469204.38000000006</v>
      </c>
      <c r="M210" s="1"/>
      <c r="N210" s="5">
        <f t="shared" ref="N210:N217" si="50">IF(H210=0,0,L210/H210)</f>
        <v>-0.58820359672611344</v>
      </c>
      <c r="O210" s="13"/>
      <c r="P210" s="1">
        <f>SUM(OSRRefP22_1x_0)</f>
        <v>2052760.11</v>
      </c>
      <c r="Q210" s="1"/>
      <c r="R210" s="5">
        <f t="shared" ref="R210:R217" si="51">IF(P$12=0,0,P210/P$12)</f>
        <v>0.31077678377100104</v>
      </c>
      <c r="S210" s="1"/>
      <c r="T210" s="1">
        <f>SUM(OSRRefT22_1x_0)</f>
        <v>5120552.4899999993</v>
      </c>
      <c r="U210" s="1"/>
      <c r="V210" s="5">
        <f t="shared" ref="V210:V217" si="52">IF(T$12=0,0,T210/T$12)</f>
        <v>0.23562597089829548</v>
      </c>
      <c r="W210" s="1"/>
      <c r="X210" s="1">
        <f t="shared" ref="X210:X217" si="53">+P210-T210</f>
        <v>-3067792.379999999</v>
      </c>
      <c r="Y210" s="1"/>
      <c r="Z210" s="5">
        <f t="shared" ref="Z210:Z217" si="54">IF(T210=0,0,X210/T210)</f>
        <v>-0.59911354995210675</v>
      </c>
    </row>
    <row r="211" spans="1:26" s="24" customFormat="1" hidden="1" outlineLevel="2" x14ac:dyDescent="0.25">
      <c r="A211" s="25"/>
      <c r="B211" s="11" t="str">
        <f>CONCATENATE("          ", "6001", " - ", "ADMINISTRATIVE SALARIES")</f>
        <v xml:space="preserve">          6001 - ADMINISTRATIVE SALARIES</v>
      </c>
      <c r="C211" s="11"/>
      <c r="D211" s="6">
        <v>35328.300000000003</v>
      </c>
      <c r="E211" s="2"/>
      <c r="F211" s="7">
        <f t="shared" si="47"/>
        <v>2.4159007426636563E-2</v>
      </c>
      <c r="G211" s="2"/>
      <c r="H211" s="6">
        <v>41640.800000000003</v>
      </c>
      <c r="I211" s="2"/>
      <c r="J211" s="7">
        <f t="shared" si="48"/>
        <v>1.1396364017767759E-2</v>
      </c>
      <c r="K211" s="2"/>
      <c r="L211" s="6">
        <f t="shared" si="49"/>
        <v>-6312.5</v>
      </c>
      <c r="M211" s="2"/>
      <c r="N211" s="7">
        <f t="shared" si="50"/>
        <v>-0.15159410962325409</v>
      </c>
      <c r="O211" s="11"/>
      <c r="P211" s="6">
        <v>201855.35999999999</v>
      </c>
      <c r="Q211" s="2"/>
      <c r="R211" s="7">
        <f t="shared" si="51"/>
        <v>3.0559810307175913E-2</v>
      </c>
      <c r="S211" s="2"/>
      <c r="T211" s="6">
        <v>258469.55999999997</v>
      </c>
      <c r="U211" s="2"/>
      <c r="V211" s="7">
        <f t="shared" si="52"/>
        <v>1.1893665994361331E-2</v>
      </c>
      <c r="W211" s="2"/>
      <c r="X211" s="6">
        <f t="shared" si="53"/>
        <v>-56614.199999999983</v>
      </c>
      <c r="Y211" s="2"/>
      <c r="Z211" s="7">
        <f t="shared" si="54"/>
        <v>-0.21903623776819209</v>
      </c>
    </row>
    <row r="212" spans="1:26" s="24" customFormat="1" hidden="1" outlineLevel="2" x14ac:dyDescent="0.25">
      <c r="A212" s="25"/>
      <c r="B212" s="11" t="str">
        <f>CONCATENATE("          ", "6002", " - ", "STAFF SALARIES")</f>
        <v xml:space="preserve">          6002 - STAFF SALARIES</v>
      </c>
      <c r="C212" s="11"/>
      <c r="D212" s="6">
        <v>131650.63</v>
      </c>
      <c r="E212" s="2"/>
      <c r="F212" s="7">
        <f t="shared" si="47"/>
        <v>9.002834973353889E-2</v>
      </c>
      <c r="G212" s="2"/>
      <c r="H212" s="6">
        <v>217651.09999999998</v>
      </c>
      <c r="I212" s="2"/>
      <c r="J212" s="7">
        <f t="shared" si="48"/>
        <v>5.9567327344036899E-2</v>
      </c>
      <c r="K212" s="2"/>
      <c r="L212" s="6">
        <f t="shared" si="49"/>
        <v>-86000.469999999972</v>
      </c>
      <c r="M212" s="2"/>
      <c r="N212" s="7">
        <f t="shared" si="50"/>
        <v>-0.39512995799240153</v>
      </c>
      <c r="O212" s="11"/>
      <c r="P212" s="6">
        <v>796801.14</v>
      </c>
      <c r="Q212" s="2"/>
      <c r="R212" s="7">
        <f t="shared" si="51"/>
        <v>0.12063138522029596</v>
      </c>
      <c r="S212" s="2"/>
      <c r="T212" s="6">
        <v>1315464.5499999998</v>
      </c>
      <c r="U212" s="2"/>
      <c r="V212" s="7">
        <f t="shared" si="52"/>
        <v>6.0532064143734486E-2</v>
      </c>
      <c r="W212" s="2"/>
      <c r="X212" s="6">
        <f t="shared" si="53"/>
        <v>-518663.4099999998</v>
      </c>
      <c r="Y212" s="2"/>
      <c r="Z212" s="7">
        <f t="shared" si="54"/>
        <v>-0.39428155627606981</v>
      </c>
    </row>
    <row r="213" spans="1:26" s="24" customFormat="1" hidden="1" outlineLevel="2" x14ac:dyDescent="0.25">
      <c r="A213" s="25"/>
      <c r="B213" s="11" t="str">
        <f>CONCATENATE("          ", "6004", " - ", "STAFF HOURLY")</f>
        <v xml:space="preserve">          6004 - STAFF HOURLY</v>
      </c>
      <c r="C213" s="11"/>
      <c r="D213" s="6">
        <v>60870.109999999993</v>
      </c>
      <c r="E213" s="2"/>
      <c r="F213" s="7">
        <f t="shared" si="47"/>
        <v>4.1625593067036462E-2</v>
      </c>
      <c r="G213" s="2"/>
      <c r="H213" s="6">
        <v>77455.44</v>
      </c>
      <c r="I213" s="2"/>
      <c r="J213" s="7">
        <f t="shared" si="48"/>
        <v>2.1198209193780369E-2</v>
      </c>
      <c r="K213" s="2"/>
      <c r="L213" s="6">
        <f t="shared" si="49"/>
        <v>-16585.330000000009</v>
      </c>
      <c r="M213" s="2"/>
      <c r="N213" s="7">
        <f t="shared" si="50"/>
        <v>-0.21412737439746013</v>
      </c>
      <c r="O213" s="11"/>
      <c r="P213" s="6">
        <v>469084.57</v>
      </c>
      <c r="Q213" s="2"/>
      <c r="R213" s="7">
        <f t="shared" si="51"/>
        <v>7.1016868104087916E-2</v>
      </c>
      <c r="S213" s="2"/>
      <c r="T213" s="6">
        <v>579019.56999999995</v>
      </c>
      <c r="U213" s="2"/>
      <c r="V213" s="7">
        <f t="shared" si="52"/>
        <v>2.6644009336258864E-2</v>
      </c>
      <c r="W213" s="2"/>
      <c r="X213" s="6">
        <f t="shared" si="53"/>
        <v>-109934.99999999994</v>
      </c>
      <c r="Y213" s="2"/>
      <c r="Z213" s="7">
        <f t="shared" si="54"/>
        <v>-0.18986404898197129</v>
      </c>
    </row>
    <row r="214" spans="1:26" s="24" customFormat="1" hidden="1" outlineLevel="2" x14ac:dyDescent="0.25">
      <c r="A214" s="25"/>
      <c r="B214" s="11" t="str">
        <f>CONCATENATE("          ", "6005", " - ", "TEMPORARY WAGES-HOURLY")</f>
        <v xml:space="preserve">          6005 - TEMPORARY WAGES-HOURLY</v>
      </c>
      <c r="C214" s="11"/>
      <c r="D214" s="6">
        <v>27127.15</v>
      </c>
      <c r="E214" s="2"/>
      <c r="F214" s="7">
        <f t="shared" si="47"/>
        <v>1.855070915706343E-2</v>
      </c>
      <c r="G214" s="2"/>
      <c r="H214" s="6">
        <v>83663.44</v>
      </c>
      <c r="I214" s="2"/>
      <c r="J214" s="7">
        <f t="shared" si="48"/>
        <v>2.2897231014261776E-2</v>
      </c>
      <c r="K214" s="2"/>
      <c r="L214" s="6">
        <f t="shared" si="49"/>
        <v>-56536.29</v>
      </c>
      <c r="M214" s="2"/>
      <c r="N214" s="7">
        <f t="shared" si="50"/>
        <v>-0.67575861092969636</v>
      </c>
      <c r="O214" s="11"/>
      <c r="P214" s="6">
        <v>230969.15</v>
      </c>
      <c r="Q214" s="2"/>
      <c r="R214" s="7">
        <f t="shared" si="51"/>
        <v>3.496748072882315E-2</v>
      </c>
      <c r="S214" s="2"/>
      <c r="T214" s="6">
        <v>846966.35</v>
      </c>
      <c r="U214" s="2"/>
      <c r="V214" s="7">
        <f t="shared" si="52"/>
        <v>3.8973776545924162E-2</v>
      </c>
      <c r="W214" s="2"/>
      <c r="X214" s="6">
        <f t="shared" si="53"/>
        <v>-615997.19999999995</v>
      </c>
      <c r="Y214" s="2"/>
      <c r="Z214" s="7">
        <f t="shared" si="54"/>
        <v>-0.72729831592482985</v>
      </c>
    </row>
    <row r="215" spans="1:26" s="24" customFormat="1" hidden="1" outlineLevel="2" x14ac:dyDescent="0.25">
      <c r="A215" s="25"/>
      <c r="B215" s="11" t="str">
        <f>CONCATENATE("          ", "6006", " - ", "TEMPORARY PART TIME")</f>
        <v xml:space="preserve">          6006 - TEMPORARY PART TIME</v>
      </c>
      <c r="C215" s="11"/>
      <c r="D215" s="6"/>
      <c r="E215" s="2"/>
      <c r="F215" s="7">
        <f t="shared" si="47"/>
        <v>0</v>
      </c>
      <c r="G215" s="2"/>
      <c r="H215" s="6">
        <v>2306.9899999999998</v>
      </c>
      <c r="I215" s="2"/>
      <c r="J215" s="7">
        <f t="shared" si="48"/>
        <v>6.3138311044336421E-4</v>
      </c>
      <c r="K215" s="2"/>
      <c r="L215" s="6">
        <f t="shared" si="49"/>
        <v>-2306.9899999999998</v>
      </c>
      <c r="M215" s="2"/>
      <c r="N215" s="7">
        <f t="shared" si="50"/>
        <v>-1</v>
      </c>
      <c r="O215" s="11"/>
      <c r="P215" s="6">
        <v>9987.9599999999991</v>
      </c>
      <c r="Q215" s="2"/>
      <c r="R215" s="7">
        <f t="shared" si="51"/>
        <v>1.5121231507335784E-3</v>
      </c>
      <c r="S215" s="2"/>
      <c r="T215" s="6">
        <v>81278.58</v>
      </c>
      <c r="U215" s="2"/>
      <c r="V215" s="7">
        <f t="shared" si="52"/>
        <v>3.7400933518669552E-3</v>
      </c>
      <c r="W215" s="2"/>
      <c r="X215" s="6">
        <f t="shared" si="53"/>
        <v>-71290.62</v>
      </c>
      <c r="Y215" s="2"/>
      <c r="Z215" s="7">
        <f t="shared" si="54"/>
        <v>-0.87711448699029926</v>
      </c>
    </row>
    <row r="216" spans="1:26" s="24" customFormat="1" hidden="1" outlineLevel="2" x14ac:dyDescent="0.25">
      <c r="A216" s="25"/>
      <c r="B216" s="11" t="str">
        <f>CONCATENATE("          ", "6007", " - ", "STUDENT HOURLY")</f>
        <v xml:space="preserve">          6007 - STUDENT HOURLY</v>
      </c>
      <c r="C216" s="11"/>
      <c r="D216" s="6">
        <v>71674.179999999993</v>
      </c>
      <c r="E216" s="2"/>
      <c r="F216" s="7">
        <f t="shared" si="47"/>
        <v>4.9013879720170107E-2</v>
      </c>
      <c r="G216" s="2"/>
      <c r="H216" s="6">
        <v>364457.77</v>
      </c>
      <c r="I216" s="2"/>
      <c r="J216" s="7">
        <f t="shared" si="48"/>
        <v>9.9745764154960462E-2</v>
      </c>
      <c r="K216" s="2"/>
      <c r="L216" s="6">
        <f t="shared" si="49"/>
        <v>-292783.59000000003</v>
      </c>
      <c r="M216" s="2"/>
      <c r="N216" s="7">
        <f t="shared" si="50"/>
        <v>-0.80334023335543103</v>
      </c>
      <c r="O216" s="11"/>
      <c r="P216" s="6">
        <v>323892.36000000004</v>
      </c>
      <c r="Q216" s="2"/>
      <c r="R216" s="7">
        <f t="shared" si="51"/>
        <v>4.9035552395257344E-2</v>
      </c>
      <c r="S216" s="2"/>
      <c r="T216" s="6">
        <v>1872921.45</v>
      </c>
      <c r="U216" s="2"/>
      <c r="V216" s="7">
        <f t="shared" si="52"/>
        <v>8.6183851436799436E-2</v>
      </c>
      <c r="W216" s="2"/>
      <c r="X216" s="6">
        <f t="shared" si="53"/>
        <v>-1549029.0899999999</v>
      </c>
      <c r="Y216" s="2"/>
      <c r="Z216" s="7">
        <f t="shared" si="54"/>
        <v>-0.82706569995233914</v>
      </c>
    </row>
    <row r="217" spans="1:26" s="24" customFormat="1" hidden="1" outlineLevel="2" x14ac:dyDescent="0.25">
      <c r="A217" s="25"/>
      <c r="B217" s="11" t="str">
        <f>CONCATENATE("          ", "6008", " - ", "STUDENT HOURLY-FICA EXEMPT")</f>
        <v xml:space="preserve">          6008 - STUDENT HOURLY-FICA EXEMPT</v>
      </c>
      <c r="C217" s="11"/>
      <c r="D217" s="6">
        <v>1835.68</v>
      </c>
      <c r="E217" s="2"/>
      <c r="F217" s="7">
        <f t="shared" si="47"/>
        <v>1.2553167503935429E-3</v>
      </c>
      <c r="G217" s="2"/>
      <c r="H217" s="6">
        <v>10514.89</v>
      </c>
      <c r="I217" s="2"/>
      <c r="J217" s="7">
        <f t="shared" si="48"/>
        <v>2.8777428398778604E-3</v>
      </c>
      <c r="K217" s="2"/>
      <c r="L217" s="6">
        <f t="shared" si="49"/>
        <v>-8679.2099999999991</v>
      </c>
      <c r="M217" s="2"/>
      <c r="N217" s="7">
        <f t="shared" si="50"/>
        <v>-0.82542090311929084</v>
      </c>
      <c r="O217" s="11"/>
      <c r="P217" s="6">
        <v>20169.57</v>
      </c>
      <c r="Q217" s="2"/>
      <c r="R217" s="7">
        <f t="shared" si="51"/>
        <v>3.0535638646271572E-3</v>
      </c>
      <c r="S217" s="2"/>
      <c r="T217" s="6">
        <v>166432.43</v>
      </c>
      <c r="U217" s="2"/>
      <c r="V217" s="7">
        <f t="shared" si="52"/>
        <v>7.658510089350261E-3</v>
      </c>
      <c r="W217" s="2"/>
      <c r="X217" s="6">
        <f t="shared" si="53"/>
        <v>-146262.85999999999</v>
      </c>
      <c r="Y217" s="2"/>
      <c r="Z217" s="7">
        <f t="shared" si="54"/>
        <v>-0.87881226032690862</v>
      </c>
    </row>
    <row r="218" spans="1:26" s="26" customFormat="1" outlineLevel="1" collapsed="1" x14ac:dyDescent="0.25">
      <c r="A218" s="27"/>
      <c r="B218" s="13" t="str">
        <f>CONCATENATE("     ","Advertising/Promo                                 ")</f>
        <v xml:space="preserve">     Advertising/Promo                                 </v>
      </c>
      <c r="C218" s="13"/>
      <c r="D218" s="1">
        <f>SUM(OSRRefD22_2x_0)</f>
        <v>1703.25</v>
      </c>
      <c r="E218" s="1"/>
      <c r="F218" s="5">
        <f t="shared" ref="F218:F222" si="55">IF(D$12=0,0,D218/D$12)</f>
        <v>1.1647554340123562E-3</v>
      </c>
      <c r="G218" s="1"/>
      <c r="H218" s="1">
        <f>SUM(OSRRefH22_2x_0)</f>
        <v>8233.6</v>
      </c>
      <c r="I218" s="1"/>
      <c r="J218" s="5">
        <f t="shared" ref="J218:J222" si="56">IF(H$12=0,0,H218/H$12)</f>
        <v>2.2533933732467345E-3</v>
      </c>
      <c r="K218" s="1"/>
      <c r="L218" s="1">
        <f t="shared" ref="L218:L222" si="57">+D218-H218</f>
        <v>-6530.35</v>
      </c>
      <c r="M218" s="1"/>
      <c r="N218" s="5">
        <f t="shared" ref="N218:N222" si="58">IF(H218=0,0,L218/H218)</f>
        <v>-0.79313423047026821</v>
      </c>
      <c r="O218" s="13"/>
      <c r="P218" s="1">
        <f>SUM(OSRRefP22_2x_0)</f>
        <v>18217.59</v>
      </c>
      <c r="Q218" s="1"/>
      <c r="R218" s="5">
        <f t="shared" ref="R218:R222" si="59">IF(P$12=0,0,P218/P$12)</f>
        <v>2.7580446447094836E-3</v>
      </c>
      <c r="S218" s="1"/>
      <c r="T218" s="1">
        <f>SUM(OSRRefT22_2x_0)</f>
        <v>77153.919999999998</v>
      </c>
      <c r="U218" s="1"/>
      <c r="V218" s="5">
        <f t="shared" ref="V218:V222" si="60">IF(T$12=0,0,T218/T$12)</f>
        <v>3.5502941028555729E-3</v>
      </c>
      <c r="W218" s="1"/>
      <c r="X218" s="1">
        <f t="shared" ref="X218:X222" si="61">+P218-T218</f>
        <v>-58936.33</v>
      </c>
      <c r="Y218" s="1"/>
      <c r="Z218" s="5">
        <f t="shared" ref="Z218:Z222" si="62">IF(T218=0,0,X218/T218)</f>
        <v>-0.7638799169245063</v>
      </c>
    </row>
    <row r="219" spans="1:26" s="24" customFormat="1" hidden="1" outlineLevel="2" x14ac:dyDescent="0.25">
      <c r="A219" s="25"/>
      <c r="B219" s="11" t="str">
        <f>CONCATENATE("          ", "6362", " - ", "ADVERTISING EXPENSE")</f>
        <v xml:space="preserve">          6362 - ADVERTISING EXPENSE</v>
      </c>
      <c r="C219" s="11"/>
      <c r="D219" s="6">
        <v>1703.25</v>
      </c>
      <c r="E219" s="2"/>
      <c r="F219" s="7">
        <f t="shared" si="55"/>
        <v>1.1647554340123562E-3</v>
      </c>
      <c r="G219" s="2"/>
      <c r="H219" s="6">
        <v>8233.6</v>
      </c>
      <c r="I219" s="2"/>
      <c r="J219" s="7">
        <f t="shared" si="56"/>
        <v>2.2533933732467345E-3</v>
      </c>
      <c r="K219" s="2"/>
      <c r="L219" s="6">
        <f t="shared" si="57"/>
        <v>-6530.35</v>
      </c>
      <c r="M219" s="2"/>
      <c r="N219" s="7">
        <f t="shared" si="58"/>
        <v>-0.79313423047026821</v>
      </c>
      <c r="O219" s="11"/>
      <c r="P219" s="6">
        <v>18217.59</v>
      </c>
      <c r="Q219" s="2"/>
      <c r="R219" s="7">
        <f t="shared" si="59"/>
        <v>2.7580446447094836E-3</v>
      </c>
      <c r="S219" s="2"/>
      <c r="T219" s="6">
        <v>77153.919999999998</v>
      </c>
      <c r="U219" s="2"/>
      <c r="V219" s="7">
        <f t="shared" si="60"/>
        <v>3.5502941028555729E-3</v>
      </c>
      <c r="W219" s="2"/>
      <c r="X219" s="6">
        <f t="shared" si="61"/>
        <v>-58936.33</v>
      </c>
      <c r="Y219" s="2"/>
      <c r="Z219" s="7">
        <f t="shared" si="62"/>
        <v>-0.7638799169245063</v>
      </c>
    </row>
    <row r="220" spans="1:26" s="26" customFormat="1" outlineLevel="1" collapsed="1" x14ac:dyDescent="0.25">
      <c r="A220" s="27"/>
      <c r="B220" s="13" t="str">
        <f>CONCATENATE("     ","Bad Debts/Over/Short                              ")</f>
        <v xml:space="preserve">     Bad Debts/Over/Short                              </v>
      </c>
      <c r="C220" s="13"/>
      <c r="D220" s="1">
        <f>SUM(OSRRefD22_3x_0)</f>
        <v>1872.1</v>
      </c>
      <c r="E220" s="1"/>
      <c r="F220" s="5">
        <f t="shared" si="55"/>
        <v>1.2802223091234592E-3</v>
      </c>
      <c r="G220" s="1"/>
      <c r="H220" s="1">
        <f>SUM(OSRRefH22_3x_0)</f>
        <v>-542.87</v>
      </c>
      <c r="I220" s="1"/>
      <c r="J220" s="5">
        <f t="shared" si="56"/>
        <v>-1.4857409402138245E-4</v>
      </c>
      <c r="K220" s="1"/>
      <c r="L220" s="1">
        <f t="shared" si="57"/>
        <v>2414.9699999999998</v>
      </c>
      <c r="M220" s="1"/>
      <c r="N220" s="5">
        <f t="shared" si="58"/>
        <v>-4.448523587599241</v>
      </c>
      <c r="O220" s="13"/>
      <c r="P220" s="1">
        <f>SUM(OSRRefP22_3x_0)</f>
        <v>1999.8999999999999</v>
      </c>
      <c r="Q220" s="1"/>
      <c r="R220" s="5">
        <f t="shared" si="59"/>
        <v>3.0277404887004789E-4</v>
      </c>
      <c r="S220" s="1"/>
      <c r="T220" s="1">
        <f>SUM(OSRRefT22_3x_0)</f>
        <v>-738.72</v>
      </c>
      <c r="U220" s="1"/>
      <c r="V220" s="5">
        <f t="shared" si="60"/>
        <v>-3.39927415180132E-5</v>
      </c>
      <c r="W220" s="1"/>
      <c r="X220" s="1">
        <f t="shared" si="61"/>
        <v>2738.62</v>
      </c>
      <c r="Y220" s="1"/>
      <c r="Z220" s="5">
        <f t="shared" si="62"/>
        <v>-3.7072503790340043</v>
      </c>
    </row>
    <row r="221" spans="1:26" s="24" customFormat="1" hidden="1" outlineLevel="2" x14ac:dyDescent="0.25">
      <c r="A221" s="25"/>
      <c r="B221" s="11" t="str">
        <f>CONCATENATE("          ", "6272", " - ", "CASH (OVER/SHORT)")</f>
        <v xml:space="preserve">          6272 - CASH (OVER/SHORT)</v>
      </c>
      <c r="C221" s="11"/>
      <c r="D221" s="6">
        <v>-124.68</v>
      </c>
      <c r="E221" s="2"/>
      <c r="F221" s="7">
        <f t="shared" si="55"/>
        <v>-8.5261533839812466E-5</v>
      </c>
      <c r="G221" s="2"/>
      <c r="H221" s="6">
        <v>-542.87</v>
      </c>
      <c r="I221" s="2"/>
      <c r="J221" s="7">
        <f t="shared" si="56"/>
        <v>-1.4857409402138245E-4</v>
      </c>
      <c r="K221" s="2"/>
      <c r="L221" s="6">
        <f t="shared" si="57"/>
        <v>418.19</v>
      </c>
      <c r="M221" s="2"/>
      <c r="N221" s="7">
        <f t="shared" si="58"/>
        <v>-0.77033175530053233</v>
      </c>
      <c r="O221" s="11"/>
      <c r="P221" s="6">
        <v>3.12</v>
      </c>
      <c r="Q221" s="2"/>
      <c r="R221" s="7">
        <f t="shared" si="59"/>
        <v>4.7235113379396443E-7</v>
      </c>
      <c r="S221" s="2"/>
      <c r="T221" s="6">
        <v>-783.52</v>
      </c>
      <c r="U221" s="2"/>
      <c r="V221" s="7">
        <f t="shared" si="60"/>
        <v>-3.6054246310095439E-5</v>
      </c>
      <c r="W221" s="2"/>
      <c r="X221" s="6">
        <f t="shared" si="61"/>
        <v>786.64</v>
      </c>
      <c r="Y221" s="2"/>
      <c r="Z221" s="7">
        <f t="shared" si="62"/>
        <v>-1.003982029814172</v>
      </c>
    </row>
    <row r="222" spans="1:26" s="24" customFormat="1" hidden="1" outlineLevel="2" x14ac:dyDescent="0.25">
      <c r="A222" s="25"/>
      <c r="B222" s="11" t="str">
        <f>CONCATENATE("          ", "6342", " - ", "BAD DEBT")</f>
        <v xml:space="preserve">          6342 - BAD DEBT</v>
      </c>
      <c r="C222" s="11"/>
      <c r="D222" s="6">
        <v>1996.78</v>
      </c>
      <c r="E222" s="2"/>
      <c r="F222" s="7">
        <f t="shared" si="55"/>
        <v>1.3654838429632717E-3</v>
      </c>
      <c r="G222" s="2"/>
      <c r="H222" s="6"/>
      <c r="I222" s="2"/>
      <c r="J222" s="7">
        <f t="shared" si="56"/>
        <v>0</v>
      </c>
      <c r="K222" s="2"/>
      <c r="L222" s="6">
        <f t="shared" si="57"/>
        <v>1996.78</v>
      </c>
      <c r="M222" s="2"/>
      <c r="N222" s="7">
        <f t="shared" si="58"/>
        <v>0</v>
      </c>
      <c r="O222" s="11"/>
      <c r="P222" s="6">
        <v>1996.78</v>
      </c>
      <c r="Q222" s="2"/>
      <c r="R222" s="7">
        <f t="shared" si="59"/>
        <v>3.0230169773625391E-4</v>
      </c>
      <c r="S222" s="2"/>
      <c r="T222" s="6">
        <v>44.8</v>
      </c>
      <c r="U222" s="2"/>
      <c r="V222" s="7">
        <f t="shared" si="60"/>
        <v>2.0615047920822385E-6</v>
      </c>
      <c r="W222" s="2"/>
      <c r="X222" s="6">
        <f t="shared" si="61"/>
        <v>1951.98</v>
      </c>
      <c r="Y222" s="2"/>
      <c r="Z222" s="7">
        <f t="shared" si="62"/>
        <v>43.570982142857147</v>
      </c>
    </row>
    <row r="223" spans="1:26" s="26" customFormat="1" outlineLevel="1" collapsed="1" x14ac:dyDescent="0.25">
      <c r="A223" s="27"/>
      <c r="B223" s="13" t="str">
        <f>CONCATENATE("     ","Bank/card Fees                                    ")</f>
        <v xml:space="preserve">     Bank/card Fees                                    </v>
      </c>
      <c r="C223" s="13"/>
      <c r="D223" s="1">
        <f>SUM(OSRRefD22_4x_0)</f>
        <v>15972.030000000002</v>
      </c>
      <c r="E223" s="1"/>
      <c r="F223" s="5">
        <f t="shared" ref="F223:F228" si="63">IF(D$12=0,0,D223/D$12)</f>
        <v>1.0922359450878247E-2</v>
      </c>
      <c r="G223" s="1"/>
      <c r="H223" s="1">
        <f>SUM(OSRRefH22_4x_0)</f>
        <v>45882.86</v>
      </c>
      <c r="I223" s="1"/>
      <c r="J223" s="5">
        <f t="shared" ref="J223:J228" si="64">IF(H$12=0,0,H223/H$12)</f>
        <v>1.2557342191703224E-2</v>
      </c>
      <c r="K223" s="1"/>
      <c r="L223" s="1">
        <f t="shared" ref="L223:L228" si="65">+D223-H223</f>
        <v>-29910.829999999998</v>
      </c>
      <c r="M223" s="1"/>
      <c r="N223" s="5">
        <f t="shared" ref="N223:N228" si="66">IF(H223=0,0,L223/H223)</f>
        <v>-0.65189550084715731</v>
      </c>
      <c r="O223" s="13"/>
      <c r="P223" s="1">
        <f>SUM(OSRRefP22_4x_0)</f>
        <v>67591.679999999993</v>
      </c>
      <c r="Q223" s="1"/>
      <c r="R223" s="5">
        <f t="shared" ref="R223:R228" si="67">IF(P$12=0,0,P223/P$12)</f>
        <v>1.0233014962512445E-2</v>
      </c>
      <c r="S223" s="1"/>
      <c r="T223" s="1">
        <f>SUM(OSRRefT22_4x_0)</f>
        <v>312860.84999999998</v>
      </c>
      <c r="U223" s="1"/>
      <c r="V223" s="5">
        <f t="shared" ref="V223:V228" si="68">IF(T$12=0,0,T223/T$12)</f>
        <v>1.439652101629291E-2</v>
      </c>
      <c r="W223" s="1"/>
      <c r="X223" s="1">
        <f t="shared" ref="X223:X228" si="69">+P223-T223</f>
        <v>-245269.16999999998</v>
      </c>
      <c r="Y223" s="1"/>
      <c r="Z223" s="5">
        <f t="shared" ref="Z223:Z228" si="70">IF(T223=0,0,X223/T223)</f>
        <v>-0.78395609421888357</v>
      </c>
    </row>
    <row r="224" spans="1:26" s="24" customFormat="1" hidden="1" outlineLevel="2" x14ac:dyDescent="0.25">
      <c r="A224" s="25"/>
      <c r="B224" s="11" t="str">
        <f>CONCATENATE("          ", "6381", " - ", "BANK/CREDIT CARD FEES")</f>
        <v xml:space="preserve">          6381 - BANK/CREDIT CARD FEES</v>
      </c>
      <c r="C224" s="11"/>
      <c r="D224" s="6">
        <v>15972.030000000002</v>
      </c>
      <c r="E224" s="2"/>
      <c r="F224" s="7">
        <f t="shared" si="63"/>
        <v>1.0922359450878247E-2</v>
      </c>
      <c r="G224" s="2"/>
      <c r="H224" s="6">
        <v>45882.86</v>
      </c>
      <c r="I224" s="2"/>
      <c r="J224" s="7">
        <f t="shared" si="64"/>
        <v>1.2557342191703224E-2</v>
      </c>
      <c r="K224" s="2"/>
      <c r="L224" s="6">
        <f t="shared" si="65"/>
        <v>-29910.829999999998</v>
      </c>
      <c r="M224" s="2"/>
      <c r="N224" s="7">
        <f t="shared" si="66"/>
        <v>-0.65189550084715731</v>
      </c>
      <c r="O224" s="11"/>
      <c r="P224" s="6">
        <v>67591.679999999993</v>
      </c>
      <c r="Q224" s="2"/>
      <c r="R224" s="7">
        <f t="shared" si="67"/>
        <v>1.0233014962512445E-2</v>
      </c>
      <c r="S224" s="2"/>
      <c r="T224" s="6">
        <v>312860.84999999998</v>
      </c>
      <c r="U224" s="2"/>
      <c r="V224" s="7">
        <f t="shared" si="68"/>
        <v>1.439652101629291E-2</v>
      </c>
      <c r="W224" s="2"/>
      <c r="X224" s="6">
        <f t="shared" si="69"/>
        <v>-245269.16999999998</v>
      </c>
      <c r="Y224" s="2"/>
      <c r="Z224" s="7">
        <f t="shared" si="70"/>
        <v>-0.78395609421888357</v>
      </c>
    </row>
    <row r="225" spans="1:26" s="26" customFormat="1" outlineLevel="1" collapsed="1" x14ac:dyDescent="0.25">
      <c r="A225" s="27"/>
      <c r="B225" s="13" t="str">
        <f>CONCATENATE("     ","Depreciation                                      ")</f>
        <v xml:space="preserve">     Depreciation                                      </v>
      </c>
      <c r="C225" s="13"/>
      <c r="D225" s="1">
        <f>SUM(OSRRefD22_5x_0)</f>
        <v>77647.64</v>
      </c>
      <c r="E225" s="1"/>
      <c r="F225" s="5">
        <f t="shared" si="63"/>
        <v>5.3098787980763354E-2</v>
      </c>
      <c r="G225" s="1"/>
      <c r="H225" s="1">
        <f>SUM(OSRRefH22_5x_0)</f>
        <v>79350.27</v>
      </c>
      <c r="I225" s="1"/>
      <c r="J225" s="5">
        <f t="shared" si="64"/>
        <v>2.1716791267894865E-2</v>
      </c>
      <c r="K225" s="1"/>
      <c r="L225" s="1">
        <f t="shared" si="65"/>
        <v>-1702.6300000000047</v>
      </c>
      <c r="M225" s="1"/>
      <c r="N225" s="5">
        <f t="shared" si="66"/>
        <v>-2.1457141859756803E-2</v>
      </c>
      <c r="O225" s="13"/>
      <c r="P225" s="1">
        <f>SUM(OSRRefP22_5x_0)</f>
        <v>546305.33000000007</v>
      </c>
      <c r="Q225" s="1"/>
      <c r="R225" s="5">
        <f t="shared" si="67"/>
        <v>8.2707673725380099E-2</v>
      </c>
      <c r="S225" s="1"/>
      <c r="T225" s="1">
        <f>SUM(OSRRefT22_5x_0)</f>
        <v>548012.54</v>
      </c>
      <c r="U225" s="1"/>
      <c r="V225" s="5">
        <f t="shared" si="68"/>
        <v>2.5217198154713381E-2</v>
      </c>
      <c r="W225" s="1"/>
      <c r="X225" s="1">
        <f t="shared" si="69"/>
        <v>-1707.2099999999627</v>
      </c>
      <c r="Y225" s="1"/>
      <c r="Z225" s="5">
        <f t="shared" si="70"/>
        <v>-3.1152754278213463E-3</v>
      </c>
    </row>
    <row r="226" spans="1:26" s="24" customFormat="1" hidden="1" outlineLevel="2" x14ac:dyDescent="0.25">
      <c r="A226" s="25"/>
      <c r="B226" s="11" t="str">
        <f>CONCATENATE("          ", "6321", " - ", "BUILDING DEPRECIATION")</f>
        <v xml:space="preserve">          6321 - BUILDING DEPRECIATION</v>
      </c>
      <c r="C226" s="11"/>
      <c r="D226" s="6">
        <v>45060.52</v>
      </c>
      <c r="E226" s="2"/>
      <c r="F226" s="7">
        <f t="shared" si="63"/>
        <v>3.0814317058225422E-2</v>
      </c>
      <c r="G226" s="2"/>
      <c r="H226" s="6">
        <v>45519.990000000005</v>
      </c>
      <c r="I226" s="2"/>
      <c r="J226" s="7">
        <f t="shared" si="64"/>
        <v>1.2458030972631368E-2</v>
      </c>
      <c r="K226" s="2"/>
      <c r="L226" s="6">
        <f t="shared" si="65"/>
        <v>-459.47000000000844</v>
      </c>
      <c r="M226" s="2"/>
      <c r="N226" s="7">
        <f t="shared" si="66"/>
        <v>-1.0093807138358519E-2</v>
      </c>
      <c r="O226" s="11"/>
      <c r="P226" s="6">
        <v>316207.83</v>
      </c>
      <c r="Q226" s="2"/>
      <c r="R226" s="7">
        <f t="shared" si="67"/>
        <v>4.7872156094560629E-2</v>
      </c>
      <c r="S226" s="2"/>
      <c r="T226" s="6">
        <v>318639.93</v>
      </c>
      <c r="U226" s="2"/>
      <c r="V226" s="7">
        <f t="shared" si="68"/>
        <v>1.4662449612583684E-2</v>
      </c>
      <c r="W226" s="2"/>
      <c r="X226" s="6">
        <f t="shared" si="69"/>
        <v>-2432.0999999999767</v>
      </c>
      <c r="Y226" s="2"/>
      <c r="Z226" s="7">
        <f t="shared" si="70"/>
        <v>-7.6327533714935754E-3</v>
      </c>
    </row>
    <row r="227" spans="1:26" s="24" customFormat="1" hidden="1" outlineLevel="2" x14ac:dyDescent="0.25">
      <c r="A227" s="25"/>
      <c r="B227" s="11" t="str">
        <f>CONCATENATE("          ", "6322", " - ", "EQUIPMENT DEPRECIATION EXPENSE")</f>
        <v xml:space="preserve">          6322 - EQUIPMENT DEPRECIATION EXPENSE</v>
      </c>
      <c r="C227" s="11"/>
      <c r="D227" s="6">
        <v>32587.119999999999</v>
      </c>
      <c r="E227" s="2"/>
      <c r="F227" s="7">
        <f t="shared" si="63"/>
        <v>2.2284470922537932E-2</v>
      </c>
      <c r="G227" s="2"/>
      <c r="H227" s="6">
        <v>33406.03</v>
      </c>
      <c r="I227" s="2"/>
      <c r="J227" s="7">
        <f t="shared" si="64"/>
        <v>9.1426504358338521E-3</v>
      </c>
      <c r="K227" s="2"/>
      <c r="L227" s="6">
        <f t="shared" si="65"/>
        <v>-818.90999999999985</v>
      </c>
      <c r="M227" s="2"/>
      <c r="N227" s="7">
        <f t="shared" si="66"/>
        <v>-2.4513837771204777E-2</v>
      </c>
      <c r="O227" s="11"/>
      <c r="P227" s="6">
        <v>230097.5</v>
      </c>
      <c r="Q227" s="2"/>
      <c r="R227" s="7">
        <f t="shared" si="67"/>
        <v>3.4835517630819463E-2</v>
      </c>
      <c r="S227" s="2"/>
      <c r="T227" s="6">
        <v>226402.86000000002</v>
      </c>
      <c r="U227" s="2"/>
      <c r="V227" s="7">
        <f t="shared" si="68"/>
        <v>1.0418093322123309E-2</v>
      </c>
      <c r="W227" s="2"/>
      <c r="X227" s="6">
        <f t="shared" si="69"/>
        <v>3694.6399999999849</v>
      </c>
      <c r="Y227" s="2"/>
      <c r="Z227" s="7">
        <f t="shared" si="70"/>
        <v>1.6318875123750576E-2</v>
      </c>
    </row>
    <row r="228" spans="1:26" s="24" customFormat="1" hidden="1" outlineLevel="2" x14ac:dyDescent="0.25">
      <c r="A228" s="25"/>
      <c r="B228" s="11" t="str">
        <f>CONCATENATE("          ", "6326", " - ", "VEHICLES DEPRECIATION EXPENSE")</f>
        <v xml:space="preserve">          6326 - VEHICLES DEPRECIATION EXPENSE</v>
      </c>
      <c r="C228" s="11"/>
      <c r="D228" s="6"/>
      <c r="E228" s="2"/>
      <c r="F228" s="7">
        <f t="shared" si="63"/>
        <v>0</v>
      </c>
      <c r="G228" s="2"/>
      <c r="H228" s="6">
        <v>424.25</v>
      </c>
      <c r="I228" s="2"/>
      <c r="J228" s="7">
        <f t="shared" si="64"/>
        <v>1.1610985942964524E-4</v>
      </c>
      <c r="K228" s="2"/>
      <c r="L228" s="6">
        <f t="shared" si="65"/>
        <v>-424.25</v>
      </c>
      <c r="M228" s="2"/>
      <c r="N228" s="7">
        <f t="shared" si="66"/>
        <v>-1</v>
      </c>
      <c r="O228" s="11"/>
      <c r="P228" s="6"/>
      <c r="Q228" s="2"/>
      <c r="R228" s="7">
        <f t="shared" si="67"/>
        <v>0</v>
      </c>
      <c r="S228" s="2"/>
      <c r="T228" s="6">
        <v>2969.75</v>
      </c>
      <c r="U228" s="2"/>
      <c r="V228" s="7">
        <f t="shared" si="68"/>
        <v>1.3665522000638901E-4</v>
      </c>
      <c r="W228" s="2"/>
      <c r="X228" s="6">
        <f t="shared" si="69"/>
        <v>-2969.75</v>
      </c>
      <c r="Y228" s="2"/>
      <c r="Z228" s="7">
        <f t="shared" si="70"/>
        <v>-1</v>
      </c>
    </row>
    <row r="229" spans="1:26" s="26" customFormat="1" outlineLevel="1" collapsed="1" x14ac:dyDescent="0.25">
      <c r="A229" s="27"/>
      <c r="B229" s="13" t="str">
        <f>CONCATENATE("     ","Discounts and Markdowns                           ")</f>
        <v xml:space="preserve">     Discounts and Markdowns                           </v>
      </c>
      <c r="C229" s="13"/>
      <c r="D229" s="1">
        <f>SUM(OSRRefD22_6x_0)</f>
        <v>-42.86</v>
      </c>
      <c r="E229" s="1"/>
      <c r="F229" s="5">
        <f t="shared" ref="F229:F231" si="71">IF(D$12=0,0,D229/D$12)</f>
        <v>-2.9309507061071238E-5</v>
      </c>
      <c r="G229" s="1"/>
      <c r="H229" s="1">
        <f>SUM(OSRRefH22_6x_0)</f>
        <v>38428.730000000003</v>
      </c>
      <c r="I229" s="1"/>
      <c r="J229" s="5">
        <f t="shared" ref="J229:J231" si="72">IF(H$12=0,0,H229/H$12)</f>
        <v>1.0517276224772637E-2</v>
      </c>
      <c r="K229" s="1"/>
      <c r="L229" s="1">
        <f t="shared" ref="L229:L231" si="73">+D229-H229</f>
        <v>-38471.590000000004</v>
      </c>
      <c r="M229" s="1"/>
      <c r="N229" s="5">
        <f t="shared" ref="N229:N231" si="74">IF(H229=0,0,L229/H229)</f>
        <v>-1.0011153113829159</v>
      </c>
      <c r="O229" s="13"/>
      <c r="P229" s="1">
        <f>SUM(OSRRefP22_6x_0)</f>
        <v>-42.86</v>
      </c>
      <c r="Q229" s="1"/>
      <c r="R229" s="5">
        <f t="shared" ref="R229:R231" si="75">IF(P$12=0,0,P229/P$12)</f>
        <v>-6.4887723059004217E-6</v>
      </c>
      <c r="S229" s="1"/>
      <c r="T229" s="1">
        <f>SUM(OSRRefT22_6x_0)</f>
        <v>275480.09999999998</v>
      </c>
      <c r="U229" s="1"/>
      <c r="V229" s="5">
        <f t="shared" ref="V229:V231" si="76">IF(T$12=0,0,T229/T$12)</f>
        <v>1.2676418443600318E-2</v>
      </c>
      <c r="W229" s="1"/>
      <c r="X229" s="1">
        <f t="shared" ref="X229:X231" si="77">+P229-T229</f>
        <v>-275522.95999999996</v>
      </c>
      <c r="Y229" s="1"/>
      <c r="Z229" s="5">
        <f t="shared" ref="Z229:Z231" si="78">IF(T229=0,0,X229/T229)</f>
        <v>-1.0001555829259536</v>
      </c>
    </row>
    <row r="230" spans="1:26" s="24" customFormat="1" hidden="1" outlineLevel="2" x14ac:dyDescent="0.25">
      <c r="A230" s="25"/>
      <c r="B230" s="11" t="str">
        <f>CONCATENATE("          ", "6382", " - ", "DISCOUNTS/MARK DOWNS")</f>
        <v xml:space="preserve">          6382 - DISCOUNTS/MARK DOWNS</v>
      </c>
      <c r="C230" s="11"/>
      <c r="D230" s="6"/>
      <c r="E230" s="2"/>
      <c r="F230" s="7">
        <f t="shared" si="71"/>
        <v>0</v>
      </c>
      <c r="G230" s="2"/>
      <c r="H230" s="6">
        <v>38849.230000000003</v>
      </c>
      <c r="I230" s="2"/>
      <c r="J230" s="7">
        <f t="shared" si="72"/>
        <v>1.0632359774307501E-2</v>
      </c>
      <c r="K230" s="2"/>
      <c r="L230" s="6">
        <f t="shared" si="73"/>
        <v>-38849.230000000003</v>
      </c>
      <c r="M230" s="2"/>
      <c r="N230" s="7">
        <f t="shared" si="74"/>
        <v>-1</v>
      </c>
      <c r="O230" s="11"/>
      <c r="P230" s="6">
        <v>0</v>
      </c>
      <c r="Q230" s="2"/>
      <c r="R230" s="7">
        <f t="shared" si="75"/>
        <v>0</v>
      </c>
      <c r="S230" s="2"/>
      <c r="T230" s="6">
        <v>278387.09999999998</v>
      </c>
      <c r="U230" s="2"/>
      <c r="V230" s="7">
        <f t="shared" si="76"/>
        <v>1.2810186176425833E-2</v>
      </c>
      <c r="W230" s="2"/>
      <c r="X230" s="6">
        <f t="shared" si="77"/>
        <v>-278387.09999999998</v>
      </c>
      <c r="Y230" s="2"/>
      <c r="Z230" s="7">
        <f t="shared" si="78"/>
        <v>-1</v>
      </c>
    </row>
    <row r="231" spans="1:26" s="24" customFormat="1" hidden="1" outlineLevel="2" x14ac:dyDescent="0.25">
      <c r="A231" s="25"/>
      <c r="B231" s="11" t="str">
        <f>CONCATENATE("          ", "9175", " - ", "EARNED DISCOUNTS")</f>
        <v xml:space="preserve">          9175 - EARNED DISCOUNTS</v>
      </c>
      <c r="C231" s="11"/>
      <c r="D231" s="6">
        <v>-42.86</v>
      </c>
      <c r="E231" s="2"/>
      <c r="F231" s="7">
        <f t="shared" si="71"/>
        <v>-2.9309507061071238E-5</v>
      </c>
      <c r="G231" s="2"/>
      <c r="H231" s="6">
        <v>-420.5</v>
      </c>
      <c r="I231" s="2"/>
      <c r="J231" s="7">
        <f t="shared" si="72"/>
        <v>-1.1508354953486347E-4</v>
      </c>
      <c r="K231" s="2"/>
      <c r="L231" s="6">
        <f t="shared" si="73"/>
        <v>377.64</v>
      </c>
      <c r="M231" s="2"/>
      <c r="N231" s="7">
        <f t="shared" si="74"/>
        <v>-0.89807372175980971</v>
      </c>
      <c r="O231" s="11"/>
      <c r="P231" s="6">
        <v>-42.86</v>
      </c>
      <c r="Q231" s="2"/>
      <c r="R231" s="7">
        <f t="shared" si="75"/>
        <v>-6.4887723059004217E-6</v>
      </c>
      <c r="S231" s="2"/>
      <c r="T231" s="6">
        <v>-2907</v>
      </c>
      <c r="U231" s="2"/>
      <c r="V231" s="7">
        <f t="shared" si="76"/>
        <v>-1.3376773282551489E-4</v>
      </c>
      <c r="W231" s="2"/>
      <c r="X231" s="6">
        <f t="shared" si="77"/>
        <v>2864.14</v>
      </c>
      <c r="Y231" s="2"/>
      <c r="Z231" s="7">
        <f t="shared" si="78"/>
        <v>-0.98525627794977633</v>
      </c>
    </row>
    <row r="232" spans="1:26" s="26" customFormat="1" outlineLevel="1" collapsed="1" x14ac:dyDescent="0.25">
      <c r="A232" s="27"/>
      <c r="B232" s="13" t="str">
        <f>CONCATENATE("     ","Donations                                         ")</f>
        <v xml:space="preserve">     Donations                                         </v>
      </c>
      <c r="C232" s="13"/>
      <c r="D232" s="1">
        <f>SUM(OSRRefD22_7x_0)</f>
        <v>1459.14</v>
      </c>
      <c r="E232" s="1"/>
      <c r="F232" s="5">
        <f t="shared" ref="F232:F240" si="79">IF(D$12=0,0,D232/D$12)</f>
        <v>9.9782254160269454E-4</v>
      </c>
      <c r="G232" s="1"/>
      <c r="H232" s="1">
        <f>SUM(OSRRefH22_7x_0)</f>
        <v>9545.3799999999992</v>
      </c>
      <c r="I232" s="1"/>
      <c r="J232" s="5">
        <f t="shared" ref="J232:J240" si="80">IF(H$12=0,0,H232/H$12)</f>
        <v>2.6124047849205587E-3</v>
      </c>
      <c r="K232" s="1"/>
      <c r="L232" s="1">
        <f t="shared" ref="L232:L240" si="81">+D232-H232</f>
        <v>-8086.2399999999989</v>
      </c>
      <c r="M232" s="1"/>
      <c r="N232" s="5">
        <f t="shared" ref="N232:N240" si="82">IF(H232=0,0,L232/H232)</f>
        <v>-0.84713652049473143</v>
      </c>
      <c r="O232" s="13"/>
      <c r="P232" s="1">
        <f>SUM(OSRRefP22_7x_0)</f>
        <v>38281.15</v>
      </c>
      <c r="Q232" s="1"/>
      <c r="R232" s="5">
        <f t="shared" ref="R232:R240" si="83">IF(P$12=0,0,P232/P$12)</f>
        <v>5.7955591684092376E-3</v>
      </c>
      <c r="S232" s="1"/>
      <c r="T232" s="1">
        <f>SUM(OSRRefT22_7x_0)</f>
        <v>96954.11</v>
      </c>
      <c r="U232" s="1"/>
      <c r="V232" s="5">
        <f t="shared" ref="V232:V240" si="84">IF(T$12=0,0,T232/T$12)</f>
        <v>4.4614143387738505E-3</v>
      </c>
      <c r="W232" s="1"/>
      <c r="X232" s="1">
        <f t="shared" ref="X232:X240" si="85">+P232-T232</f>
        <v>-58672.959999999999</v>
      </c>
      <c r="Y232" s="1"/>
      <c r="Z232" s="5">
        <f t="shared" ref="Z232:Z240" si="86">IF(T232=0,0,X232/T232)</f>
        <v>-0.60516217414609863</v>
      </c>
    </row>
    <row r="233" spans="1:26" s="24" customFormat="1" hidden="1" outlineLevel="2" x14ac:dyDescent="0.25">
      <c r="A233" s="25"/>
      <c r="B233" s="11" t="str">
        <f>CONCATENATE("          ", "6399", " - ", "DONATION-ON CAMPUS")</f>
        <v xml:space="preserve">          6399 - DONATION-ON CAMPUS</v>
      </c>
      <c r="C233" s="11"/>
      <c r="D233" s="6">
        <v>1459.14</v>
      </c>
      <c r="E233" s="2"/>
      <c r="F233" s="7">
        <f t="shared" si="79"/>
        <v>9.9782254160269454E-4</v>
      </c>
      <c r="G233" s="2"/>
      <c r="H233" s="6">
        <v>9545.3799999999992</v>
      </c>
      <c r="I233" s="2"/>
      <c r="J233" s="7">
        <f t="shared" si="80"/>
        <v>2.6124047849205587E-3</v>
      </c>
      <c r="K233" s="2"/>
      <c r="L233" s="6">
        <f t="shared" si="81"/>
        <v>-8086.2399999999989</v>
      </c>
      <c r="M233" s="2"/>
      <c r="N233" s="7">
        <f t="shared" si="82"/>
        <v>-0.84713652049473143</v>
      </c>
      <c r="O233" s="11"/>
      <c r="P233" s="6">
        <v>38281.15</v>
      </c>
      <c r="Q233" s="2"/>
      <c r="R233" s="7">
        <f t="shared" si="83"/>
        <v>5.7955591684092376E-3</v>
      </c>
      <c r="S233" s="2"/>
      <c r="T233" s="6">
        <v>96954.11</v>
      </c>
      <c r="U233" s="2"/>
      <c r="V233" s="7">
        <f t="shared" si="84"/>
        <v>4.4614143387738505E-3</v>
      </c>
      <c r="W233" s="2"/>
      <c r="X233" s="6">
        <f t="shared" si="85"/>
        <v>-58672.959999999999</v>
      </c>
      <c r="Y233" s="2"/>
      <c r="Z233" s="7">
        <f t="shared" si="86"/>
        <v>-0.60516217414609863</v>
      </c>
    </row>
    <row r="234" spans="1:26" s="26" customFormat="1" outlineLevel="1" collapsed="1" x14ac:dyDescent="0.25">
      <c r="A234" s="27"/>
      <c r="B234" s="13" t="str">
        <f>CONCATENATE("     ","Employees' Appreciation                           ")</f>
        <v xml:space="preserve">     Employees' Appreciation                           </v>
      </c>
      <c r="C234" s="13"/>
      <c r="D234" s="1">
        <f>SUM(OSRRefD22_8x_0)</f>
        <v>78.33</v>
      </c>
      <c r="E234" s="1"/>
      <c r="F234" s="5">
        <f t="shared" si="79"/>
        <v>5.356541502785138E-5</v>
      </c>
      <c r="G234" s="1"/>
      <c r="H234" s="1">
        <f>SUM(OSRRefH22_8x_0)</f>
        <v>817.44</v>
      </c>
      <c r="I234" s="1"/>
      <c r="J234" s="5">
        <f t="shared" si="80"/>
        <v>2.2371913610411129E-4</v>
      </c>
      <c r="K234" s="1"/>
      <c r="L234" s="1">
        <f t="shared" si="81"/>
        <v>-739.11</v>
      </c>
      <c r="M234" s="1"/>
      <c r="N234" s="5">
        <f t="shared" si="82"/>
        <v>-0.9041764533176746</v>
      </c>
      <c r="O234" s="13"/>
      <c r="P234" s="1">
        <f>SUM(OSRRefP22_8x_0)</f>
        <v>196.03</v>
      </c>
      <c r="Q234" s="1"/>
      <c r="R234" s="5">
        <f t="shared" si="83"/>
        <v>2.9677882294112452E-5</v>
      </c>
      <c r="S234" s="1"/>
      <c r="T234" s="1">
        <f>SUM(OSRRefT22_8x_0)</f>
        <v>4566.1899999999996</v>
      </c>
      <c r="U234" s="1"/>
      <c r="V234" s="5">
        <f t="shared" si="84"/>
        <v>2.1011657514638385E-4</v>
      </c>
      <c r="W234" s="1"/>
      <c r="X234" s="1">
        <f t="shared" si="85"/>
        <v>-4370.16</v>
      </c>
      <c r="Y234" s="1"/>
      <c r="Z234" s="5">
        <f t="shared" si="86"/>
        <v>-0.95706924153397044</v>
      </c>
    </row>
    <row r="235" spans="1:26" s="24" customFormat="1" hidden="1" outlineLevel="2" x14ac:dyDescent="0.25">
      <c r="A235" s="25"/>
      <c r="B235" s="11" t="str">
        <f>CONCATENATE("          ", "6277", " - ", "EMPLOYEE APPRECIATION")</f>
        <v xml:space="preserve">          6277 - EMPLOYEE APPRECIATION</v>
      </c>
      <c r="C235" s="11"/>
      <c r="D235" s="6">
        <v>78.33</v>
      </c>
      <c r="E235" s="2"/>
      <c r="F235" s="7">
        <f t="shared" si="79"/>
        <v>5.356541502785138E-5</v>
      </c>
      <c r="G235" s="2"/>
      <c r="H235" s="6">
        <v>817.44</v>
      </c>
      <c r="I235" s="2"/>
      <c r="J235" s="7">
        <f t="shared" si="80"/>
        <v>2.2371913610411129E-4</v>
      </c>
      <c r="K235" s="2"/>
      <c r="L235" s="6">
        <f t="shared" si="81"/>
        <v>-739.11</v>
      </c>
      <c r="M235" s="2"/>
      <c r="N235" s="7">
        <f t="shared" si="82"/>
        <v>-0.9041764533176746</v>
      </c>
      <c r="O235" s="11"/>
      <c r="P235" s="6">
        <v>196.03</v>
      </c>
      <c r="Q235" s="2"/>
      <c r="R235" s="7">
        <f t="shared" si="83"/>
        <v>2.9677882294112452E-5</v>
      </c>
      <c r="S235" s="2"/>
      <c r="T235" s="6">
        <v>4566.1899999999996</v>
      </c>
      <c r="U235" s="2"/>
      <c r="V235" s="7">
        <f t="shared" si="84"/>
        <v>2.1011657514638385E-4</v>
      </c>
      <c r="W235" s="2"/>
      <c r="X235" s="6">
        <f t="shared" si="85"/>
        <v>-4370.16</v>
      </c>
      <c r="Y235" s="2"/>
      <c r="Z235" s="7">
        <f t="shared" si="86"/>
        <v>-0.95706924153397044</v>
      </c>
    </row>
    <row r="236" spans="1:26" s="26" customFormat="1" outlineLevel="1" collapsed="1" x14ac:dyDescent="0.25">
      <c r="A236" s="27"/>
      <c r="B236" s="13" t="str">
        <f>CONCATENATE("     ","Equipment Rental                                  ")</f>
        <v xml:space="preserve">     Equipment Rental                                  </v>
      </c>
      <c r="C236" s="13"/>
      <c r="D236" s="1">
        <f>SUM(OSRRefD22_9x_0)</f>
        <v>2009.31</v>
      </c>
      <c r="E236" s="1"/>
      <c r="F236" s="5">
        <f t="shared" si="79"/>
        <v>1.374052394607584E-3</v>
      </c>
      <c r="G236" s="1"/>
      <c r="H236" s="1">
        <f>SUM(OSRRefH22_9x_0)</f>
        <v>7272.72</v>
      </c>
      <c r="I236" s="1"/>
      <c r="J236" s="5">
        <f t="shared" si="80"/>
        <v>1.9904171994606238E-3</v>
      </c>
      <c r="K236" s="1"/>
      <c r="L236" s="1">
        <f t="shared" si="81"/>
        <v>-5263.41</v>
      </c>
      <c r="M236" s="1"/>
      <c r="N236" s="5">
        <f t="shared" si="82"/>
        <v>-0.72371959871959868</v>
      </c>
      <c r="O236" s="13"/>
      <c r="P236" s="1">
        <f>SUM(OSRRefP22_9x_0)</f>
        <v>18375.350000000002</v>
      </c>
      <c r="Q236" s="1"/>
      <c r="R236" s="5">
        <f t="shared" si="83"/>
        <v>2.7819286558849118E-3</v>
      </c>
      <c r="S236" s="1"/>
      <c r="T236" s="1">
        <f>SUM(OSRRefT22_9x_0)</f>
        <v>36709.46</v>
      </c>
      <c r="U236" s="1"/>
      <c r="V236" s="5">
        <f t="shared" si="84"/>
        <v>1.6892126719810546E-3</v>
      </c>
      <c r="W236" s="1"/>
      <c r="X236" s="1">
        <f t="shared" si="85"/>
        <v>-18334.109999999997</v>
      </c>
      <c r="Y236" s="1"/>
      <c r="Z236" s="5">
        <f t="shared" si="86"/>
        <v>-0.49943829192802064</v>
      </c>
    </row>
    <row r="237" spans="1:26" s="24" customFormat="1" hidden="1" outlineLevel="2" x14ac:dyDescent="0.25">
      <c r="A237" s="25"/>
      <c r="B237" s="11" t="str">
        <f>CONCATENATE("          ", "6351", " - ", "EQUIPMENT RENTAL")</f>
        <v xml:space="preserve">          6351 - EQUIPMENT RENTAL</v>
      </c>
      <c r="C237" s="11"/>
      <c r="D237" s="6">
        <v>2009.31</v>
      </c>
      <c r="E237" s="2"/>
      <c r="F237" s="7">
        <f t="shared" si="79"/>
        <v>1.374052394607584E-3</v>
      </c>
      <c r="G237" s="2"/>
      <c r="H237" s="6">
        <v>7272.72</v>
      </c>
      <c r="I237" s="2"/>
      <c r="J237" s="7">
        <f t="shared" si="80"/>
        <v>1.9904171994606238E-3</v>
      </c>
      <c r="K237" s="2"/>
      <c r="L237" s="6">
        <f t="shared" si="81"/>
        <v>-5263.41</v>
      </c>
      <c r="M237" s="2"/>
      <c r="N237" s="7">
        <f t="shared" si="82"/>
        <v>-0.72371959871959868</v>
      </c>
      <c r="O237" s="11"/>
      <c r="P237" s="6">
        <v>18375.350000000002</v>
      </c>
      <c r="Q237" s="2"/>
      <c r="R237" s="7">
        <f t="shared" si="83"/>
        <v>2.7819286558849118E-3</v>
      </c>
      <c r="S237" s="2"/>
      <c r="T237" s="6">
        <v>36709.46</v>
      </c>
      <c r="U237" s="2"/>
      <c r="V237" s="7">
        <f t="shared" si="84"/>
        <v>1.6892126719810546E-3</v>
      </c>
      <c r="W237" s="2"/>
      <c r="X237" s="6">
        <f t="shared" si="85"/>
        <v>-18334.109999999997</v>
      </c>
      <c r="Y237" s="2"/>
      <c r="Z237" s="7">
        <f t="shared" si="86"/>
        <v>-0.49943829192802064</v>
      </c>
    </row>
    <row r="238" spans="1:26" s="26" customFormat="1" outlineLevel="1" collapsed="1" x14ac:dyDescent="0.25">
      <c r="A238" s="27"/>
      <c r="B238" s="13" t="str">
        <f>CONCATENATE("     ","Freight out/Postage                               ")</f>
        <v xml:space="preserve">     Freight out/Postage                               </v>
      </c>
      <c r="C238" s="13"/>
      <c r="D238" s="1">
        <f>SUM(OSRRefD22_10x_0)</f>
        <v>-21639.420000000002</v>
      </c>
      <c r="E238" s="1"/>
      <c r="F238" s="5">
        <f t="shared" si="79"/>
        <v>-1.4797963912447183E-2</v>
      </c>
      <c r="G238" s="1"/>
      <c r="H238" s="1">
        <f>SUM(OSRRefH22_10x_0)</f>
        <v>-13208.339999999997</v>
      </c>
      <c r="I238" s="1"/>
      <c r="J238" s="5">
        <f t="shared" si="80"/>
        <v>-3.614893342837855E-3</v>
      </c>
      <c r="K238" s="1"/>
      <c r="L238" s="1">
        <f t="shared" si="81"/>
        <v>-8431.0800000000054</v>
      </c>
      <c r="M238" s="1"/>
      <c r="N238" s="5">
        <f t="shared" si="82"/>
        <v>0.63831488286946036</v>
      </c>
      <c r="O238" s="13"/>
      <c r="P238" s="1">
        <f>SUM(OSRRefP22_10x_0)</f>
        <v>-35711.140000000014</v>
      </c>
      <c r="Q238" s="1"/>
      <c r="R238" s="5">
        <f t="shared" si="83"/>
        <v>-5.4064735474599361E-3</v>
      </c>
      <c r="S238" s="1"/>
      <c r="T238" s="1">
        <f>SUM(OSRRefT22_10x_0)</f>
        <v>-6382.4599999999991</v>
      </c>
      <c r="U238" s="1"/>
      <c r="V238" s="5">
        <f t="shared" si="84"/>
        <v>-2.9369356864449112E-4</v>
      </c>
      <c r="W238" s="1"/>
      <c r="X238" s="1">
        <f t="shared" si="85"/>
        <v>-29328.680000000015</v>
      </c>
      <c r="Y238" s="1"/>
      <c r="Z238" s="5">
        <f t="shared" si="86"/>
        <v>4.5951999699175579</v>
      </c>
    </row>
    <row r="239" spans="1:26" s="24" customFormat="1" hidden="1" outlineLevel="2" x14ac:dyDescent="0.25">
      <c r="A239" s="25"/>
      <c r="B239" s="11" t="str">
        <f>CONCATENATE("          ", "6305", " - ", "FREIGHT OUT")</f>
        <v xml:space="preserve">          6305 - FREIGHT OUT</v>
      </c>
      <c r="C239" s="11"/>
      <c r="D239" s="6">
        <v>18846.8</v>
      </c>
      <c r="E239" s="2"/>
      <c r="F239" s="7">
        <f t="shared" si="79"/>
        <v>1.2888250529131997E-2</v>
      </c>
      <c r="G239" s="2"/>
      <c r="H239" s="6">
        <v>2315.63</v>
      </c>
      <c r="I239" s="2"/>
      <c r="J239" s="7">
        <f t="shared" si="80"/>
        <v>6.3374772844094151E-4</v>
      </c>
      <c r="K239" s="2"/>
      <c r="L239" s="6">
        <f t="shared" si="81"/>
        <v>16531.169999999998</v>
      </c>
      <c r="M239" s="2"/>
      <c r="N239" s="7">
        <f t="shared" si="82"/>
        <v>7.1389513868795955</v>
      </c>
      <c r="O239" s="11"/>
      <c r="P239" s="6">
        <v>136589.76000000001</v>
      </c>
      <c r="Q239" s="2"/>
      <c r="R239" s="7">
        <f t="shared" si="83"/>
        <v>2.0678951282258173E-2</v>
      </c>
      <c r="S239" s="2"/>
      <c r="T239" s="6">
        <v>37295.35</v>
      </c>
      <c r="U239" s="2"/>
      <c r="V239" s="7">
        <f t="shared" si="84"/>
        <v>1.7161728291826856E-3</v>
      </c>
      <c r="W239" s="2"/>
      <c r="X239" s="6">
        <f t="shared" si="85"/>
        <v>99294.41</v>
      </c>
      <c r="Y239" s="2"/>
      <c r="Z239" s="7">
        <f t="shared" si="86"/>
        <v>2.6623804308043768</v>
      </c>
    </row>
    <row r="240" spans="1:26" s="24" customFormat="1" hidden="1" outlineLevel="2" x14ac:dyDescent="0.25">
      <c r="A240" s="25"/>
      <c r="B240" s="11" t="str">
        <f>CONCATENATE("          ", "6307", " - ", "POSTAGE")</f>
        <v xml:space="preserve">          6307 - POSTAGE</v>
      </c>
      <c r="C240" s="11"/>
      <c r="D240" s="6">
        <v>-40486.22</v>
      </c>
      <c r="E240" s="2"/>
      <c r="F240" s="7">
        <f t="shared" si="79"/>
        <v>-2.768621444157918E-2</v>
      </c>
      <c r="G240" s="2"/>
      <c r="H240" s="6">
        <v>-15523.969999999998</v>
      </c>
      <c r="I240" s="2"/>
      <c r="J240" s="7">
        <f t="shared" si="80"/>
        <v>-4.2486410712787963E-3</v>
      </c>
      <c r="K240" s="2"/>
      <c r="L240" s="6">
        <f t="shared" si="81"/>
        <v>-24962.250000000004</v>
      </c>
      <c r="M240" s="2"/>
      <c r="N240" s="7">
        <f t="shared" si="82"/>
        <v>1.6079810770054315</v>
      </c>
      <c r="O240" s="11"/>
      <c r="P240" s="6">
        <v>-172300.90000000002</v>
      </c>
      <c r="Q240" s="2"/>
      <c r="R240" s="7">
        <f t="shared" si="83"/>
        <v>-2.6085424829718106E-2</v>
      </c>
      <c r="S240" s="2"/>
      <c r="T240" s="6">
        <v>-43677.81</v>
      </c>
      <c r="U240" s="2"/>
      <c r="V240" s="7">
        <f t="shared" si="84"/>
        <v>-2.0098663978271765E-3</v>
      </c>
      <c r="W240" s="2"/>
      <c r="X240" s="6">
        <f t="shared" si="85"/>
        <v>-128623.09000000003</v>
      </c>
      <c r="Y240" s="2"/>
      <c r="Z240" s="7">
        <f t="shared" si="86"/>
        <v>2.9448154566357614</v>
      </c>
    </row>
    <row r="241" spans="1:26" s="26" customFormat="1" outlineLevel="1" collapsed="1" x14ac:dyDescent="0.25">
      <c r="A241" s="27"/>
      <c r="B241" s="13" t="str">
        <f>CONCATENATE("     ","General                                           ")</f>
        <v xml:space="preserve">     General                                           </v>
      </c>
      <c r="C241" s="13"/>
      <c r="D241" s="1">
        <f>SUM(OSRRefD22_11x_0)</f>
        <v>198.64</v>
      </c>
      <c r="E241" s="1"/>
      <c r="F241" s="5">
        <f t="shared" ref="F241:F243" si="87">IF(D$12=0,0,D241/D$12)</f>
        <v>1.358385553572373E-4</v>
      </c>
      <c r="G241" s="1"/>
      <c r="H241" s="1">
        <f>SUM(OSRRefH22_11x_0)</f>
        <v>14384</v>
      </c>
      <c r="I241" s="1"/>
      <c r="J241" s="5">
        <f t="shared" ref="J241:J243" si="88">IF(H$12=0,0,H241/H$12)</f>
        <v>3.9366510737442947E-3</v>
      </c>
      <c r="K241" s="1"/>
      <c r="L241" s="1">
        <f t="shared" ref="L241:L243" si="89">+D241-H241</f>
        <v>-14185.36</v>
      </c>
      <c r="M241" s="1"/>
      <c r="N241" s="5">
        <f t="shared" ref="N241:N243" si="90">IF(H241=0,0,L241/H241)</f>
        <v>-0.98619021134593998</v>
      </c>
      <c r="O241" s="13"/>
      <c r="P241" s="1">
        <f>SUM(OSRRefP22_11x_0)</f>
        <v>17508.22</v>
      </c>
      <c r="Q241" s="1"/>
      <c r="R241" s="5">
        <f t="shared" ref="R241:R243" si="91">IF(P$12=0,0,P241/P$12)</f>
        <v>2.6506498614468476E-3</v>
      </c>
      <c r="S241" s="1"/>
      <c r="T241" s="1">
        <f>SUM(OSRRefT22_11x_0)</f>
        <v>92846.71</v>
      </c>
      <c r="U241" s="1"/>
      <c r="V241" s="5">
        <f t="shared" ref="V241:V243" si="92">IF(T$12=0,0,T241/T$12)</f>
        <v>4.2724093212962036E-3</v>
      </c>
      <c r="W241" s="1"/>
      <c r="X241" s="1">
        <f t="shared" ref="X241:X243" si="93">+P241-T241</f>
        <v>-75338.490000000005</v>
      </c>
      <c r="Y241" s="1"/>
      <c r="Z241" s="5">
        <f t="shared" ref="Z241:Z243" si="94">IF(T241=0,0,X241/T241)</f>
        <v>-0.81142875175652429</v>
      </c>
    </row>
    <row r="242" spans="1:26" s="24" customFormat="1" hidden="1" outlineLevel="2" x14ac:dyDescent="0.25">
      <c r="A242" s="25"/>
      <c r="B242" s="11" t="str">
        <f>CONCATENATE("          ", "6269", " - ", "ENTERTAINMENT")</f>
        <v xml:space="preserve">          6269 - ENTERTAINMENT</v>
      </c>
      <c r="C242" s="11"/>
      <c r="D242" s="6"/>
      <c r="E242" s="2"/>
      <c r="F242" s="7">
        <f t="shared" si="87"/>
        <v>0</v>
      </c>
      <c r="G242" s="2"/>
      <c r="H242" s="6"/>
      <c r="I242" s="2"/>
      <c r="J242" s="7">
        <f t="shared" si="88"/>
        <v>0</v>
      </c>
      <c r="K242" s="2"/>
      <c r="L242" s="6">
        <f t="shared" si="89"/>
        <v>0</v>
      </c>
      <c r="M242" s="2"/>
      <c r="N242" s="7">
        <f t="shared" si="90"/>
        <v>0</v>
      </c>
      <c r="O242" s="11"/>
      <c r="P242" s="6"/>
      <c r="Q242" s="2"/>
      <c r="R242" s="7">
        <f t="shared" si="91"/>
        <v>0</v>
      </c>
      <c r="S242" s="2"/>
      <c r="T242" s="6">
        <v>7350</v>
      </c>
      <c r="U242" s="2"/>
      <c r="V242" s="7">
        <f t="shared" si="92"/>
        <v>3.3821562995099225E-4</v>
      </c>
      <c r="W242" s="2"/>
      <c r="X242" s="6">
        <f t="shared" si="93"/>
        <v>-7350</v>
      </c>
      <c r="Y242" s="2"/>
      <c r="Z242" s="7">
        <f t="shared" si="94"/>
        <v>-1</v>
      </c>
    </row>
    <row r="243" spans="1:26" s="24" customFormat="1" hidden="1" outlineLevel="2" x14ac:dyDescent="0.25">
      <c r="A243" s="25"/>
      <c r="B243" s="11" t="str">
        <f>CONCATENATE("          ", "6279", " - ", "GENERAL EXPENSE")</f>
        <v xml:space="preserve">          6279 - GENERAL EXPENSE</v>
      </c>
      <c r="C243" s="11"/>
      <c r="D243" s="6">
        <v>198.64</v>
      </c>
      <c r="E243" s="2"/>
      <c r="F243" s="7">
        <f t="shared" si="87"/>
        <v>1.358385553572373E-4</v>
      </c>
      <c r="G243" s="2"/>
      <c r="H243" s="6">
        <v>14384</v>
      </c>
      <c r="I243" s="2"/>
      <c r="J243" s="7">
        <f t="shared" si="88"/>
        <v>3.9366510737442947E-3</v>
      </c>
      <c r="K243" s="2"/>
      <c r="L243" s="6">
        <f t="shared" si="89"/>
        <v>-14185.36</v>
      </c>
      <c r="M243" s="2"/>
      <c r="N243" s="7">
        <f t="shared" si="90"/>
        <v>-0.98619021134593998</v>
      </c>
      <c r="O243" s="11"/>
      <c r="P243" s="6">
        <v>17508.22</v>
      </c>
      <c r="Q243" s="2"/>
      <c r="R243" s="7">
        <f t="shared" si="91"/>
        <v>2.6506498614468476E-3</v>
      </c>
      <c r="S243" s="2"/>
      <c r="T243" s="6">
        <v>85496.71</v>
      </c>
      <c r="U243" s="2"/>
      <c r="V243" s="7">
        <f t="shared" si="92"/>
        <v>3.934193691345211E-3</v>
      </c>
      <c r="W243" s="2"/>
      <c r="X243" s="6">
        <f t="shared" si="93"/>
        <v>-67988.490000000005</v>
      </c>
      <c r="Y243" s="2"/>
      <c r="Z243" s="7">
        <f t="shared" si="94"/>
        <v>-0.7952176171457358</v>
      </c>
    </row>
    <row r="244" spans="1:26" s="26" customFormat="1" outlineLevel="1" collapsed="1" x14ac:dyDescent="0.25">
      <c r="A244" s="27"/>
      <c r="B244" s="13" t="str">
        <f>CONCATENATE("     ","Insurance                                         ")</f>
        <v xml:space="preserve">     Insurance                                         </v>
      </c>
      <c r="C244" s="13"/>
      <c r="D244" s="1">
        <f>SUM(OSRRefD22_12x_0)</f>
        <v>8563.32</v>
      </c>
      <c r="E244" s="1"/>
      <c r="F244" s="5">
        <f t="shared" ref="F244:F260" si="95">IF(D$12=0,0,D244/D$12)</f>
        <v>5.8559656557679082E-3</v>
      </c>
      <c r="G244" s="1"/>
      <c r="H244" s="1">
        <f>SUM(OSRRefH22_12x_0)</f>
        <v>8563.32</v>
      </c>
      <c r="I244" s="1"/>
      <c r="J244" s="5">
        <f t="shared" ref="J244:J260" si="96">IF(H$12=0,0,H244/H$12)</f>
        <v>2.3436320128487204E-3</v>
      </c>
      <c r="K244" s="1"/>
      <c r="L244" s="1">
        <f t="shared" ref="L244:L260" si="97">+D244-H244</f>
        <v>0</v>
      </c>
      <c r="M244" s="1"/>
      <c r="N244" s="5">
        <f t="shared" ref="N244:N260" si="98">IF(H244=0,0,L244/H244)</f>
        <v>0</v>
      </c>
      <c r="O244" s="13"/>
      <c r="P244" s="1">
        <f>SUM(OSRRefP22_12x_0)</f>
        <v>66055.239999999991</v>
      </c>
      <c r="Q244" s="1"/>
      <c r="R244" s="5">
        <f t="shared" ref="R244:R260" si="99">IF(P$12=0,0,P244/P$12)</f>
        <v>1.0000406252253983E-2</v>
      </c>
      <c r="S244" s="1"/>
      <c r="T244" s="1">
        <f>SUM(OSRRefT22_12x_0)</f>
        <v>59943.239999999991</v>
      </c>
      <c r="U244" s="1"/>
      <c r="V244" s="5">
        <f t="shared" ref="V244:V260" si="100">IF(T$12=0,0,T244/T$12)</f>
        <v>2.7583320650208863E-3</v>
      </c>
      <c r="W244" s="1"/>
      <c r="X244" s="1">
        <f t="shared" ref="X244:X260" si="101">+P244-T244</f>
        <v>6112</v>
      </c>
      <c r="Y244" s="1"/>
      <c r="Z244" s="5">
        <f t="shared" ref="Z244:Z260" si="102">IF(T244=0,0,X244/T244)</f>
        <v>0.10196312378176423</v>
      </c>
    </row>
    <row r="245" spans="1:26" s="24" customFormat="1" hidden="1" outlineLevel="2" x14ac:dyDescent="0.25">
      <c r="A245" s="25"/>
      <c r="B245" s="11" t="str">
        <f>CONCATENATE("          ", "6314", " - ", "LIABILITY INSURANCE")</f>
        <v xml:space="preserve">          6314 - LIABILITY INSURANCE</v>
      </c>
      <c r="C245" s="11"/>
      <c r="D245" s="6">
        <v>8563.32</v>
      </c>
      <c r="E245" s="2"/>
      <c r="F245" s="7">
        <f t="shared" si="95"/>
        <v>5.8559656557679082E-3</v>
      </c>
      <c r="G245" s="2"/>
      <c r="H245" s="6">
        <v>8563.32</v>
      </c>
      <c r="I245" s="2"/>
      <c r="J245" s="7">
        <f t="shared" si="96"/>
        <v>2.3436320128487204E-3</v>
      </c>
      <c r="K245" s="2"/>
      <c r="L245" s="6">
        <f t="shared" si="97"/>
        <v>0</v>
      </c>
      <c r="M245" s="2"/>
      <c r="N245" s="7">
        <f t="shared" si="98"/>
        <v>0</v>
      </c>
      <c r="O245" s="11"/>
      <c r="P245" s="6">
        <v>66055.239999999991</v>
      </c>
      <c r="Q245" s="2"/>
      <c r="R245" s="7">
        <f t="shared" si="99"/>
        <v>1.0000406252253983E-2</v>
      </c>
      <c r="S245" s="2"/>
      <c r="T245" s="6">
        <v>59943.239999999991</v>
      </c>
      <c r="U245" s="2"/>
      <c r="V245" s="7">
        <f t="shared" si="100"/>
        <v>2.7583320650208863E-3</v>
      </c>
      <c r="W245" s="2"/>
      <c r="X245" s="6">
        <f t="shared" si="101"/>
        <v>6112</v>
      </c>
      <c r="Y245" s="2"/>
      <c r="Z245" s="7">
        <f t="shared" si="102"/>
        <v>0.10196312378176423</v>
      </c>
    </row>
    <row r="246" spans="1:26" s="26" customFormat="1" outlineLevel="1" collapsed="1" x14ac:dyDescent="0.25">
      <c r="A246" s="27"/>
      <c r="B246" s="13" t="str">
        <f>CONCATENATE("     ","Interest                                          ")</f>
        <v xml:space="preserve">     Interest                                          </v>
      </c>
      <c r="C246" s="13"/>
      <c r="D246" s="1">
        <f>SUM(OSRRefD22_13x_0)</f>
        <v>11554</v>
      </c>
      <c r="E246" s="1"/>
      <c r="F246" s="5">
        <f t="shared" si="95"/>
        <v>7.9011209655533623E-3</v>
      </c>
      <c r="G246" s="1"/>
      <c r="H246" s="1">
        <f>SUM(OSRRefH22_13x_0)</f>
        <v>11929</v>
      </c>
      <c r="I246" s="1"/>
      <c r="J246" s="5">
        <f t="shared" si="96"/>
        <v>3.2647601959604903E-3</v>
      </c>
      <c r="K246" s="1"/>
      <c r="L246" s="1">
        <f t="shared" si="97"/>
        <v>-375</v>
      </c>
      <c r="M246" s="1"/>
      <c r="N246" s="5">
        <f t="shared" si="98"/>
        <v>-3.1435996311509763E-2</v>
      </c>
      <c r="O246" s="13"/>
      <c r="P246" s="1">
        <f>SUM(OSRRefP22_13x_0)</f>
        <v>80129</v>
      </c>
      <c r="Q246" s="1"/>
      <c r="R246" s="5">
        <f t="shared" si="99"/>
        <v>1.2131097435825825E-2</v>
      </c>
      <c r="S246" s="1"/>
      <c r="T246" s="1">
        <f>SUM(OSRRefT22_13x_0)</f>
        <v>82904</v>
      </c>
      <c r="U246" s="1"/>
      <c r="V246" s="5">
        <f t="shared" si="100"/>
        <v>3.8148882429193281E-3</v>
      </c>
      <c r="W246" s="1"/>
      <c r="X246" s="1">
        <f t="shared" si="101"/>
        <v>-2775</v>
      </c>
      <c r="Y246" s="1"/>
      <c r="Z246" s="5">
        <f t="shared" si="102"/>
        <v>-3.3472450062723147E-2</v>
      </c>
    </row>
    <row r="247" spans="1:26" s="24" customFormat="1" hidden="1" outlineLevel="2" x14ac:dyDescent="0.25">
      <c r="A247" s="25"/>
      <c r="B247" s="11" t="str">
        <f>CONCATENATE("          ", "6401", " - ", "INTEREST EXPENSE")</f>
        <v xml:space="preserve">          6401 - INTEREST EXPENSE</v>
      </c>
      <c r="C247" s="11"/>
      <c r="D247" s="6">
        <v>11554</v>
      </c>
      <c r="E247" s="2"/>
      <c r="F247" s="7">
        <f t="shared" si="95"/>
        <v>7.9011209655533623E-3</v>
      </c>
      <c r="G247" s="2"/>
      <c r="H247" s="6">
        <v>11929</v>
      </c>
      <c r="I247" s="2"/>
      <c r="J247" s="7">
        <f t="shared" si="96"/>
        <v>3.2647601959604903E-3</v>
      </c>
      <c r="K247" s="2"/>
      <c r="L247" s="6">
        <f t="shared" si="97"/>
        <v>-375</v>
      </c>
      <c r="M247" s="2"/>
      <c r="N247" s="7">
        <f t="shared" si="98"/>
        <v>-3.1435996311509763E-2</v>
      </c>
      <c r="O247" s="11"/>
      <c r="P247" s="6">
        <v>80129</v>
      </c>
      <c r="Q247" s="2"/>
      <c r="R247" s="7">
        <f t="shared" si="99"/>
        <v>1.2131097435825825E-2</v>
      </c>
      <c r="S247" s="2"/>
      <c r="T247" s="6">
        <v>82904</v>
      </c>
      <c r="U247" s="2"/>
      <c r="V247" s="7">
        <f t="shared" si="100"/>
        <v>3.8148882429193281E-3</v>
      </c>
      <c r="W247" s="2"/>
      <c r="X247" s="6">
        <f t="shared" si="101"/>
        <v>-2775</v>
      </c>
      <c r="Y247" s="2"/>
      <c r="Z247" s="7">
        <f t="shared" si="102"/>
        <v>-3.3472450062723147E-2</v>
      </c>
    </row>
    <row r="248" spans="1:26" s="26" customFormat="1" outlineLevel="1" collapsed="1" x14ac:dyDescent="0.25">
      <c r="A248" s="27"/>
      <c r="B248" s="13" t="str">
        <f>CONCATENATE("     ","Inventory Adjustment                              ")</f>
        <v xml:space="preserve">     Inventory Adjustment                              </v>
      </c>
      <c r="C248" s="13"/>
      <c r="D248" s="1">
        <f>SUM(OSRRefD22_14x_0)</f>
        <v>3350</v>
      </c>
      <c r="E248" s="1"/>
      <c r="F248" s="5">
        <f t="shared" si="95"/>
        <v>2.2908737436908222E-3</v>
      </c>
      <c r="G248" s="1"/>
      <c r="H248" s="1">
        <f>SUM(OSRRefH22_14x_0)</f>
        <v>4250</v>
      </c>
      <c r="I248" s="1"/>
      <c r="J248" s="5">
        <f t="shared" si="96"/>
        <v>1.1631512140860159E-3</v>
      </c>
      <c r="K248" s="1"/>
      <c r="L248" s="1">
        <f t="shared" si="97"/>
        <v>-900</v>
      </c>
      <c r="M248" s="1"/>
      <c r="N248" s="5">
        <f t="shared" si="98"/>
        <v>-0.21176470588235294</v>
      </c>
      <c r="O248" s="13"/>
      <c r="P248" s="1">
        <f>SUM(OSRRefP22_14x_0)</f>
        <v>28450</v>
      </c>
      <c r="Q248" s="1"/>
      <c r="R248" s="5">
        <f t="shared" si="99"/>
        <v>4.3071762039866308E-3</v>
      </c>
      <c r="S248" s="1"/>
      <c r="T248" s="1">
        <f>SUM(OSRRefT22_14x_0)</f>
        <v>35450</v>
      </c>
      <c r="U248" s="1"/>
      <c r="V248" s="5">
        <f t="shared" si="100"/>
        <v>1.6312576981990035E-3</v>
      </c>
      <c r="W248" s="1"/>
      <c r="X248" s="1">
        <f t="shared" si="101"/>
        <v>-7000</v>
      </c>
      <c r="Y248" s="1"/>
      <c r="Z248" s="5">
        <f t="shared" si="102"/>
        <v>-0.19746121297602257</v>
      </c>
    </row>
    <row r="249" spans="1:26" s="24" customFormat="1" hidden="1" outlineLevel="2" x14ac:dyDescent="0.25">
      <c r="A249" s="25"/>
      <c r="B249" s="11" t="str">
        <f>CONCATENATE("          ", "6408", " - ", "INVENTORY ADJUSTMENT")</f>
        <v xml:space="preserve">          6408 - INVENTORY ADJUSTMENT</v>
      </c>
      <c r="C249" s="11"/>
      <c r="D249" s="6">
        <v>3350</v>
      </c>
      <c r="E249" s="2"/>
      <c r="F249" s="7">
        <f t="shared" si="95"/>
        <v>2.2908737436908222E-3</v>
      </c>
      <c r="G249" s="2"/>
      <c r="H249" s="6">
        <v>4250</v>
      </c>
      <c r="I249" s="2"/>
      <c r="J249" s="7">
        <f t="shared" si="96"/>
        <v>1.1631512140860159E-3</v>
      </c>
      <c r="K249" s="2"/>
      <c r="L249" s="6">
        <f t="shared" si="97"/>
        <v>-900</v>
      </c>
      <c r="M249" s="2"/>
      <c r="N249" s="7">
        <f t="shared" si="98"/>
        <v>-0.21176470588235294</v>
      </c>
      <c r="O249" s="11"/>
      <c r="P249" s="6">
        <v>28450</v>
      </c>
      <c r="Q249" s="2"/>
      <c r="R249" s="7">
        <f t="shared" si="99"/>
        <v>4.3071762039866308E-3</v>
      </c>
      <c r="S249" s="2"/>
      <c r="T249" s="6">
        <v>35450</v>
      </c>
      <c r="U249" s="2"/>
      <c r="V249" s="7">
        <f t="shared" si="100"/>
        <v>1.6312576981990035E-3</v>
      </c>
      <c r="W249" s="2"/>
      <c r="X249" s="6">
        <f t="shared" si="101"/>
        <v>-7000</v>
      </c>
      <c r="Y249" s="2"/>
      <c r="Z249" s="7">
        <f t="shared" si="102"/>
        <v>-0.19746121297602257</v>
      </c>
    </row>
    <row r="250" spans="1:26" s="26" customFormat="1" outlineLevel="1" collapsed="1" x14ac:dyDescent="0.25">
      <c r="A250" s="27"/>
      <c r="B250" s="13" t="str">
        <f>CONCATENATE("     ","Professional Services                             ")</f>
        <v xml:space="preserve">     Professional Services                             </v>
      </c>
      <c r="C250" s="13"/>
      <c r="D250" s="1">
        <f>SUM(OSRRefD22_15x_0)</f>
        <v>0</v>
      </c>
      <c r="E250" s="1"/>
      <c r="F250" s="5">
        <f t="shared" si="95"/>
        <v>0</v>
      </c>
      <c r="G250" s="1"/>
      <c r="H250" s="1">
        <f>SUM(OSRRefH22_15x_0)</f>
        <v>0</v>
      </c>
      <c r="I250" s="1"/>
      <c r="J250" s="5">
        <f t="shared" si="96"/>
        <v>0</v>
      </c>
      <c r="K250" s="1"/>
      <c r="L250" s="1">
        <f t="shared" si="97"/>
        <v>0</v>
      </c>
      <c r="M250" s="1"/>
      <c r="N250" s="5">
        <f t="shared" si="98"/>
        <v>0</v>
      </c>
      <c r="O250" s="13"/>
      <c r="P250" s="1">
        <f>SUM(OSRRefP22_15x_0)</f>
        <v>0</v>
      </c>
      <c r="Q250" s="1"/>
      <c r="R250" s="5">
        <f t="shared" si="99"/>
        <v>0</v>
      </c>
      <c r="S250" s="1"/>
      <c r="T250" s="1">
        <f>SUM(OSRRefT22_15x_0)</f>
        <v>6324.56</v>
      </c>
      <c r="U250" s="1"/>
      <c r="V250" s="5">
        <f t="shared" si="100"/>
        <v>2.9102925776365276E-4</v>
      </c>
      <c r="W250" s="1"/>
      <c r="X250" s="1">
        <f t="shared" si="101"/>
        <v>-6324.56</v>
      </c>
      <c r="Y250" s="1"/>
      <c r="Z250" s="5">
        <f t="shared" si="102"/>
        <v>-1</v>
      </c>
    </row>
    <row r="251" spans="1:26" s="24" customFormat="1" hidden="1" outlineLevel="2" x14ac:dyDescent="0.25">
      <c r="A251" s="25"/>
      <c r="B251" s="11" t="str">
        <f>CONCATENATE("          ", "6336", " - ", "PROFESSIONAL SERVICES")</f>
        <v xml:space="preserve">          6336 - PROFESSIONAL SERVICES</v>
      </c>
      <c r="C251" s="11"/>
      <c r="D251" s="6"/>
      <c r="E251" s="2"/>
      <c r="F251" s="7">
        <f t="shared" si="95"/>
        <v>0</v>
      </c>
      <c r="G251" s="2"/>
      <c r="H251" s="6"/>
      <c r="I251" s="2"/>
      <c r="J251" s="7">
        <f t="shared" si="96"/>
        <v>0</v>
      </c>
      <c r="K251" s="2"/>
      <c r="L251" s="6">
        <f t="shared" si="97"/>
        <v>0</v>
      </c>
      <c r="M251" s="2"/>
      <c r="N251" s="7">
        <f t="shared" si="98"/>
        <v>0</v>
      </c>
      <c r="O251" s="11"/>
      <c r="P251" s="6"/>
      <c r="Q251" s="2"/>
      <c r="R251" s="7">
        <f t="shared" si="99"/>
        <v>0</v>
      </c>
      <c r="S251" s="2"/>
      <c r="T251" s="6">
        <v>6324.56</v>
      </c>
      <c r="U251" s="2"/>
      <c r="V251" s="7">
        <f t="shared" si="100"/>
        <v>2.9102925776365276E-4</v>
      </c>
      <c r="W251" s="2"/>
      <c r="X251" s="6">
        <f t="shared" si="101"/>
        <v>-6324.56</v>
      </c>
      <c r="Y251" s="2"/>
      <c r="Z251" s="7">
        <f t="shared" si="102"/>
        <v>-1</v>
      </c>
    </row>
    <row r="252" spans="1:26" s="26" customFormat="1" outlineLevel="1" collapsed="1" x14ac:dyDescent="0.25">
      <c r="A252" s="27"/>
      <c r="B252" s="13" t="str">
        <f>CONCATENATE("     ","R/H Commissions                                   ")</f>
        <v xml:space="preserve">     R/H Commissions                                   </v>
      </c>
      <c r="C252" s="13"/>
      <c r="D252" s="1">
        <f>SUM(OSRRefD22_16x_0)</f>
        <v>-29103.129999999997</v>
      </c>
      <c r="E252" s="1"/>
      <c r="F252" s="5">
        <f t="shared" si="95"/>
        <v>-1.9901969067528561E-2</v>
      </c>
      <c r="G252" s="1"/>
      <c r="H252" s="1">
        <f>SUM(OSRRefH22_16x_0)</f>
        <v>52199.14</v>
      </c>
      <c r="I252" s="1"/>
      <c r="J252" s="5">
        <f t="shared" si="96"/>
        <v>1.4285998368293158E-2</v>
      </c>
      <c r="K252" s="1"/>
      <c r="L252" s="1">
        <f t="shared" si="97"/>
        <v>-81302.26999999999</v>
      </c>
      <c r="M252" s="1"/>
      <c r="N252" s="5">
        <f t="shared" si="98"/>
        <v>-1.5575404115853249</v>
      </c>
      <c r="O252" s="13"/>
      <c r="P252" s="1">
        <f>SUM(OSRRefP22_16x_0)</f>
        <v>45913.36</v>
      </c>
      <c r="Q252" s="1"/>
      <c r="R252" s="5">
        <f t="shared" si="99"/>
        <v>6.951034503939248E-3</v>
      </c>
      <c r="S252" s="1"/>
      <c r="T252" s="1">
        <f>SUM(OSRRefT22_16x_0)</f>
        <v>523790.01000000007</v>
      </c>
      <c r="U252" s="1"/>
      <c r="V252" s="5">
        <f t="shared" si="100"/>
        <v>2.4102580706692051E-2</v>
      </c>
      <c r="W252" s="1"/>
      <c r="X252" s="1">
        <f t="shared" si="101"/>
        <v>-477876.65000000008</v>
      </c>
      <c r="Y252" s="1"/>
      <c r="Z252" s="5">
        <f t="shared" si="102"/>
        <v>-0.9123439563118052</v>
      </c>
    </row>
    <row r="253" spans="1:26" s="24" customFormat="1" hidden="1" outlineLevel="2" x14ac:dyDescent="0.25">
      <c r="A253" s="25"/>
      <c r="B253" s="11" t="str">
        <f>CONCATENATE("          ", "6387", " - ", "COMMISSION DUE HOUSING")</f>
        <v xml:space="preserve">          6387 - COMMISSION DUE HOUSING</v>
      </c>
      <c r="C253" s="11"/>
      <c r="D253" s="6">
        <v>-29103.129999999997</v>
      </c>
      <c r="E253" s="2"/>
      <c r="F253" s="7">
        <f t="shared" si="95"/>
        <v>-1.9901969067528561E-2</v>
      </c>
      <c r="G253" s="2"/>
      <c r="H253" s="6">
        <v>52199.14</v>
      </c>
      <c r="I253" s="2"/>
      <c r="J253" s="7">
        <f t="shared" si="96"/>
        <v>1.4285998368293158E-2</v>
      </c>
      <c r="K253" s="2"/>
      <c r="L253" s="6">
        <f t="shared" si="97"/>
        <v>-81302.26999999999</v>
      </c>
      <c r="M253" s="2"/>
      <c r="N253" s="7">
        <f t="shared" si="98"/>
        <v>-1.5575404115853249</v>
      </c>
      <c r="O253" s="11"/>
      <c r="P253" s="6">
        <v>45913.36</v>
      </c>
      <c r="Q253" s="2"/>
      <c r="R253" s="7">
        <f t="shared" si="99"/>
        <v>6.951034503939248E-3</v>
      </c>
      <c r="S253" s="2"/>
      <c r="T253" s="6">
        <v>523790.01000000007</v>
      </c>
      <c r="U253" s="2"/>
      <c r="V253" s="7">
        <f t="shared" si="100"/>
        <v>2.4102580706692051E-2</v>
      </c>
      <c r="W253" s="2"/>
      <c r="X253" s="6">
        <f t="shared" si="101"/>
        <v>-477876.65000000008</v>
      </c>
      <c r="Y253" s="2"/>
      <c r="Z253" s="7">
        <f t="shared" si="102"/>
        <v>-0.9123439563118052</v>
      </c>
    </row>
    <row r="254" spans="1:26" s="26" customFormat="1" outlineLevel="1" collapsed="1" x14ac:dyDescent="0.25">
      <c r="A254" s="27"/>
      <c r="B254" s="13" t="str">
        <f>CONCATENATE("     ","Rent                                              ")</f>
        <v xml:space="preserve">     Rent                                              </v>
      </c>
      <c r="C254" s="13"/>
      <c r="D254" s="1">
        <f>SUM(OSRRefD22_17x_0)</f>
        <v>6900</v>
      </c>
      <c r="E254" s="1"/>
      <c r="F254" s="5">
        <f t="shared" si="95"/>
        <v>4.7185160690945294E-3</v>
      </c>
      <c r="G254" s="1"/>
      <c r="H254" s="1">
        <f>SUM(OSRRefH22_17x_0)</f>
        <v>9900</v>
      </c>
      <c r="I254" s="1"/>
      <c r="J254" s="5">
        <f t="shared" si="96"/>
        <v>2.709458122223896E-3</v>
      </c>
      <c r="K254" s="1"/>
      <c r="L254" s="1">
        <f t="shared" si="97"/>
        <v>-3000</v>
      </c>
      <c r="M254" s="1"/>
      <c r="N254" s="5">
        <f t="shared" si="98"/>
        <v>-0.30303030303030304</v>
      </c>
      <c r="O254" s="13"/>
      <c r="P254" s="1">
        <f>SUM(OSRRefP22_17x_0)</f>
        <v>59400</v>
      </c>
      <c r="Q254" s="1"/>
      <c r="R254" s="5">
        <f t="shared" si="99"/>
        <v>8.9928388933850911E-3</v>
      </c>
      <c r="S254" s="1"/>
      <c r="T254" s="1">
        <f>SUM(OSRRefT22_17x_0)</f>
        <v>69300</v>
      </c>
      <c r="U254" s="1"/>
      <c r="V254" s="5">
        <f t="shared" si="100"/>
        <v>3.1888902252522129E-3</v>
      </c>
      <c r="W254" s="1"/>
      <c r="X254" s="1">
        <f t="shared" si="101"/>
        <v>-9900</v>
      </c>
      <c r="Y254" s="1"/>
      <c r="Z254" s="5">
        <f t="shared" si="102"/>
        <v>-0.14285714285714285</v>
      </c>
    </row>
    <row r="255" spans="1:26" s="24" customFormat="1" hidden="1" outlineLevel="2" x14ac:dyDescent="0.25">
      <c r="A255" s="25"/>
      <c r="B255" s="11" t="str">
        <f>CONCATENATE("          ", "6273", " - ", "RENT")</f>
        <v xml:space="preserve">          6273 - RENT</v>
      </c>
      <c r="C255" s="11"/>
      <c r="D255" s="6">
        <v>6900</v>
      </c>
      <c r="E255" s="2"/>
      <c r="F255" s="7">
        <f t="shared" si="95"/>
        <v>4.7185160690945294E-3</v>
      </c>
      <c r="G255" s="2"/>
      <c r="H255" s="6">
        <v>9900</v>
      </c>
      <c r="I255" s="2"/>
      <c r="J255" s="7">
        <f t="shared" si="96"/>
        <v>2.709458122223896E-3</v>
      </c>
      <c r="K255" s="2"/>
      <c r="L255" s="6">
        <f t="shared" si="97"/>
        <v>-3000</v>
      </c>
      <c r="M255" s="2"/>
      <c r="N255" s="7">
        <f t="shared" si="98"/>
        <v>-0.30303030303030304</v>
      </c>
      <c r="O255" s="11"/>
      <c r="P255" s="6">
        <v>59400</v>
      </c>
      <c r="Q255" s="2"/>
      <c r="R255" s="7">
        <f t="shared" si="99"/>
        <v>8.9928388933850911E-3</v>
      </c>
      <c r="S255" s="2"/>
      <c r="T255" s="6">
        <v>69300</v>
      </c>
      <c r="U255" s="2"/>
      <c r="V255" s="7">
        <f t="shared" si="100"/>
        <v>3.1888902252522129E-3</v>
      </c>
      <c r="W255" s="2"/>
      <c r="X255" s="6">
        <f t="shared" si="101"/>
        <v>-9900</v>
      </c>
      <c r="Y255" s="2"/>
      <c r="Z255" s="7">
        <f t="shared" si="102"/>
        <v>-0.14285714285714285</v>
      </c>
    </row>
    <row r="256" spans="1:26" s="26" customFormat="1" outlineLevel="1" collapsed="1" x14ac:dyDescent="0.25">
      <c r="A256" s="27"/>
      <c r="B256" s="13" t="str">
        <f>CONCATENATE("     ","Repair and Maintenance                            ")</f>
        <v xml:space="preserve">     Repair and Maintenance                            </v>
      </c>
      <c r="C256" s="13"/>
      <c r="D256" s="1">
        <f>SUM(OSRRefD22_18x_0)</f>
        <v>10131.150000000001</v>
      </c>
      <c r="E256" s="1"/>
      <c r="F256" s="5">
        <f t="shared" si="95"/>
        <v>6.9281150831024714E-3</v>
      </c>
      <c r="G256" s="1"/>
      <c r="H256" s="1">
        <f>SUM(OSRRefH22_18x_0)</f>
        <v>52367.28</v>
      </c>
      <c r="I256" s="1"/>
      <c r="J256" s="5">
        <f t="shared" si="96"/>
        <v>1.4332015367148785E-2</v>
      </c>
      <c r="K256" s="1"/>
      <c r="L256" s="1">
        <f t="shared" si="97"/>
        <v>-42236.13</v>
      </c>
      <c r="M256" s="1"/>
      <c r="N256" s="5">
        <f t="shared" si="98"/>
        <v>-0.80653663890887595</v>
      </c>
      <c r="O256" s="13"/>
      <c r="P256" s="1">
        <f>SUM(OSRRefP22_18x_0)</f>
        <v>276473.99</v>
      </c>
      <c r="Q256" s="1"/>
      <c r="R256" s="5">
        <f t="shared" si="99"/>
        <v>4.1856667513154221E-2</v>
      </c>
      <c r="S256" s="1"/>
      <c r="T256" s="1">
        <f>SUM(OSRRefT22_18x_0)</f>
        <v>318115.18999999994</v>
      </c>
      <c r="U256" s="1"/>
      <c r="V256" s="5">
        <f t="shared" si="100"/>
        <v>1.463830331739178E-2</v>
      </c>
      <c r="W256" s="1"/>
      <c r="X256" s="1">
        <f t="shared" si="101"/>
        <v>-41641.199999999953</v>
      </c>
      <c r="Y256" s="1"/>
      <c r="Z256" s="5">
        <f t="shared" si="102"/>
        <v>-0.13089975363955414</v>
      </c>
    </row>
    <row r="257" spans="1:26" s="24" customFormat="1" hidden="1" outlineLevel="2" x14ac:dyDescent="0.25">
      <c r="A257" s="25"/>
      <c r="B257" s="11" t="str">
        <f>CONCATENATE("          ", "6371", " - ", "COMPUTER SOFTWARE MAINTENANCE")</f>
        <v xml:space="preserve">          6371 - COMPUTER SOFTWARE MAINTENANCE</v>
      </c>
      <c r="C257" s="11"/>
      <c r="D257" s="6">
        <v>3500</v>
      </c>
      <c r="E257" s="2"/>
      <c r="F257" s="7">
        <f t="shared" si="95"/>
        <v>2.393450179975486E-3</v>
      </c>
      <c r="G257" s="2"/>
      <c r="H257" s="6">
        <v>601</v>
      </c>
      <c r="I257" s="2"/>
      <c r="J257" s="7">
        <f t="shared" si="96"/>
        <v>1.6448326580369307E-4</v>
      </c>
      <c r="K257" s="2"/>
      <c r="L257" s="6">
        <f t="shared" si="97"/>
        <v>2899</v>
      </c>
      <c r="M257" s="2"/>
      <c r="N257" s="7">
        <f t="shared" si="98"/>
        <v>4.8236272878535775</v>
      </c>
      <c r="O257" s="11"/>
      <c r="P257" s="6">
        <v>65436.47</v>
      </c>
      <c r="Q257" s="2"/>
      <c r="R257" s="7">
        <f t="shared" si="99"/>
        <v>9.9067278192226729E-3</v>
      </c>
      <c r="S257" s="2"/>
      <c r="T257" s="6">
        <v>50054.259999999995</v>
      </c>
      <c r="U257" s="2"/>
      <c r="V257" s="7">
        <f t="shared" si="100"/>
        <v>2.3032834119225513E-3</v>
      </c>
      <c r="W257" s="2"/>
      <c r="X257" s="6">
        <f t="shared" si="101"/>
        <v>15382.210000000006</v>
      </c>
      <c r="Y257" s="2"/>
      <c r="Z257" s="7">
        <f t="shared" si="102"/>
        <v>0.30731070642139169</v>
      </c>
    </row>
    <row r="258" spans="1:26" s="24" customFormat="1" hidden="1" outlineLevel="2" x14ac:dyDescent="0.25">
      <c r="A258" s="25"/>
      <c r="B258" s="11" t="str">
        <f>CONCATENATE("          ", "6372", " - ", "COMPUTER HARDWARE MAINTENANCE")</f>
        <v xml:space="preserve">          6372 - COMPUTER HARDWARE MAINTENANCE</v>
      </c>
      <c r="C258" s="11"/>
      <c r="D258" s="6"/>
      <c r="E258" s="2"/>
      <c r="F258" s="7">
        <f t="shared" si="95"/>
        <v>0</v>
      </c>
      <c r="G258" s="2"/>
      <c r="H258" s="6">
        <v>52.31</v>
      </c>
      <c r="I258" s="2"/>
      <c r="J258" s="7">
        <f t="shared" si="96"/>
        <v>1.4316338825609293E-5</v>
      </c>
      <c r="K258" s="2"/>
      <c r="L258" s="6">
        <f t="shared" si="97"/>
        <v>-52.31</v>
      </c>
      <c r="M258" s="2"/>
      <c r="N258" s="7">
        <f t="shared" si="98"/>
        <v>-1</v>
      </c>
      <c r="O258" s="11"/>
      <c r="P258" s="6">
        <v>0</v>
      </c>
      <c r="Q258" s="2"/>
      <c r="R258" s="7">
        <f t="shared" si="99"/>
        <v>0</v>
      </c>
      <c r="S258" s="2"/>
      <c r="T258" s="6">
        <v>52.31</v>
      </c>
      <c r="U258" s="2"/>
      <c r="V258" s="7">
        <f t="shared" si="100"/>
        <v>2.4070829391478105E-6</v>
      </c>
      <c r="W258" s="2"/>
      <c r="X258" s="6">
        <f t="shared" si="101"/>
        <v>-52.31</v>
      </c>
      <c r="Y258" s="2"/>
      <c r="Z258" s="7">
        <f t="shared" si="102"/>
        <v>-1</v>
      </c>
    </row>
    <row r="259" spans="1:26" s="24" customFormat="1" hidden="1" outlineLevel="2" x14ac:dyDescent="0.25">
      <c r="A259" s="25"/>
      <c r="B259" s="11" t="str">
        <f>CONCATENATE("          ", "6373", " - ", "MAINTENANCE CONTRACTS")</f>
        <v xml:space="preserve">          6373 - MAINTENANCE CONTRACTS</v>
      </c>
      <c r="C259" s="11"/>
      <c r="D259" s="6">
        <v>1127.94</v>
      </c>
      <c r="E259" s="2"/>
      <c r="F259" s="7">
        <f t="shared" si="95"/>
        <v>7.7133377028615715E-4</v>
      </c>
      <c r="G259" s="2"/>
      <c r="H259" s="6">
        <v>19640.11</v>
      </c>
      <c r="I259" s="2"/>
      <c r="J259" s="7">
        <f t="shared" si="96"/>
        <v>5.375157127360683E-3</v>
      </c>
      <c r="K259" s="2"/>
      <c r="L259" s="6">
        <f t="shared" si="97"/>
        <v>-18512.170000000002</v>
      </c>
      <c r="M259" s="2"/>
      <c r="N259" s="7">
        <f t="shared" si="98"/>
        <v>-0.94256956809305048</v>
      </c>
      <c r="O259" s="11"/>
      <c r="P259" s="6">
        <v>175361.03</v>
      </c>
      <c r="Q259" s="2"/>
      <c r="R259" s="7">
        <f t="shared" si="99"/>
        <v>2.6548711969159425E-2</v>
      </c>
      <c r="S259" s="2"/>
      <c r="T259" s="6">
        <v>118724.55999999998</v>
      </c>
      <c r="U259" s="2"/>
      <c r="V259" s="7">
        <f t="shared" si="100"/>
        <v>5.4631975307556967E-3</v>
      </c>
      <c r="W259" s="2"/>
      <c r="X259" s="6">
        <f t="shared" si="101"/>
        <v>56636.470000000016</v>
      </c>
      <c r="Y259" s="2"/>
      <c r="Z259" s="7">
        <f t="shared" si="102"/>
        <v>0.47704089196034943</v>
      </c>
    </row>
    <row r="260" spans="1:26" s="24" customFormat="1" hidden="1" outlineLevel="2" x14ac:dyDescent="0.25">
      <c r="A260" s="25"/>
      <c r="B260" s="11" t="str">
        <f>CONCATENATE("          ", "6375", " - ", "OUTSIDE REPAIRS &amp; MAINTENANCE")</f>
        <v xml:space="preserve">          6375 - OUTSIDE REPAIRS &amp; MAINTENANCE</v>
      </c>
      <c r="C260" s="11"/>
      <c r="D260" s="6">
        <v>5503.21</v>
      </c>
      <c r="E260" s="2"/>
      <c r="F260" s="7">
        <f t="shared" si="95"/>
        <v>3.7633311328408268E-3</v>
      </c>
      <c r="G260" s="2"/>
      <c r="H260" s="6">
        <v>32073.859999999997</v>
      </c>
      <c r="I260" s="2"/>
      <c r="J260" s="7">
        <f t="shared" si="96"/>
        <v>8.7780586351588006E-3</v>
      </c>
      <c r="K260" s="2"/>
      <c r="L260" s="6">
        <f t="shared" si="97"/>
        <v>-26570.649999999998</v>
      </c>
      <c r="M260" s="2"/>
      <c r="N260" s="7">
        <f t="shared" si="98"/>
        <v>-0.82842071393963812</v>
      </c>
      <c r="O260" s="11"/>
      <c r="P260" s="6">
        <v>35676.49</v>
      </c>
      <c r="Q260" s="2"/>
      <c r="R260" s="7">
        <f t="shared" si="99"/>
        <v>5.4012277247721258E-3</v>
      </c>
      <c r="S260" s="2"/>
      <c r="T260" s="6">
        <v>149284.06</v>
      </c>
      <c r="U260" s="2"/>
      <c r="V260" s="7">
        <f t="shared" si="100"/>
        <v>6.8694152917743844E-3</v>
      </c>
      <c r="W260" s="2"/>
      <c r="X260" s="6">
        <f t="shared" si="101"/>
        <v>-113607.57</v>
      </c>
      <c r="Y260" s="2"/>
      <c r="Z260" s="7">
        <f t="shared" si="102"/>
        <v>-0.76101607901071289</v>
      </c>
    </row>
    <row r="261" spans="1:26" s="26" customFormat="1" outlineLevel="1" collapsed="1" x14ac:dyDescent="0.25">
      <c r="A261" s="27"/>
      <c r="B261" s="13" t="str">
        <f>CONCATENATE("     ","Royalty &amp; Commissions                             ")</f>
        <v xml:space="preserve">     Royalty &amp; Commissions                             </v>
      </c>
      <c r="C261" s="13"/>
      <c r="D261" s="1">
        <f>SUM(OSRRefD22_19x_0)</f>
        <v>7789.59</v>
      </c>
      <c r="E261" s="1"/>
      <c r="F261" s="5">
        <f t="shared" ref="F261:F264" si="103">IF(D$12=0,0,D261/D$12)</f>
        <v>5.3268558821243563E-3</v>
      </c>
      <c r="G261" s="1"/>
      <c r="H261" s="1">
        <f>SUM(OSRRefH22_19x_0)</f>
        <v>34451.32</v>
      </c>
      <c r="I261" s="1"/>
      <c r="J261" s="5">
        <f t="shared" ref="J261:J264" si="104">IF(H$12=0,0,H261/H$12)</f>
        <v>9.4287281611449038E-3</v>
      </c>
      <c r="K261" s="1"/>
      <c r="L261" s="1">
        <f t="shared" ref="L261:L264" si="105">+D261-H261</f>
        <v>-26661.73</v>
      </c>
      <c r="M261" s="1"/>
      <c r="N261" s="5">
        <f t="shared" ref="N261:N264" si="106">IF(H261=0,0,L261/H261)</f>
        <v>-0.77389574622975255</v>
      </c>
      <c r="O261" s="13"/>
      <c r="P261" s="1">
        <f>SUM(OSRRefP22_19x_0)</f>
        <v>36551.350000000006</v>
      </c>
      <c r="Q261" s="1"/>
      <c r="R261" s="5">
        <f t="shared" ref="R261:R264" si="107">IF(P$12=0,0,P261/P$12)</f>
        <v>5.5336767994230845E-3</v>
      </c>
      <c r="S261" s="1"/>
      <c r="T261" s="1">
        <f>SUM(OSRRefT22_19x_0)</f>
        <v>246949.06</v>
      </c>
      <c r="U261" s="1"/>
      <c r="V261" s="5">
        <f t="shared" ref="V261:V264" si="108">IF(T$12=0,0,T261/T$12)</f>
        <v>1.1363541754245631E-2</v>
      </c>
      <c r="W261" s="1"/>
      <c r="X261" s="1">
        <f t="shared" ref="X261:X264" si="109">+P261-T261</f>
        <v>-210397.71</v>
      </c>
      <c r="Y261" s="1"/>
      <c r="Z261" s="5">
        <f t="shared" ref="Z261:Z264" si="110">IF(T261=0,0,X261/T261)</f>
        <v>-0.85198830074510101</v>
      </c>
    </row>
    <row r="262" spans="1:26" s="24" customFormat="1" hidden="1" outlineLevel="2" x14ac:dyDescent="0.25">
      <c r="A262" s="25"/>
      <c r="B262" s="11" t="str">
        <f>CONCATENATE("          ", "6253", " - ", "ROYALTY DUE ATHLETICS-LRG")</f>
        <v xml:space="preserve">          6253 - ROYALTY DUE ATHLETICS-LRG</v>
      </c>
      <c r="C262" s="11"/>
      <c r="D262" s="6">
        <v>7785.78</v>
      </c>
      <c r="E262" s="2"/>
      <c r="F262" s="7">
        <f t="shared" si="103"/>
        <v>5.3242504406427254E-3</v>
      </c>
      <c r="G262" s="2"/>
      <c r="H262" s="6"/>
      <c r="I262" s="2"/>
      <c r="J262" s="7">
        <f t="shared" si="104"/>
        <v>0</v>
      </c>
      <c r="K262" s="2"/>
      <c r="L262" s="6">
        <f t="shared" si="105"/>
        <v>7785.78</v>
      </c>
      <c r="M262" s="2"/>
      <c r="N262" s="7">
        <f t="shared" si="106"/>
        <v>0</v>
      </c>
      <c r="O262" s="11"/>
      <c r="P262" s="6">
        <v>26197.58</v>
      </c>
      <c r="Q262" s="2"/>
      <c r="R262" s="7">
        <f t="shared" si="107"/>
        <v>3.966171992198105E-3</v>
      </c>
      <c r="S262" s="2"/>
      <c r="T262" s="6">
        <v>4366.95</v>
      </c>
      <c r="U262" s="2"/>
      <c r="V262" s="7">
        <f t="shared" si="108"/>
        <v>2.0094840070945382E-4</v>
      </c>
      <c r="W262" s="2"/>
      <c r="X262" s="6">
        <f t="shared" si="109"/>
        <v>21830.63</v>
      </c>
      <c r="Y262" s="2"/>
      <c r="Z262" s="7">
        <f t="shared" si="110"/>
        <v>4.9990565497658555</v>
      </c>
    </row>
    <row r="263" spans="1:26" s="24" customFormat="1" hidden="1" outlineLevel="2" x14ac:dyDescent="0.25">
      <c r="A263" s="25"/>
      <c r="B263" s="11" t="str">
        <f>CONCATENATE("          ", "6254", " - ", "ROYALTY &amp; COMMISSIONS")</f>
        <v xml:space="preserve">          6254 - ROYALTY &amp; COMMISSIONS</v>
      </c>
      <c r="C263" s="11"/>
      <c r="D263" s="6"/>
      <c r="E263" s="2"/>
      <c r="F263" s="7">
        <f t="shared" si="103"/>
        <v>0</v>
      </c>
      <c r="G263" s="2"/>
      <c r="H263" s="6">
        <v>18402.18</v>
      </c>
      <c r="I263" s="2"/>
      <c r="J263" s="7">
        <f t="shared" si="104"/>
        <v>5.0363571785480947E-3</v>
      </c>
      <c r="K263" s="2"/>
      <c r="L263" s="6">
        <f t="shared" si="105"/>
        <v>-18402.18</v>
      </c>
      <c r="M263" s="2"/>
      <c r="N263" s="7">
        <f t="shared" si="106"/>
        <v>-1</v>
      </c>
      <c r="O263" s="11"/>
      <c r="P263" s="6">
        <v>185.7</v>
      </c>
      <c r="Q263" s="2"/>
      <c r="R263" s="7">
        <f t="shared" si="107"/>
        <v>2.8113976136390766E-5</v>
      </c>
      <c r="S263" s="2"/>
      <c r="T263" s="6">
        <v>97327.87</v>
      </c>
      <c r="U263" s="2"/>
      <c r="V263" s="7">
        <f t="shared" si="108"/>
        <v>4.4786131787535079E-3</v>
      </c>
      <c r="W263" s="2"/>
      <c r="X263" s="6">
        <f t="shared" si="109"/>
        <v>-97142.17</v>
      </c>
      <c r="Y263" s="2"/>
      <c r="Z263" s="7">
        <f t="shared" si="110"/>
        <v>-0.99809201619227872</v>
      </c>
    </row>
    <row r="264" spans="1:26" s="24" customFormat="1" hidden="1" outlineLevel="2" x14ac:dyDescent="0.25">
      <c r="A264" s="25"/>
      <c r="B264" s="11" t="str">
        <f>CONCATENATE("          ", "6259", " - ", "ROYALTY &amp; COMMISSIONS")</f>
        <v xml:space="preserve">          6259 - ROYALTY &amp; COMMISSIONS</v>
      </c>
      <c r="C264" s="11"/>
      <c r="D264" s="6">
        <v>3.81</v>
      </c>
      <c r="E264" s="2"/>
      <c r="F264" s="7">
        <f t="shared" si="103"/>
        <v>2.6054414816304577E-6</v>
      </c>
      <c r="G264" s="2"/>
      <c r="H264" s="6">
        <v>16049.14</v>
      </c>
      <c r="I264" s="2"/>
      <c r="J264" s="7">
        <f t="shared" si="104"/>
        <v>4.3923709825968099E-3</v>
      </c>
      <c r="K264" s="2"/>
      <c r="L264" s="6">
        <f t="shared" si="105"/>
        <v>-16045.33</v>
      </c>
      <c r="M264" s="2"/>
      <c r="N264" s="7">
        <f t="shared" si="106"/>
        <v>-0.99976260410215134</v>
      </c>
      <c r="O264" s="11"/>
      <c r="P264" s="6">
        <v>10168.07</v>
      </c>
      <c r="Q264" s="2"/>
      <c r="R264" s="7">
        <f t="shared" si="107"/>
        <v>1.5393908310885884E-3</v>
      </c>
      <c r="S264" s="2"/>
      <c r="T264" s="6">
        <v>145254.24</v>
      </c>
      <c r="U264" s="2"/>
      <c r="V264" s="7">
        <f t="shared" si="108"/>
        <v>6.6839801747826683E-3</v>
      </c>
      <c r="W264" s="2"/>
      <c r="X264" s="6">
        <f t="shared" si="109"/>
        <v>-135086.16999999998</v>
      </c>
      <c r="Y264" s="2"/>
      <c r="Z264" s="7">
        <f t="shared" si="110"/>
        <v>-0.92999811915989505</v>
      </c>
    </row>
    <row r="265" spans="1:26" s="26" customFormat="1" outlineLevel="1" collapsed="1" x14ac:dyDescent="0.25">
      <c r="A265" s="27"/>
      <c r="B265" s="13" t="str">
        <f>CONCATENATE("     ","Services                                          ")</f>
        <v xml:space="preserve">     Services                                          </v>
      </c>
      <c r="C265" s="13"/>
      <c r="D265" s="1">
        <f>SUM(OSRRefD22_20x_0)</f>
        <v>27196.27</v>
      </c>
      <c r="E265" s="1"/>
      <c r="F265" s="5">
        <f t="shared" ref="F265:F270" si="111">IF(D$12=0,0,D265/D$12)</f>
        <v>1.8597976378903404E-2</v>
      </c>
      <c r="G265" s="1"/>
      <c r="H265" s="1">
        <f>SUM(OSRRefH22_20x_0)</f>
        <v>47808.850000000006</v>
      </c>
      <c r="I265" s="1"/>
      <c r="J265" s="5">
        <f t="shared" ref="J265:J270" si="112">IF(H$12=0,0,H265/H$12)</f>
        <v>1.308445221683676E-2</v>
      </c>
      <c r="K265" s="1"/>
      <c r="L265" s="1">
        <f t="shared" ref="L265:L270" si="113">+D265-H265</f>
        <v>-20612.580000000005</v>
      </c>
      <c r="M265" s="1"/>
      <c r="N265" s="5">
        <f t="shared" ref="N265:N270" si="114">IF(H265=0,0,L265/H265)</f>
        <v>-0.43114569791994584</v>
      </c>
      <c r="O265" s="13"/>
      <c r="P265" s="1">
        <f>SUM(OSRRefP22_20x_0)</f>
        <v>148949.16</v>
      </c>
      <c r="Q265" s="1"/>
      <c r="R265" s="5">
        <f t="shared" ref="R265:R270" si="115">IF(P$12=0,0,P265/P$12)</f>
        <v>2.2550097629377763E-2</v>
      </c>
      <c r="S265" s="1"/>
      <c r="T265" s="1">
        <f>SUM(OSRRefT22_20x_0)</f>
        <v>330791.76</v>
      </c>
      <c r="U265" s="1"/>
      <c r="V265" s="5">
        <f t="shared" ref="V265:V270" si="116">IF(T$12=0,0,T265/T$12)</f>
        <v>1.5221624964761557E-2</v>
      </c>
      <c r="W265" s="1"/>
      <c r="X265" s="1">
        <f t="shared" ref="X265:X270" si="117">+P265-T265</f>
        <v>-181842.6</v>
      </c>
      <c r="Y265" s="1"/>
      <c r="Z265" s="5">
        <f t="shared" ref="Z265:Z270" si="118">IF(T265=0,0,X265/T265)</f>
        <v>-0.54971925540104138</v>
      </c>
    </row>
    <row r="266" spans="1:26" s="24" customFormat="1" hidden="1" outlineLevel="2" x14ac:dyDescent="0.25">
      <c r="A266" s="25"/>
      <c r="B266" s="11" t="str">
        <f>CONCATENATE("          ", "6282", " - ", "JANITORIAL/EXTERMINATOR EXPENS")</f>
        <v xml:space="preserve">          6282 - JANITORIAL/EXTERMINATOR EXPENS</v>
      </c>
      <c r="C266" s="11"/>
      <c r="D266" s="6">
        <v>7935.2</v>
      </c>
      <c r="E266" s="2"/>
      <c r="F266" s="7">
        <f t="shared" si="111"/>
        <v>5.4264302480404219E-3</v>
      </c>
      <c r="G266" s="2"/>
      <c r="H266" s="6">
        <v>1722.29</v>
      </c>
      <c r="I266" s="2"/>
      <c r="J266" s="7">
        <f t="shared" si="112"/>
        <v>4.7136087164898925E-4</v>
      </c>
      <c r="K266" s="2"/>
      <c r="L266" s="6">
        <f t="shared" si="113"/>
        <v>6212.91</v>
      </c>
      <c r="M266" s="2"/>
      <c r="N266" s="7">
        <f t="shared" si="114"/>
        <v>3.6073541621910366</v>
      </c>
      <c r="O266" s="11"/>
      <c r="P266" s="6">
        <v>23998.36</v>
      </c>
      <c r="Q266" s="2"/>
      <c r="R266" s="7">
        <f t="shared" si="115"/>
        <v>3.6332219728191424E-3</v>
      </c>
      <c r="S266" s="2"/>
      <c r="T266" s="6">
        <v>27244.01</v>
      </c>
      <c r="U266" s="2"/>
      <c r="V266" s="7">
        <f t="shared" si="116"/>
        <v>1.2536530618423309E-3</v>
      </c>
      <c r="W266" s="2"/>
      <c r="X266" s="6">
        <f t="shared" si="117"/>
        <v>-3245.6499999999978</v>
      </c>
      <c r="Y266" s="2"/>
      <c r="Z266" s="7">
        <f t="shared" si="118"/>
        <v>-0.11913260933320749</v>
      </c>
    </row>
    <row r="267" spans="1:26" s="24" customFormat="1" hidden="1" outlineLevel="2" x14ac:dyDescent="0.25">
      <c r="A267" s="25"/>
      <c r="B267" s="11" t="str">
        <f>CONCATENATE("          ", "6283", " - ", "PLANT SERVICE")</f>
        <v xml:space="preserve">          6283 - PLANT SERVICE</v>
      </c>
      <c r="C267" s="11"/>
      <c r="D267" s="6"/>
      <c r="E267" s="2"/>
      <c r="F267" s="7">
        <f t="shared" si="111"/>
        <v>0</v>
      </c>
      <c r="G267" s="2"/>
      <c r="H267" s="6"/>
      <c r="I267" s="2"/>
      <c r="J267" s="7">
        <f t="shared" si="112"/>
        <v>0</v>
      </c>
      <c r="K267" s="2"/>
      <c r="L267" s="6">
        <f t="shared" si="113"/>
        <v>0</v>
      </c>
      <c r="M267" s="2"/>
      <c r="N267" s="7">
        <f t="shared" si="114"/>
        <v>0</v>
      </c>
      <c r="O267" s="11"/>
      <c r="P267" s="6">
        <v>171.31</v>
      </c>
      <c r="Q267" s="2"/>
      <c r="R267" s="7">
        <f t="shared" si="115"/>
        <v>2.5935407926360271E-5</v>
      </c>
      <c r="S267" s="2"/>
      <c r="T267" s="6">
        <v>1341.1</v>
      </c>
      <c r="U267" s="2"/>
      <c r="V267" s="7">
        <f t="shared" si="116"/>
        <v>6.1711698139765405E-5</v>
      </c>
      <c r="W267" s="2"/>
      <c r="X267" s="6">
        <f t="shared" si="117"/>
        <v>-1169.79</v>
      </c>
      <c r="Y267" s="2"/>
      <c r="Z267" s="7">
        <f t="shared" si="118"/>
        <v>-0.87226157631794798</v>
      </c>
    </row>
    <row r="268" spans="1:26" s="24" customFormat="1" hidden="1" outlineLevel="2" x14ac:dyDescent="0.25">
      <c r="A268" s="25"/>
      <c r="B268" s="11" t="str">
        <f>CONCATENATE("          ", "6284", " - ", "TRASH REMOVAL EXPENSE")</f>
        <v xml:space="preserve">          6284 - TRASH REMOVAL EXPENSE</v>
      </c>
      <c r="C268" s="11"/>
      <c r="D268" s="6">
        <v>5800.57</v>
      </c>
      <c r="E268" s="2"/>
      <c r="F268" s="7">
        <f t="shared" si="111"/>
        <v>3.9666786601315444E-3</v>
      </c>
      <c r="G268" s="2"/>
      <c r="H268" s="6">
        <v>5553.82</v>
      </c>
      <c r="I268" s="2"/>
      <c r="J268" s="7">
        <f t="shared" si="112"/>
        <v>1.5199841119565168E-3</v>
      </c>
      <c r="K268" s="2"/>
      <c r="L268" s="6">
        <f t="shared" si="113"/>
        <v>246.75</v>
      </c>
      <c r="M268" s="2"/>
      <c r="N268" s="7">
        <f t="shared" si="114"/>
        <v>4.4428879581981412E-2</v>
      </c>
      <c r="O268" s="11"/>
      <c r="P268" s="6">
        <v>26399.759999999998</v>
      </c>
      <c r="Q268" s="2"/>
      <c r="R268" s="7">
        <f t="shared" si="115"/>
        <v>3.9967809512463301E-3</v>
      </c>
      <c r="S268" s="2"/>
      <c r="T268" s="6">
        <v>30988.739999999998</v>
      </c>
      <c r="U268" s="2"/>
      <c r="V268" s="7">
        <f t="shared" si="116"/>
        <v>1.4259695538078247E-3</v>
      </c>
      <c r="W268" s="2"/>
      <c r="X268" s="6">
        <f t="shared" si="117"/>
        <v>-4588.9799999999996</v>
      </c>
      <c r="Y268" s="2"/>
      <c r="Z268" s="7">
        <f t="shared" si="118"/>
        <v>-0.14808540134255216</v>
      </c>
    </row>
    <row r="269" spans="1:26" s="24" customFormat="1" hidden="1" outlineLevel="2" x14ac:dyDescent="0.25">
      <c r="A269" s="25"/>
      <c r="B269" s="11" t="str">
        <f>CONCATENATE("          ", "6285", " - ", "JANITORIAL SERVICES")</f>
        <v xml:space="preserve">          6285 - JANITORIAL SERVICES</v>
      </c>
      <c r="C269" s="11"/>
      <c r="D269" s="6">
        <v>12687.19</v>
      </c>
      <c r="E269" s="2"/>
      <c r="F269" s="7">
        <f t="shared" si="111"/>
        <v>8.6760449111094821E-3</v>
      </c>
      <c r="G269" s="2"/>
      <c r="H269" s="6">
        <v>32988.080000000002</v>
      </c>
      <c r="I269" s="2"/>
      <c r="J269" s="7">
        <f t="shared" si="112"/>
        <v>9.02826477702744E-3</v>
      </c>
      <c r="K269" s="2"/>
      <c r="L269" s="6">
        <f t="shared" si="113"/>
        <v>-20300.89</v>
      </c>
      <c r="M269" s="2"/>
      <c r="N269" s="7">
        <f t="shared" si="114"/>
        <v>-0.61540077506784263</v>
      </c>
      <c r="O269" s="11"/>
      <c r="P269" s="6">
        <v>86757.260000000009</v>
      </c>
      <c r="Q269" s="2"/>
      <c r="R269" s="7">
        <f t="shared" si="115"/>
        <v>1.3134580168544154E-2</v>
      </c>
      <c r="S269" s="2"/>
      <c r="T269" s="6">
        <v>211813.22</v>
      </c>
      <c r="U269" s="2"/>
      <c r="V269" s="7">
        <f t="shared" si="116"/>
        <v>9.7467403584011042E-3</v>
      </c>
      <c r="W269" s="2"/>
      <c r="X269" s="6">
        <f t="shared" si="117"/>
        <v>-125055.95999999999</v>
      </c>
      <c r="Y269" s="2"/>
      <c r="Z269" s="7">
        <f t="shared" si="118"/>
        <v>-0.59040677442135103</v>
      </c>
    </row>
    <row r="270" spans="1:26" s="24" customFormat="1" hidden="1" outlineLevel="2" x14ac:dyDescent="0.25">
      <c r="A270" s="25"/>
      <c r="B270" s="11" t="str">
        <f>CONCATENATE("          ", "6286", " - ", "LAUNDRY EXPENSE")</f>
        <v xml:space="preserve">          6286 - LAUNDRY EXPENSE</v>
      </c>
      <c r="C270" s="11"/>
      <c r="D270" s="6">
        <v>773.31</v>
      </c>
      <c r="E270" s="2"/>
      <c r="F270" s="7">
        <f t="shared" si="111"/>
        <v>5.2882255962195519E-4</v>
      </c>
      <c r="G270" s="2"/>
      <c r="H270" s="6">
        <v>7544.66</v>
      </c>
      <c r="I270" s="2"/>
      <c r="J270" s="7">
        <f t="shared" si="112"/>
        <v>2.064842456203812E-3</v>
      </c>
      <c r="K270" s="2"/>
      <c r="L270" s="6">
        <f t="shared" si="113"/>
        <v>-6771.35</v>
      </c>
      <c r="M270" s="2"/>
      <c r="N270" s="7">
        <f t="shared" si="114"/>
        <v>-0.89750233940296853</v>
      </c>
      <c r="O270" s="11"/>
      <c r="P270" s="6">
        <v>11622.47</v>
      </c>
      <c r="Q270" s="2"/>
      <c r="R270" s="7">
        <f t="shared" si="115"/>
        <v>1.7595791288417748E-3</v>
      </c>
      <c r="S270" s="2"/>
      <c r="T270" s="6">
        <v>59404.69</v>
      </c>
      <c r="U270" s="2"/>
      <c r="V270" s="7">
        <f t="shared" si="116"/>
        <v>2.733550292570532E-3</v>
      </c>
      <c r="W270" s="2"/>
      <c r="X270" s="6">
        <f t="shared" si="117"/>
        <v>-47782.22</v>
      </c>
      <c r="Y270" s="2"/>
      <c r="Z270" s="7">
        <f t="shared" si="118"/>
        <v>-0.80435096959516161</v>
      </c>
    </row>
    <row r="271" spans="1:26" s="26" customFormat="1" outlineLevel="1" collapsed="1" x14ac:dyDescent="0.25">
      <c r="A271" s="27"/>
      <c r="B271" s="13" t="str">
        <f>CONCATENATE("     ","Subscriptions &amp; Dues                              ")</f>
        <v xml:space="preserve">     Subscriptions &amp; Dues                              </v>
      </c>
      <c r="C271" s="13"/>
      <c r="D271" s="1">
        <f>SUM(OSRRefD22_21x_0)</f>
        <v>2389.69</v>
      </c>
      <c r="E271" s="1"/>
      <c r="F271" s="5">
        <f t="shared" ref="F271:F273" si="119">IF(D$12=0,0,D271/D$12)</f>
        <v>1.6341725601673198E-3</v>
      </c>
      <c r="G271" s="1"/>
      <c r="H271" s="1">
        <f>SUM(OSRRefH22_21x_0)</f>
        <v>1920.48</v>
      </c>
      <c r="I271" s="1"/>
      <c r="J271" s="5">
        <f t="shared" ref="J271:J273" si="120">IF(H$12=0,0,H271/H$12)</f>
        <v>5.256020337948028E-4</v>
      </c>
      <c r="K271" s="1"/>
      <c r="L271" s="1">
        <f t="shared" ref="L271:L273" si="121">+D271-H271</f>
        <v>469.21000000000004</v>
      </c>
      <c r="M271" s="1"/>
      <c r="N271" s="5">
        <f t="shared" ref="N271:N273" si="122">IF(H271=0,0,L271/H271)</f>
        <v>0.24431912855119556</v>
      </c>
      <c r="O271" s="13"/>
      <c r="P271" s="1">
        <f>SUM(OSRRefP22_21x_0)</f>
        <v>5174.3</v>
      </c>
      <c r="Q271" s="1"/>
      <c r="R271" s="5">
        <f t="shared" ref="R271:R273" si="123">IF(P$12=0,0,P271/P$12)</f>
        <v>7.8336104858657378E-4</v>
      </c>
      <c r="S271" s="1"/>
      <c r="T271" s="1">
        <f>SUM(OSRRefT22_21x_0)</f>
        <v>6721.24</v>
      </c>
      <c r="U271" s="1"/>
      <c r="V271" s="5">
        <f t="shared" ref="V271:V273" si="124">IF(T$12=0,0,T271/T$12)</f>
        <v>3.0928277831997376E-4</v>
      </c>
      <c r="W271" s="1"/>
      <c r="X271" s="1">
        <f t="shared" ref="X271:X273" si="125">+P271-T271</f>
        <v>-1546.9399999999996</v>
      </c>
      <c r="Y271" s="1"/>
      <c r="Z271" s="5">
        <f t="shared" ref="Z271:Z273" si="126">IF(T271=0,0,X271/T271)</f>
        <v>-0.23015693532740977</v>
      </c>
    </row>
    <row r="272" spans="1:26" s="24" customFormat="1" hidden="1" outlineLevel="2" x14ac:dyDescent="0.25">
      <c r="A272" s="25"/>
      <c r="B272" s="11" t="str">
        <f>CONCATENATE("          ", "6258", " - ", "MEMBERSHIP DUES")</f>
        <v xml:space="preserve">          6258 - MEMBERSHIP DUES</v>
      </c>
      <c r="C272" s="11"/>
      <c r="D272" s="6">
        <v>462.61</v>
      </c>
      <c r="E272" s="2"/>
      <c r="F272" s="7">
        <f t="shared" si="119"/>
        <v>3.1635256793098847E-4</v>
      </c>
      <c r="G272" s="2"/>
      <c r="H272" s="6">
        <v>1214.3</v>
      </c>
      <c r="I272" s="2"/>
      <c r="J272" s="7">
        <f t="shared" si="120"/>
        <v>3.3233282806227035E-4</v>
      </c>
      <c r="K272" s="2"/>
      <c r="L272" s="6">
        <f t="shared" si="121"/>
        <v>-751.68999999999994</v>
      </c>
      <c r="M272" s="2"/>
      <c r="N272" s="7">
        <f t="shared" si="122"/>
        <v>-0.61903154080540224</v>
      </c>
      <c r="O272" s="11"/>
      <c r="P272" s="6">
        <v>2487.3200000000002</v>
      </c>
      <c r="Q272" s="2"/>
      <c r="R272" s="7">
        <f t="shared" si="123"/>
        <v>3.7656680195782171E-4</v>
      </c>
      <c r="S272" s="2"/>
      <c r="T272" s="6">
        <v>1621.7</v>
      </c>
      <c r="U272" s="2"/>
      <c r="V272" s="7">
        <f t="shared" si="124"/>
        <v>7.4623712529459067E-5</v>
      </c>
      <c r="W272" s="2"/>
      <c r="X272" s="6">
        <f t="shared" si="125"/>
        <v>865.62000000000012</v>
      </c>
      <c r="Y272" s="2"/>
      <c r="Z272" s="7">
        <f t="shared" si="126"/>
        <v>0.53377320096195358</v>
      </c>
    </row>
    <row r="273" spans="1:26" s="24" customFormat="1" hidden="1" outlineLevel="2" x14ac:dyDescent="0.25">
      <c r="A273" s="25"/>
      <c r="B273" s="11" t="str">
        <f>CONCATENATE("          ", "6275", " - ", "SUBSCRIPTIONS")</f>
        <v xml:space="preserve">          6275 - SUBSCRIPTIONS</v>
      </c>
      <c r="C273" s="11"/>
      <c r="D273" s="6">
        <v>1927.08</v>
      </c>
      <c r="E273" s="2"/>
      <c r="F273" s="7">
        <f t="shared" si="119"/>
        <v>1.3178199922363313E-3</v>
      </c>
      <c r="G273" s="2"/>
      <c r="H273" s="6">
        <v>706.18</v>
      </c>
      <c r="I273" s="2"/>
      <c r="J273" s="7">
        <f t="shared" si="120"/>
        <v>1.9326920573253239E-4</v>
      </c>
      <c r="K273" s="2"/>
      <c r="L273" s="6">
        <f t="shared" si="121"/>
        <v>1220.9000000000001</v>
      </c>
      <c r="M273" s="2"/>
      <c r="N273" s="7">
        <f t="shared" si="122"/>
        <v>1.728879322552324</v>
      </c>
      <c r="O273" s="11"/>
      <c r="P273" s="6">
        <v>2686.98</v>
      </c>
      <c r="Q273" s="2"/>
      <c r="R273" s="7">
        <f t="shared" si="123"/>
        <v>4.0679424662875212E-4</v>
      </c>
      <c r="S273" s="2"/>
      <c r="T273" s="6">
        <v>5099.54</v>
      </c>
      <c r="U273" s="2"/>
      <c r="V273" s="7">
        <f t="shared" si="124"/>
        <v>2.3465906579051471E-4</v>
      </c>
      <c r="W273" s="2"/>
      <c r="X273" s="6">
        <f t="shared" si="125"/>
        <v>-2412.56</v>
      </c>
      <c r="Y273" s="2"/>
      <c r="Z273" s="7">
        <f t="shared" si="126"/>
        <v>-0.47309365158426053</v>
      </c>
    </row>
    <row r="274" spans="1:26" s="26" customFormat="1" outlineLevel="1" collapsed="1" x14ac:dyDescent="0.25">
      <c r="A274" s="27"/>
      <c r="B274" s="13" t="str">
        <f>CONCATENATE("     ","Supplies                                          ")</f>
        <v xml:space="preserve">     Supplies                                          </v>
      </c>
      <c r="C274" s="13"/>
      <c r="D274" s="1">
        <f>SUM(OSRRefD22_22x_0)</f>
        <v>24642.68</v>
      </c>
      <c r="E274" s="1"/>
      <c r="F274" s="5">
        <f t="shared" ref="F274:F283" si="127">IF(D$12=0,0,D274/D$12)</f>
        <v>1.6851721966022373E-2</v>
      </c>
      <c r="G274" s="1"/>
      <c r="H274" s="1">
        <f>SUM(OSRRefH22_22x_0)</f>
        <v>45327.42</v>
      </c>
      <c r="I274" s="1"/>
      <c r="J274" s="5">
        <f t="shared" ref="J274:J283" si="128">IF(H$12=0,0,H274/H$12)</f>
        <v>1.2405327906914532E-2</v>
      </c>
      <c r="K274" s="1"/>
      <c r="L274" s="1">
        <f t="shared" ref="L274:L283" si="129">+D274-H274</f>
        <v>-20684.739999999998</v>
      </c>
      <c r="M274" s="1"/>
      <c r="N274" s="5">
        <f t="shared" ref="N274:N283" si="130">IF(H274=0,0,L274/H274)</f>
        <v>-0.45634055501063153</v>
      </c>
      <c r="O274" s="13"/>
      <c r="P274" s="1">
        <f>SUM(OSRRefP22_22x_0)</f>
        <v>215282.59999999998</v>
      </c>
      <c r="Q274" s="1"/>
      <c r="R274" s="5">
        <f t="shared" ref="R274:R283" si="131">IF(P$12=0,0,P274/P$12)</f>
        <v>3.259262185772837E-2</v>
      </c>
      <c r="S274" s="1"/>
      <c r="T274" s="1">
        <f>SUM(OSRRefT22_22x_0)</f>
        <v>406239.97999999992</v>
      </c>
      <c r="U274" s="1"/>
      <c r="V274" s="5">
        <f t="shared" ref="V274:V283" si="132">IF(T$12=0,0,T274/T$12)</f>
        <v>1.8693430033602514E-2</v>
      </c>
      <c r="W274" s="1"/>
      <c r="X274" s="1">
        <f t="shared" ref="X274:X283" si="133">+P274-T274</f>
        <v>-190957.37999999995</v>
      </c>
      <c r="Y274" s="1"/>
      <c r="Z274" s="5">
        <f t="shared" ref="Z274:Z283" si="134">IF(T274=0,0,X274/T274)</f>
        <v>-0.47006052924677671</v>
      </c>
    </row>
    <row r="275" spans="1:26" s="24" customFormat="1" hidden="1" outlineLevel="2" x14ac:dyDescent="0.25">
      <c r="A275" s="25"/>
      <c r="B275" s="11" t="str">
        <f>CONCATENATE("          ", "6234", " - ", "EXPENDABLE SUPPLIES &amp; EQUIPMEN")</f>
        <v xml:space="preserve">          6234 - EXPENDABLE SUPPLIES &amp; EQUIPMEN</v>
      </c>
      <c r="C275" s="11"/>
      <c r="D275" s="6">
        <v>396.5</v>
      </c>
      <c r="E275" s="2"/>
      <c r="F275" s="7">
        <f t="shared" si="127"/>
        <v>2.7114371324579435E-4</v>
      </c>
      <c r="G275" s="2"/>
      <c r="H275" s="6">
        <v>2346.9899999999998</v>
      </c>
      <c r="I275" s="2"/>
      <c r="J275" s="7">
        <f t="shared" si="128"/>
        <v>6.4233041598770314E-4</v>
      </c>
      <c r="K275" s="2"/>
      <c r="L275" s="6">
        <f t="shared" si="129"/>
        <v>-1950.4899999999998</v>
      </c>
      <c r="M275" s="2"/>
      <c r="N275" s="7">
        <f t="shared" si="130"/>
        <v>-0.83106020903369848</v>
      </c>
      <c r="O275" s="11"/>
      <c r="P275" s="6">
        <v>574.74</v>
      </c>
      <c r="Q275" s="2"/>
      <c r="R275" s="7">
        <f t="shared" si="131"/>
        <v>8.7012529050238175E-5</v>
      </c>
      <c r="S275" s="2"/>
      <c r="T275" s="6">
        <v>17978.190000000002</v>
      </c>
      <c r="U275" s="2"/>
      <c r="V275" s="7">
        <f t="shared" si="132"/>
        <v>8.2727957227600414E-4</v>
      </c>
      <c r="W275" s="2"/>
      <c r="X275" s="6">
        <f t="shared" si="133"/>
        <v>-17403.45</v>
      </c>
      <c r="Y275" s="2"/>
      <c r="Z275" s="7">
        <f t="shared" si="134"/>
        <v>-0.96803126454887833</v>
      </c>
    </row>
    <row r="276" spans="1:26" s="24" customFormat="1" hidden="1" outlineLevel="2" x14ac:dyDescent="0.25">
      <c r="A276" s="25"/>
      <c r="B276" s="11" t="str">
        <f>CONCATENATE("          ", "6235", " - ", "COVID-19 EXPENSES")</f>
        <v xml:space="preserve">          6235 - COVID-19 EXPENSES</v>
      </c>
      <c r="C276" s="11"/>
      <c r="D276" s="6">
        <v>5842.4</v>
      </c>
      <c r="E276" s="2"/>
      <c r="F276" s="7">
        <f t="shared" si="127"/>
        <v>3.9952838089967937E-3</v>
      </c>
      <c r="G276" s="2"/>
      <c r="H276" s="6"/>
      <c r="I276" s="2"/>
      <c r="J276" s="7">
        <f t="shared" si="128"/>
        <v>0</v>
      </c>
      <c r="K276" s="2"/>
      <c r="L276" s="6">
        <f t="shared" si="129"/>
        <v>5842.4</v>
      </c>
      <c r="M276" s="2"/>
      <c r="N276" s="7">
        <f t="shared" si="130"/>
        <v>0</v>
      </c>
      <c r="O276" s="11"/>
      <c r="P276" s="6">
        <v>92704.63</v>
      </c>
      <c r="Q276" s="2"/>
      <c r="R276" s="7">
        <f t="shared" si="131"/>
        <v>1.4034979836041657E-2</v>
      </c>
      <c r="S276" s="2"/>
      <c r="T276" s="6"/>
      <c r="U276" s="2"/>
      <c r="V276" s="7">
        <f t="shared" si="132"/>
        <v>0</v>
      </c>
      <c r="W276" s="2"/>
      <c r="X276" s="6">
        <f t="shared" si="133"/>
        <v>92704.63</v>
      </c>
      <c r="Y276" s="2"/>
      <c r="Z276" s="7">
        <f t="shared" si="134"/>
        <v>0</v>
      </c>
    </row>
    <row r="277" spans="1:26" s="24" customFormat="1" hidden="1" outlineLevel="2" x14ac:dyDescent="0.25">
      <c r="A277" s="25"/>
      <c r="B277" s="11" t="str">
        <f>CONCATENATE("          ", "6237", " - ", "JANITORIAL SUPPLIES")</f>
        <v xml:space="preserve">          6237 - JANITORIAL SUPPLIES</v>
      </c>
      <c r="C277" s="11"/>
      <c r="D277" s="6">
        <v>4501.13</v>
      </c>
      <c r="E277" s="2"/>
      <c r="F277" s="7">
        <f t="shared" si="127"/>
        <v>3.0780658310265883E-3</v>
      </c>
      <c r="G277" s="2"/>
      <c r="H277" s="6">
        <v>13291.59</v>
      </c>
      <c r="I277" s="2"/>
      <c r="J277" s="7">
        <f t="shared" si="128"/>
        <v>3.6376774225020114E-3</v>
      </c>
      <c r="K277" s="2"/>
      <c r="L277" s="6">
        <f t="shared" si="129"/>
        <v>-8790.4599999999991</v>
      </c>
      <c r="M277" s="2"/>
      <c r="N277" s="7">
        <f t="shared" si="130"/>
        <v>-0.66135503728297362</v>
      </c>
      <c r="O277" s="11"/>
      <c r="P277" s="6">
        <v>20175.939999999999</v>
      </c>
      <c r="Q277" s="2"/>
      <c r="R277" s="7">
        <f t="shared" si="131"/>
        <v>3.0545282481919864E-3</v>
      </c>
      <c r="S277" s="2"/>
      <c r="T277" s="6">
        <v>99474.17</v>
      </c>
      <c r="U277" s="2"/>
      <c r="V277" s="7">
        <f t="shared" si="132"/>
        <v>4.5773767442723939E-3</v>
      </c>
      <c r="W277" s="2"/>
      <c r="X277" s="6">
        <f t="shared" si="133"/>
        <v>-79298.23</v>
      </c>
      <c r="Y277" s="2"/>
      <c r="Z277" s="7">
        <f t="shared" si="134"/>
        <v>-0.7971740804673213</v>
      </c>
    </row>
    <row r="278" spans="1:26" s="24" customFormat="1" hidden="1" outlineLevel="2" x14ac:dyDescent="0.25">
      <c r="A278" s="25"/>
      <c r="B278" s="11" t="str">
        <f>CONCATENATE("          ", "6239", " - ", "KITCHEN SUPPLIES")</f>
        <v xml:space="preserve">          6239 - KITCHEN SUPPLIES</v>
      </c>
      <c r="C278" s="11"/>
      <c r="D278" s="6">
        <v>979.48</v>
      </c>
      <c r="E278" s="2"/>
      <c r="F278" s="7">
        <f t="shared" si="127"/>
        <v>6.6981045208068263E-4</v>
      </c>
      <c r="G278" s="2"/>
      <c r="H278" s="6">
        <v>5781.44</v>
      </c>
      <c r="I278" s="2"/>
      <c r="J278" s="7">
        <f t="shared" si="128"/>
        <v>1.5822797541565777E-3</v>
      </c>
      <c r="K278" s="2"/>
      <c r="L278" s="6">
        <f t="shared" si="129"/>
        <v>-4801.9599999999991</v>
      </c>
      <c r="M278" s="2"/>
      <c r="N278" s="7">
        <f t="shared" si="130"/>
        <v>-0.83058200033209706</v>
      </c>
      <c r="O278" s="11"/>
      <c r="P278" s="6">
        <v>6813.86</v>
      </c>
      <c r="Q278" s="2"/>
      <c r="R278" s="7">
        <f t="shared" si="131"/>
        <v>1.0315815693953021E-3</v>
      </c>
      <c r="S278" s="2"/>
      <c r="T278" s="6">
        <v>60843.469999999994</v>
      </c>
      <c r="U278" s="2"/>
      <c r="V278" s="7">
        <f t="shared" si="132"/>
        <v>2.799756807408748E-3</v>
      </c>
      <c r="W278" s="2"/>
      <c r="X278" s="6">
        <f t="shared" si="133"/>
        <v>-54029.609999999993</v>
      </c>
      <c r="Y278" s="2"/>
      <c r="Z278" s="7">
        <f t="shared" si="134"/>
        <v>-0.8880100033742323</v>
      </c>
    </row>
    <row r="279" spans="1:26" s="24" customFormat="1" hidden="1" outlineLevel="2" x14ac:dyDescent="0.25">
      <c r="A279" s="25"/>
      <c r="B279" s="11" t="str">
        <f>CONCATENATE("          ", "6241", " - ", "OFFICE EXPENSE")</f>
        <v xml:space="preserve">          6241 - OFFICE EXPENSE</v>
      </c>
      <c r="C279" s="11"/>
      <c r="D279" s="6">
        <v>1566.26</v>
      </c>
      <c r="E279" s="2"/>
      <c r="F279" s="7">
        <f t="shared" si="127"/>
        <v>1.0710757939681158E-3</v>
      </c>
      <c r="G279" s="2"/>
      <c r="H279" s="6">
        <v>5040.93</v>
      </c>
      <c r="I279" s="2"/>
      <c r="J279" s="7">
        <f t="shared" si="128"/>
        <v>1.3796150234406167E-3</v>
      </c>
      <c r="K279" s="2"/>
      <c r="L279" s="6">
        <f t="shared" si="129"/>
        <v>-3474.67</v>
      </c>
      <c r="M279" s="2"/>
      <c r="N279" s="7">
        <f t="shared" si="130"/>
        <v>-0.68929146010755948</v>
      </c>
      <c r="O279" s="11"/>
      <c r="P279" s="6">
        <v>28012.43</v>
      </c>
      <c r="Q279" s="2"/>
      <c r="R279" s="7">
        <f t="shared" si="131"/>
        <v>4.2409304714179693E-3</v>
      </c>
      <c r="S279" s="2"/>
      <c r="T279" s="6">
        <v>84370.4</v>
      </c>
      <c r="U279" s="2"/>
      <c r="V279" s="7">
        <f t="shared" si="132"/>
        <v>3.8823657122744482E-3</v>
      </c>
      <c r="W279" s="2"/>
      <c r="X279" s="6">
        <f t="shared" si="133"/>
        <v>-56357.969999999994</v>
      </c>
      <c r="Y279" s="2"/>
      <c r="Z279" s="7">
        <f t="shared" si="134"/>
        <v>-0.66798272853986707</v>
      </c>
    </row>
    <row r="280" spans="1:26" s="24" customFormat="1" hidden="1" outlineLevel="2" x14ac:dyDescent="0.25">
      <c r="A280" s="25"/>
      <c r="B280" s="11" t="str">
        <f>CONCATENATE("          ", "6243", " - ", "PAPER SUPPLIES")</f>
        <v xml:space="preserve">          6243 - PAPER SUPPLIES</v>
      </c>
      <c r="C280" s="11"/>
      <c r="D280" s="6">
        <v>2852.08</v>
      </c>
      <c r="E280" s="2"/>
      <c r="F280" s="7">
        <f t="shared" si="127"/>
        <v>1.9503746826584241E-3</v>
      </c>
      <c r="G280" s="2"/>
      <c r="H280" s="6">
        <v>12048.35</v>
      </c>
      <c r="I280" s="2"/>
      <c r="J280" s="7">
        <f t="shared" si="128"/>
        <v>3.2974242188784117E-3</v>
      </c>
      <c r="K280" s="2"/>
      <c r="L280" s="6">
        <f t="shared" si="129"/>
        <v>-9196.27</v>
      </c>
      <c r="M280" s="2"/>
      <c r="N280" s="7">
        <f t="shared" si="130"/>
        <v>-0.76328044919013804</v>
      </c>
      <c r="O280" s="11"/>
      <c r="P280" s="6">
        <v>23291.64</v>
      </c>
      <c r="Q280" s="2"/>
      <c r="R280" s="7">
        <f t="shared" si="131"/>
        <v>3.5262283852310426E-3</v>
      </c>
      <c r="S280" s="2"/>
      <c r="T280" s="6">
        <v>81638.67</v>
      </c>
      <c r="U280" s="2"/>
      <c r="V280" s="7">
        <f t="shared" si="132"/>
        <v>3.756663156790636E-3</v>
      </c>
      <c r="W280" s="2"/>
      <c r="X280" s="6">
        <f t="shared" si="133"/>
        <v>-58347.03</v>
      </c>
      <c r="Y280" s="2"/>
      <c r="Z280" s="7">
        <f t="shared" si="134"/>
        <v>-0.71469843886481732</v>
      </c>
    </row>
    <row r="281" spans="1:26" s="24" customFormat="1" hidden="1" outlineLevel="2" x14ac:dyDescent="0.25">
      <c r="A281" s="25"/>
      <c r="B281" s="11" t="str">
        <f>CONCATENATE("          ", "6245", " - ", "PRINTING")</f>
        <v xml:space="preserve">          6245 - PRINTING</v>
      </c>
      <c r="C281" s="11"/>
      <c r="D281" s="6"/>
      <c r="E281" s="2"/>
      <c r="F281" s="7">
        <f t="shared" si="127"/>
        <v>0</v>
      </c>
      <c r="G281" s="2"/>
      <c r="H281" s="6">
        <v>1269.46</v>
      </c>
      <c r="I281" s="2"/>
      <c r="J281" s="7">
        <f t="shared" si="128"/>
        <v>3.4742916240791384E-4</v>
      </c>
      <c r="K281" s="2"/>
      <c r="L281" s="6">
        <f t="shared" si="129"/>
        <v>-1269.46</v>
      </c>
      <c r="M281" s="2"/>
      <c r="N281" s="7">
        <f t="shared" si="130"/>
        <v>-1</v>
      </c>
      <c r="O281" s="11"/>
      <c r="P281" s="6">
        <v>508.27</v>
      </c>
      <c r="Q281" s="2"/>
      <c r="R281" s="7">
        <f t="shared" si="131"/>
        <v>7.6949330376108427E-5</v>
      </c>
      <c r="S281" s="2"/>
      <c r="T281" s="6">
        <v>8688.18</v>
      </c>
      <c r="U281" s="2"/>
      <c r="V281" s="7">
        <f t="shared" si="132"/>
        <v>3.9979296215341661E-4</v>
      </c>
      <c r="W281" s="2"/>
      <c r="X281" s="6">
        <f t="shared" si="133"/>
        <v>-8179.91</v>
      </c>
      <c r="Y281" s="2"/>
      <c r="Z281" s="7">
        <f t="shared" si="134"/>
        <v>-0.94149867981556545</v>
      </c>
    </row>
    <row r="282" spans="1:26" s="24" customFormat="1" hidden="1" outlineLevel="2" x14ac:dyDescent="0.25">
      <c r="A282" s="25"/>
      <c r="B282" s="11" t="str">
        <f>CONCATENATE("          ", "6247", " - ", "STORE SUPPLIES")</f>
        <v xml:space="preserve">          6247 - STORE SUPPLIES</v>
      </c>
      <c r="C282" s="11"/>
      <c r="D282" s="6">
        <v>8504.83</v>
      </c>
      <c r="E282" s="2"/>
      <c r="F282" s="7">
        <f t="shared" si="127"/>
        <v>5.8159676840459753E-3</v>
      </c>
      <c r="G282" s="2"/>
      <c r="H282" s="6">
        <v>3210.7</v>
      </c>
      <c r="I282" s="2"/>
      <c r="J282" s="7">
        <f t="shared" si="128"/>
        <v>8.7871284778022853E-4</v>
      </c>
      <c r="K282" s="2"/>
      <c r="L282" s="6">
        <f t="shared" si="129"/>
        <v>5294.13</v>
      </c>
      <c r="M282" s="2"/>
      <c r="N282" s="7">
        <f t="shared" si="130"/>
        <v>1.6489021085744544</v>
      </c>
      <c r="O282" s="11"/>
      <c r="P282" s="6">
        <v>38700.5</v>
      </c>
      <c r="Q282" s="2"/>
      <c r="R282" s="7">
        <f t="shared" si="131"/>
        <v>5.8590464914722177E-3</v>
      </c>
      <c r="S282" s="2"/>
      <c r="T282" s="6">
        <v>51060.54</v>
      </c>
      <c r="U282" s="2"/>
      <c r="V282" s="7">
        <f t="shared" si="132"/>
        <v>2.3495881226854201E-3</v>
      </c>
      <c r="W282" s="2"/>
      <c r="X282" s="6">
        <f t="shared" si="133"/>
        <v>-12360.04</v>
      </c>
      <c r="Y282" s="2"/>
      <c r="Z282" s="7">
        <f t="shared" si="134"/>
        <v>-0.24206637845976561</v>
      </c>
    </row>
    <row r="283" spans="1:26" s="24" customFormat="1" hidden="1" outlineLevel="2" x14ac:dyDescent="0.25">
      <c r="A283" s="25"/>
      <c r="B283" s="11" t="str">
        <f>CONCATENATE("          ", "6248", " - ", "UNIFORMS")</f>
        <v xml:space="preserve">          6248 - UNIFORMS</v>
      </c>
      <c r="C283" s="11"/>
      <c r="D283" s="6"/>
      <c r="E283" s="2"/>
      <c r="F283" s="7">
        <f t="shared" si="127"/>
        <v>0</v>
      </c>
      <c r="G283" s="2"/>
      <c r="H283" s="6">
        <v>2337.96</v>
      </c>
      <c r="I283" s="2"/>
      <c r="J283" s="7">
        <f t="shared" si="128"/>
        <v>6.398590617610687E-4</v>
      </c>
      <c r="K283" s="2"/>
      <c r="L283" s="6">
        <f t="shared" si="129"/>
        <v>-2337.96</v>
      </c>
      <c r="M283" s="2"/>
      <c r="N283" s="7">
        <f t="shared" si="130"/>
        <v>-1</v>
      </c>
      <c r="O283" s="11"/>
      <c r="P283" s="6">
        <v>4500.59</v>
      </c>
      <c r="Q283" s="2"/>
      <c r="R283" s="7">
        <f t="shared" si="131"/>
        <v>6.8136499655185206E-4</v>
      </c>
      <c r="S283" s="2"/>
      <c r="T283" s="6">
        <v>2186.36</v>
      </c>
      <c r="U283" s="2"/>
      <c r="V283" s="7">
        <f t="shared" si="132"/>
        <v>1.0060695574144918E-4</v>
      </c>
      <c r="W283" s="2"/>
      <c r="X283" s="6">
        <f t="shared" si="133"/>
        <v>2314.23</v>
      </c>
      <c r="Y283" s="2"/>
      <c r="Z283" s="7">
        <f t="shared" si="134"/>
        <v>1.0584853363581477</v>
      </c>
    </row>
    <row r="284" spans="1:26" s="26" customFormat="1" outlineLevel="1" collapsed="1" x14ac:dyDescent="0.25">
      <c r="A284" s="27"/>
      <c r="B284" s="13" t="str">
        <f>CONCATENATE("     ","Telephone/Data Lines                              ")</f>
        <v xml:space="preserve">     Telephone/Data Lines                              </v>
      </c>
      <c r="C284" s="13"/>
      <c r="D284" s="1">
        <f>SUM(OSRRefD22_23x_0)</f>
        <v>3297.31</v>
      </c>
      <c r="E284" s="1"/>
      <c r="F284" s="5">
        <f t="shared" ref="F284:F286" si="135">IF(D$12=0,0,D284/D$12)</f>
        <v>2.2548420608385629E-3</v>
      </c>
      <c r="G284" s="1"/>
      <c r="H284" s="1">
        <f>SUM(OSRRefH22_23x_0)</f>
        <v>7077.25</v>
      </c>
      <c r="I284" s="1"/>
      <c r="J284" s="5">
        <f t="shared" ref="J284:J286" si="136">IF(H$12=0,0,H284/H$12)</f>
        <v>1.9369204540918251E-3</v>
      </c>
      <c r="K284" s="1"/>
      <c r="L284" s="1">
        <f t="shared" ref="L284:L286" si="137">+D284-H284</f>
        <v>-3779.94</v>
      </c>
      <c r="M284" s="1"/>
      <c r="N284" s="5">
        <f t="shared" ref="N284:N286" si="138">IF(H284=0,0,L284/H284)</f>
        <v>-0.53409728354940122</v>
      </c>
      <c r="O284" s="13"/>
      <c r="P284" s="1">
        <f>SUM(OSRRefP22_23x_0)</f>
        <v>32725.510000000002</v>
      </c>
      <c r="Q284" s="1"/>
      <c r="R284" s="5">
        <f t="shared" ref="R284:R286" si="139">IF(P$12=0,0,P284/P$12)</f>
        <v>4.9544653052838849E-3</v>
      </c>
      <c r="S284" s="1"/>
      <c r="T284" s="1">
        <f>SUM(OSRRefT22_23x_0)</f>
        <v>42035.839999999997</v>
      </c>
      <c r="U284" s="1"/>
      <c r="V284" s="5">
        <f t="shared" ref="V284:V286" si="140">IF(T$12=0,0,T284/T$12)</f>
        <v>1.9343099464107644E-3</v>
      </c>
      <c r="W284" s="1"/>
      <c r="X284" s="1">
        <f t="shared" ref="X284:X286" si="141">+P284-T284</f>
        <v>-9310.3299999999945</v>
      </c>
      <c r="Y284" s="1"/>
      <c r="Z284" s="5">
        <f t="shared" ref="Z284:Z286" si="142">IF(T284=0,0,X284/T284)</f>
        <v>-0.22148552283004205</v>
      </c>
    </row>
    <row r="285" spans="1:26" s="24" customFormat="1" hidden="1" outlineLevel="2" x14ac:dyDescent="0.25">
      <c r="A285" s="25"/>
      <c r="B285" s="11" t="str">
        <f>CONCATENATE("          ", "6303", " - ", "DATA PHONE LINES")</f>
        <v xml:space="preserve">          6303 - DATA PHONE LINES</v>
      </c>
      <c r="C285" s="11"/>
      <c r="D285" s="6">
        <v>295</v>
      </c>
      <c r="E285" s="2"/>
      <c r="F285" s="7">
        <f t="shared" si="135"/>
        <v>2.0173365802650525E-4</v>
      </c>
      <c r="G285" s="2"/>
      <c r="H285" s="6">
        <v>295</v>
      </c>
      <c r="I285" s="2"/>
      <c r="J285" s="7">
        <f t="shared" si="136"/>
        <v>8.073637838949993E-5</v>
      </c>
      <c r="K285" s="2"/>
      <c r="L285" s="6">
        <f t="shared" si="137"/>
        <v>0</v>
      </c>
      <c r="M285" s="2"/>
      <c r="N285" s="7">
        <f t="shared" si="138"/>
        <v>0</v>
      </c>
      <c r="O285" s="11"/>
      <c r="P285" s="6">
        <v>2360</v>
      </c>
      <c r="Q285" s="2"/>
      <c r="R285" s="7">
        <f t="shared" si="139"/>
        <v>3.5729124222876795E-4</v>
      </c>
      <c r="S285" s="2"/>
      <c r="T285" s="6">
        <v>2065</v>
      </c>
      <c r="U285" s="2"/>
      <c r="V285" s="7">
        <f t="shared" si="140"/>
        <v>9.5022486510040681E-5</v>
      </c>
      <c r="W285" s="2"/>
      <c r="X285" s="6">
        <f t="shared" si="141"/>
        <v>295</v>
      </c>
      <c r="Y285" s="2"/>
      <c r="Z285" s="7">
        <f t="shared" si="142"/>
        <v>0.14285714285714285</v>
      </c>
    </row>
    <row r="286" spans="1:26" s="24" customFormat="1" hidden="1" outlineLevel="2" x14ac:dyDescent="0.25">
      <c r="A286" s="25"/>
      <c r="B286" s="11" t="str">
        <f>CONCATENATE("          ", "6309", " - ", "TELEPHONE")</f>
        <v xml:space="preserve">          6309 - TELEPHONE</v>
      </c>
      <c r="C286" s="11"/>
      <c r="D286" s="6">
        <v>3002.31</v>
      </c>
      <c r="E286" s="2"/>
      <c r="F286" s="7">
        <f t="shared" si="135"/>
        <v>2.0531084028120577E-3</v>
      </c>
      <c r="G286" s="2"/>
      <c r="H286" s="6">
        <v>6782.25</v>
      </c>
      <c r="I286" s="2"/>
      <c r="J286" s="7">
        <f t="shared" si="136"/>
        <v>1.8561840757023251E-3</v>
      </c>
      <c r="K286" s="2"/>
      <c r="L286" s="6">
        <f t="shared" si="137"/>
        <v>-3779.94</v>
      </c>
      <c r="M286" s="2"/>
      <c r="N286" s="7">
        <f t="shared" si="138"/>
        <v>-0.5573283202477054</v>
      </c>
      <c r="O286" s="11"/>
      <c r="P286" s="6">
        <v>30365.510000000002</v>
      </c>
      <c r="Q286" s="2"/>
      <c r="R286" s="7">
        <f t="shared" si="139"/>
        <v>4.5971740630551174E-3</v>
      </c>
      <c r="S286" s="2"/>
      <c r="T286" s="6">
        <v>39970.839999999997</v>
      </c>
      <c r="U286" s="2"/>
      <c r="V286" s="7">
        <f t="shared" si="140"/>
        <v>1.8392874599007236E-3</v>
      </c>
      <c r="W286" s="2"/>
      <c r="X286" s="6">
        <f t="shared" si="141"/>
        <v>-9605.3299999999945</v>
      </c>
      <c r="Y286" s="2"/>
      <c r="Z286" s="7">
        <f t="shared" si="142"/>
        <v>-0.2403084348490048</v>
      </c>
    </row>
    <row r="287" spans="1:26" s="26" customFormat="1" outlineLevel="1" collapsed="1" x14ac:dyDescent="0.25">
      <c r="A287" s="27"/>
      <c r="B287" s="13" t="str">
        <f>CONCATENATE("     ","Training                                          ")</f>
        <v xml:space="preserve">     Training                                          </v>
      </c>
      <c r="C287" s="13"/>
      <c r="D287" s="1">
        <f>SUM(OSRRefD22_24x_0)</f>
        <v>0</v>
      </c>
      <c r="E287" s="1"/>
      <c r="F287" s="5">
        <f t="shared" ref="F287:F292" si="143">IF(D$12=0,0,D287/D$12)</f>
        <v>0</v>
      </c>
      <c r="G287" s="1"/>
      <c r="H287" s="1">
        <f>SUM(OSRRefH22_24x_0)</f>
        <v>2329.41</v>
      </c>
      <c r="I287" s="1"/>
      <c r="J287" s="5">
        <f t="shared" ref="J287:J292" si="144">IF(H$12=0,0,H287/H$12)</f>
        <v>6.3751907520096613E-4</v>
      </c>
      <c r="K287" s="1"/>
      <c r="L287" s="1">
        <f t="shared" ref="L287:L292" si="145">+D287-H287</f>
        <v>-2329.41</v>
      </c>
      <c r="M287" s="1"/>
      <c r="N287" s="5">
        <f t="shared" ref="N287:N292" si="146">IF(H287=0,0,L287/H287)</f>
        <v>-1</v>
      </c>
      <c r="O287" s="13"/>
      <c r="P287" s="1">
        <f>SUM(OSRRefP22_24x_0)</f>
        <v>1380.63</v>
      </c>
      <c r="Q287" s="1"/>
      <c r="R287" s="5">
        <f t="shared" ref="R287:R292" si="147">IF(P$12=0,0,P287/P$12)</f>
        <v>2.0901991854165421E-4</v>
      </c>
      <c r="S287" s="1"/>
      <c r="T287" s="1">
        <f>SUM(OSRRefT22_24x_0)</f>
        <v>18725.72</v>
      </c>
      <c r="U287" s="1"/>
      <c r="V287" s="5">
        <f t="shared" ref="V287:V292" si="148">IF(T$12=0,0,T287/T$12)</f>
        <v>8.6167771239263884E-4</v>
      </c>
      <c r="W287" s="1"/>
      <c r="X287" s="1">
        <f t="shared" ref="X287:X292" si="149">+P287-T287</f>
        <v>-17345.09</v>
      </c>
      <c r="Y287" s="1"/>
      <c r="Z287" s="5">
        <f t="shared" ref="Z287:Z292" si="150">IF(T287=0,0,X287/T287)</f>
        <v>-0.92627092576413617</v>
      </c>
    </row>
    <row r="288" spans="1:26" s="24" customFormat="1" hidden="1" outlineLevel="2" x14ac:dyDescent="0.25">
      <c r="A288" s="25"/>
      <c r="B288" s="11" t="str">
        <f>CONCATENATE("          ", "6376", " - ", "TRAINING")</f>
        <v xml:space="preserve">          6376 - TRAINING</v>
      </c>
      <c r="C288" s="11"/>
      <c r="D288" s="6"/>
      <c r="E288" s="2"/>
      <c r="F288" s="7">
        <f t="shared" si="143"/>
        <v>0</v>
      </c>
      <c r="G288" s="2"/>
      <c r="H288" s="6">
        <v>2329.41</v>
      </c>
      <c r="I288" s="2"/>
      <c r="J288" s="7">
        <f t="shared" si="144"/>
        <v>6.3751907520096613E-4</v>
      </c>
      <c r="K288" s="2"/>
      <c r="L288" s="6">
        <f t="shared" si="145"/>
        <v>-2329.41</v>
      </c>
      <c r="M288" s="2"/>
      <c r="N288" s="7">
        <f t="shared" si="146"/>
        <v>-1</v>
      </c>
      <c r="O288" s="11"/>
      <c r="P288" s="6">
        <v>1380.63</v>
      </c>
      <c r="Q288" s="2"/>
      <c r="R288" s="7">
        <f t="shared" si="147"/>
        <v>2.0901991854165421E-4</v>
      </c>
      <c r="S288" s="2"/>
      <c r="T288" s="6">
        <v>18725.72</v>
      </c>
      <c r="U288" s="2"/>
      <c r="V288" s="7">
        <f t="shared" si="148"/>
        <v>8.6167771239263884E-4</v>
      </c>
      <c r="W288" s="2"/>
      <c r="X288" s="6">
        <f t="shared" si="149"/>
        <v>-17345.09</v>
      </c>
      <c r="Y288" s="2"/>
      <c r="Z288" s="7">
        <f t="shared" si="150"/>
        <v>-0.92627092576413617</v>
      </c>
    </row>
    <row r="289" spans="1:26" s="26" customFormat="1" outlineLevel="1" collapsed="1" x14ac:dyDescent="0.25">
      <c r="A289" s="27"/>
      <c r="B289" s="13" t="str">
        <f>CONCATENATE("     ","Travel                                            ")</f>
        <v xml:space="preserve">     Travel                                            </v>
      </c>
      <c r="C289" s="13"/>
      <c r="D289" s="1">
        <f>SUM(OSRRefD22_25x_0)</f>
        <v>129.38</v>
      </c>
      <c r="E289" s="1"/>
      <c r="F289" s="5">
        <f t="shared" si="143"/>
        <v>8.8475595510065247E-5</v>
      </c>
      <c r="G289" s="1"/>
      <c r="H289" s="1">
        <f>SUM(OSRRefH22_25x_0)</f>
        <v>-191.55000000000004</v>
      </c>
      <c r="I289" s="1"/>
      <c r="J289" s="5">
        <f t="shared" si="144"/>
        <v>-5.2423909425453268E-5</v>
      </c>
      <c r="K289" s="1"/>
      <c r="L289" s="1">
        <f t="shared" si="145"/>
        <v>320.93000000000006</v>
      </c>
      <c r="M289" s="1"/>
      <c r="N289" s="5">
        <f t="shared" si="146"/>
        <v>-1.6754372226572696</v>
      </c>
      <c r="O289" s="13"/>
      <c r="P289" s="1">
        <f>SUM(OSRRefP22_25x_0)</f>
        <v>1142.52</v>
      </c>
      <c r="Q289" s="1"/>
      <c r="R289" s="5">
        <f t="shared" si="147"/>
        <v>1.7297135172508982E-4</v>
      </c>
      <c r="S289" s="1"/>
      <c r="T289" s="1">
        <f>SUM(OSRRefT22_25x_0)</f>
        <v>5755.59</v>
      </c>
      <c r="U289" s="1"/>
      <c r="V289" s="5">
        <f t="shared" si="148"/>
        <v>2.6484768674688865E-4</v>
      </c>
      <c r="W289" s="1"/>
      <c r="X289" s="1">
        <f t="shared" si="149"/>
        <v>-4613.07</v>
      </c>
      <c r="Y289" s="1"/>
      <c r="Z289" s="5">
        <f t="shared" si="150"/>
        <v>-0.80149385206381962</v>
      </c>
    </row>
    <row r="290" spans="1:26" s="24" customFormat="1" hidden="1" outlineLevel="2" x14ac:dyDescent="0.25">
      <c r="A290" s="25"/>
      <c r="B290" s="11" t="str">
        <f>CONCATENATE("          ", "6292", " - ", "TRAVEL/CONFERENCE")</f>
        <v xml:space="preserve">          6292 - TRAVEL/CONFERENCE</v>
      </c>
      <c r="C290" s="11"/>
      <c r="D290" s="6"/>
      <c r="E290" s="2"/>
      <c r="F290" s="7">
        <f t="shared" si="143"/>
        <v>0</v>
      </c>
      <c r="G290" s="2"/>
      <c r="H290" s="6">
        <v>176.42</v>
      </c>
      <c r="I290" s="2"/>
      <c r="J290" s="7">
        <f t="shared" si="144"/>
        <v>4.8283091103307039E-5</v>
      </c>
      <c r="K290" s="2"/>
      <c r="L290" s="6">
        <f t="shared" si="145"/>
        <v>-176.42</v>
      </c>
      <c r="M290" s="2"/>
      <c r="N290" s="7">
        <f t="shared" si="146"/>
        <v>-1</v>
      </c>
      <c r="O290" s="11"/>
      <c r="P290" s="6">
        <v>299.16000000000003</v>
      </c>
      <c r="Q290" s="2"/>
      <c r="R290" s="7">
        <f t="shared" si="147"/>
        <v>4.5291206790321287E-5</v>
      </c>
      <c r="S290" s="2"/>
      <c r="T290" s="6">
        <v>4228.84</v>
      </c>
      <c r="U290" s="2"/>
      <c r="V290" s="7">
        <f t="shared" si="148"/>
        <v>1.9459316796761281E-4</v>
      </c>
      <c r="W290" s="2"/>
      <c r="X290" s="6">
        <f t="shared" si="149"/>
        <v>-3929.6800000000003</v>
      </c>
      <c r="Y290" s="2"/>
      <c r="Z290" s="7">
        <f t="shared" si="150"/>
        <v>-0.92925719582675159</v>
      </c>
    </row>
    <row r="291" spans="1:26" s="24" customFormat="1" hidden="1" outlineLevel="2" x14ac:dyDescent="0.25">
      <c r="A291" s="25"/>
      <c r="B291" s="11" t="str">
        <f>CONCATENATE("          ", "6294", " - ", "TRAVEL OPERATIONAL")</f>
        <v xml:space="preserve">          6294 - TRAVEL OPERATIONAL</v>
      </c>
      <c r="C291" s="11"/>
      <c r="D291" s="6">
        <v>129.38</v>
      </c>
      <c r="E291" s="2"/>
      <c r="F291" s="7">
        <f t="shared" si="143"/>
        <v>8.8475595510065247E-5</v>
      </c>
      <c r="G291" s="2"/>
      <c r="H291" s="6">
        <v>-506.75</v>
      </c>
      <c r="I291" s="2"/>
      <c r="J291" s="7">
        <f t="shared" si="144"/>
        <v>-1.3868867711484438E-4</v>
      </c>
      <c r="K291" s="2"/>
      <c r="L291" s="6">
        <f t="shared" si="145"/>
        <v>636.13</v>
      </c>
      <c r="M291" s="2"/>
      <c r="N291" s="7">
        <f t="shared" si="146"/>
        <v>-1.2553132708436112</v>
      </c>
      <c r="O291" s="11"/>
      <c r="P291" s="6">
        <v>451.26</v>
      </c>
      <c r="Q291" s="2"/>
      <c r="R291" s="7">
        <f t="shared" si="147"/>
        <v>6.831832456277705E-5</v>
      </c>
      <c r="S291" s="2"/>
      <c r="T291" s="6">
        <v>357.68</v>
      </c>
      <c r="U291" s="2"/>
      <c r="V291" s="7">
        <f t="shared" si="148"/>
        <v>1.6458907009642303E-5</v>
      </c>
      <c r="W291" s="2"/>
      <c r="X291" s="6">
        <f t="shared" si="149"/>
        <v>93.579999999999984</v>
      </c>
      <c r="Y291" s="2"/>
      <c r="Z291" s="7">
        <f t="shared" si="150"/>
        <v>0.26163050771639451</v>
      </c>
    </row>
    <row r="292" spans="1:26" s="24" customFormat="1" hidden="1" outlineLevel="2" x14ac:dyDescent="0.25">
      <c r="A292" s="25"/>
      <c r="B292" s="11" t="str">
        <f>CONCATENATE("          ", "6298", " - ", "VEHICLE MILEAGE")</f>
        <v xml:space="preserve">          6298 - VEHICLE MILEAGE</v>
      </c>
      <c r="C292" s="11"/>
      <c r="D292" s="6"/>
      <c r="E292" s="2"/>
      <c r="F292" s="7">
        <f t="shared" si="143"/>
        <v>0</v>
      </c>
      <c r="G292" s="2"/>
      <c r="H292" s="6">
        <v>138.78</v>
      </c>
      <c r="I292" s="2"/>
      <c r="J292" s="7">
        <f t="shared" si="144"/>
        <v>3.7981676586084069E-5</v>
      </c>
      <c r="K292" s="2"/>
      <c r="L292" s="6">
        <f t="shared" si="145"/>
        <v>-138.78</v>
      </c>
      <c r="M292" s="2"/>
      <c r="N292" s="7">
        <f t="shared" si="146"/>
        <v>-1</v>
      </c>
      <c r="O292" s="11"/>
      <c r="P292" s="6">
        <v>392.1</v>
      </c>
      <c r="Q292" s="2"/>
      <c r="R292" s="7">
        <f t="shared" si="147"/>
        <v>5.9361820371991493E-5</v>
      </c>
      <c r="S292" s="2"/>
      <c r="T292" s="6">
        <v>1169.07</v>
      </c>
      <c r="U292" s="2"/>
      <c r="V292" s="7">
        <f t="shared" si="148"/>
        <v>5.3795611769633537E-5</v>
      </c>
      <c r="W292" s="2"/>
      <c r="X292" s="6">
        <f t="shared" si="149"/>
        <v>-776.96999999999991</v>
      </c>
      <c r="Y292" s="2"/>
      <c r="Z292" s="7">
        <f t="shared" si="150"/>
        <v>-0.66460519900433679</v>
      </c>
    </row>
    <row r="293" spans="1:26" s="26" customFormat="1" outlineLevel="1" collapsed="1" x14ac:dyDescent="0.25">
      <c r="A293" s="27"/>
      <c r="B293" s="13" t="str">
        <f>CONCATENATE("     ","Utilities                                         ")</f>
        <v xml:space="preserve">     Utilities                                         </v>
      </c>
      <c r="C293" s="13"/>
      <c r="D293" s="1">
        <f>SUM(OSRRefD22_26x_0)</f>
        <v>10961.61</v>
      </c>
      <c r="E293" s="1"/>
      <c r="F293" s="5">
        <f t="shared" ref="F293:F294" si="151">IF(D$12=0,0,D293/D$12)</f>
        <v>7.4960192649488827E-3</v>
      </c>
      <c r="G293" s="1"/>
      <c r="H293" s="1">
        <f>SUM(OSRRefH22_26x_0)</f>
        <v>22986.14</v>
      </c>
      <c r="I293" s="1"/>
      <c r="J293" s="5">
        <f t="shared" ref="J293:J294" si="152">IF(H$12=0,0,H293/H$12)</f>
        <v>6.2909074466237962E-3</v>
      </c>
      <c r="K293" s="1"/>
      <c r="L293" s="1">
        <f t="shared" ref="L293:L294" si="153">+D293-H293</f>
        <v>-12024.529999999999</v>
      </c>
      <c r="M293" s="1"/>
      <c r="N293" s="5">
        <f t="shared" ref="N293:N294" si="154">IF(H293=0,0,L293/H293)</f>
        <v>-0.5231208893707251</v>
      </c>
      <c r="O293" s="13"/>
      <c r="P293" s="1">
        <f>SUM(OSRRefP22_26x_0)</f>
        <v>52273.03</v>
      </c>
      <c r="Q293" s="1"/>
      <c r="R293" s="5">
        <f t="shared" ref="R293:R294" si="155">IF(P$12=0,0,P293/P$12)</f>
        <v>7.9138541626108706E-3</v>
      </c>
      <c r="S293" s="1"/>
      <c r="T293" s="1">
        <f>SUM(OSRRefT22_26x_0)</f>
        <v>157357.94</v>
      </c>
      <c r="U293" s="1"/>
      <c r="V293" s="5">
        <f t="shared" ref="V293:V294" si="156">IF(T$12=0,0,T293/T$12)</f>
        <v>7.2409407897810127E-3</v>
      </c>
      <c r="W293" s="1"/>
      <c r="X293" s="1">
        <f t="shared" ref="X293:X294" si="157">+P293-T293</f>
        <v>-105084.91</v>
      </c>
      <c r="Y293" s="1"/>
      <c r="Z293" s="5">
        <f t="shared" ref="Z293:Z294" si="158">IF(T293=0,0,X293/T293)</f>
        <v>-0.66780811950131025</v>
      </c>
    </row>
    <row r="294" spans="1:26" s="24" customFormat="1" hidden="1" outlineLevel="2" x14ac:dyDescent="0.25">
      <c r="A294" s="25"/>
      <c r="B294" s="11" t="str">
        <f>CONCATENATE("          ", "6274", " - ", "UTILITIES")</f>
        <v xml:space="preserve">          6274 - UTILITIES</v>
      </c>
      <c r="C294" s="11"/>
      <c r="D294" s="6">
        <v>10961.61</v>
      </c>
      <c r="E294" s="2"/>
      <c r="F294" s="7">
        <f t="shared" si="151"/>
        <v>7.4960192649488827E-3</v>
      </c>
      <c r="G294" s="2"/>
      <c r="H294" s="6">
        <v>22986.14</v>
      </c>
      <c r="I294" s="2"/>
      <c r="J294" s="7">
        <f t="shared" si="152"/>
        <v>6.2909074466237962E-3</v>
      </c>
      <c r="K294" s="2"/>
      <c r="L294" s="6">
        <f t="shared" si="153"/>
        <v>-12024.529999999999</v>
      </c>
      <c r="M294" s="2"/>
      <c r="N294" s="7">
        <f t="shared" si="154"/>
        <v>-0.5231208893707251</v>
      </c>
      <c r="O294" s="11"/>
      <c r="P294" s="6">
        <v>52273.03</v>
      </c>
      <c r="Q294" s="2"/>
      <c r="R294" s="7">
        <f t="shared" si="155"/>
        <v>7.9138541626108706E-3</v>
      </c>
      <c r="S294" s="2"/>
      <c r="T294" s="6">
        <v>157357.94</v>
      </c>
      <c r="U294" s="2"/>
      <c r="V294" s="7">
        <f t="shared" si="156"/>
        <v>7.2409407897810127E-3</v>
      </c>
      <c r="W294" s="2"/>
      <c r="X294" s="6">
        <f t="shared" si="157"/>
        <v>-105084.91</v>
      </c>
      <c r="Y294" s="2"/>
      <c r="Z294" s="7">
        <f t="shared" si="158"/>
        <v>-0.66780811950131025</v>
      </c>
    </row>
    <row r="295" spans="1:26" s="61" customFormat="1" x14ac:dyDescent="0.25">
      <c r="A295" s="37"/>
      <c r="B295" s="37"/>
      <c r="C295" s="37"/>
      <c r="D295" s="1"/>
      <c r="E295" s="1"/>
      <c r="F295" s="5"/>
      <c r="G295" s="1"/>
      <c r="H295" s="1"/>
      <c r="I295" s="1"/>
      <c r="J295" s="5"/>
      <c r="K295" s="1"/>
      <c r="L295" s="1"/>
      <c r="M295" s="1"/>
      <c r="N295" s="5"/>
      <c r="O295" s="37"/>
      <c r="P295" s="1"/>
      <c r="Q295" s="1"/>
      <c r="R295" s="5"/>
      <c r="S295" s="1"/>
      <c r="T295" s="1"/>
      <c r="U295" s="1"/>
      <c r="V295" s="5"/>
      <c r="W295" s="1"/>
      <c r="X295" s="1"/>
      <c r="Y295" s="1"/>
      <c r="Z295" s="5"/>
    </row>
    <row r="296" spans="1:26" s="23" customFormat="1" collapsed="1" x14ac:dyDescent="0.25">
      <c r="A296" s="10"/>
      <c r="B296" s="29" t="s">
        <v>0</v>
      </c>
      <c r="C296" s="10"/>
      <c r="D296" s="4">
        <f>SUM(OSRRefD25x_0)</f>
        <v>33489.15</v>
      </c>
      <c r="E296" s="4"/>
      <c r="F296" s="12">
        <f t="shared" ref="F296:F309" si="159">IF(D$12=0,0,D296/D$12)</f>
        <v>2.2901317741350301E-2</v>
      </c>
      <c r="G296" s="4"/>
      <c r="H296" s="4">
        <f>SUM(OSRRefH25x_0)</f>
        <v>118231.34000000001</v>
      </c>
      <c r="I296" s="4"/>
      <c r="J296" s="12">
        <f t="shared" ref="J296:J309" si="160">IF(H$12=0,0,H296/H$12)</f>
        <v>3.2357865097415658E-2</v>
      </c>
      <c r="K296" s="4"/>
      <c r="L296" s="4">
        <f t="shared" ref="L296:L309" si="161">+D296-H296</f>
        <v>-84742.19</v>
      </c>
      <c r="M296" s="4"/>
      <c r="N296" s="12">
        <f t="shared" ref="N296:N309" si="162">IF(H296=0,0,L296/H296)</f>
        <v>-0.71674896013189049</v>
      </c>
      <c r="O296" s="10"/>
      <c r="P296" s="4">
        <f>SUM(OSRRefP25x_0)</f>
        <v>594853.19000000006</v>
      </c>
      <c r="Q296" s="4"/>
      <c r="R296" s="12">
        <f t="shared" ref="R296:R309" si="163">IF(P$12=0,0,P296/P$12)</f>
        <v>9.0057557287646334E-2</v>
      </c>
      <c r="S296" s="4"/>
      <c r="T296" s="4">
        <f>SUM(OSRRefT25x_0)</f>
        <v>1077123.2</v>
      </c>
      <c r="U296" s="4"/>
      <c r="V296" s="12">
        <f t="shared" ref="V296:V309" si="164">IF(T$12=0,0,T296/T$12)</f>
        <v>4.9564612465690966E-2</v>
      </c>
      <c r="W296" s="4"/>
      <c r="X296" s="4">
        <f t="shared" ref="X296:X309" si="165">+P296-T296</f>
        <v>-482270.00999999989</v>
      </c>
      <c r="Y296" s="4"/>
      <c r="Z296" s="12">
        <f t="shared" ref="Z296:Z309" si="166">IF(T296=0,0,X296/T296)</f>
        <v>-0.44773894945350717</v>
      </c>
    </row>
    <row r="297" spans="1:26" s="24" customFormat="1" hidden="1" outlineLevel="1" x14ac:dyDescent="0.25">
      <c r="A297" s="44"/>
      <c r="B297" s="11" t="str">
        <f>CONCATENATE("          ", "4098", " - ", "TAXABLE SALES-GRAD RENTALS")</f>
        <v xml:space="preserve">          4098 - TAXABLE SALES-GRAD RENTALS</v>
      </c>
      <c r="C297" s="11"/>
      <c r="D297" s="2">
        <f>0</f>
        <v>0</v>
      </c>
      <c r="E297" s="2"/>
      <c r="F297" s="19">
        <f t="shared" si="159"/>
        <v>0</v>
      </c>
      <c r="G297" s="2"/>
      <c r="H297" s="2">
        <f>--320</f>
        <v>320</v>
      </c>
      <c r="I297" s="2"/>
      <c r="J297" s="19">
        <f t="shared" si="160"/>
        <v>8.7578444354711793E-5</v>
      </c>
      <c r="K297" s="2"/>
      <c r="L297" s="2">
        <f t="shared" si="161"/>
        <v>-320</v>
      </c>
      <c r="M297" s="2"/>
      <c r="N297" s="19">
        <f t="shared" si="162"/>
        <v>-1</v>
      </c>
      <c r="O297" s="11"/>
      <c r="P297" s="2">
        <f>0</f>
        <v>0</v>
      </c>
      <c r="Q297" s="2"/>
      <c r="R297" s="19">
        <f t="shared" si="163"/>
        <v>0</v>
      </c>
      <c r="S297" s="2"/>
      <c r="T297" s="2">
        <f>--1946.85</f>
        <v>1946.85</v>
      </c>
      <c r="U297" s="2"/>
      <c r="V297" s="19">
        <f t="shared" si="164"/>
        <v>8.9585727778243435E-5</v>
      </c>
      <c r="W297" s="2"/>
      <c r="X297" s="2">
        <f t="shared" si="165"/>
        <v>-1946.85</v>
      </c>
      <c r="Y297" s="2"/>
      <c r="Z297" s="19">
        <f t="shared" si="166"/>
        <v>-1</v>
      </c>
    </row>
    <row r="298" spans="1:26" s="24" customFormat="1" hidden="1" outlineLevel="1" x14ac:dyDescent="0.25">
      <c r="A298" s="44"/>
      <c r="B298" s="11" t="str">
        <f>CONCATENATE("          ", "4187", " - ", "NON-TAXABLE SALES-COMPUTER REP")</f>
        <v xml:space="preserve">          4187 - NON-TAXABLE SALES-COMPUTER REP</v>
      </c>
      <c r="C298" s="11"/>
      <c r="D298" s="2">
        <f>--651.37</f>
        <v>651.37</v>
      </c>
      <c r="E298" s="2"/>
      <c r="F298" s="19">
        <f t="shared" si="159"/>
        <v>4.4543475535160925E-4</v>
      </c>
      <c r="G298" s="2"/>
      <c r="H298" s="2">
        <f>--1922.01</f>
        <v>1922.01</v>
      </c>
      <c r="I298" s="2"/>
      <c r="J298" s="19">
        <f t="shared" si="160"/>
        <v>5.2602076823187371E-4</v>
      </c>
      <c r="K298" s="2"/>
      <c r="L298" s="2">
        <f t="shared" si="161"/>
        <v>-1270.6399999999999</v>
      </c>
      <c r="M298" s="2"/>
      <c r="N298" s="19">
        <f t="shared" si="162"/>
        <v>-0.66109957804589981</v>
      </c>
      <c r="O298" s="11"/>
      <c r="P298" s="2">
        <f>--1685.87</f>
        <v>1685.87</v>
      </c>
      <c r="Q298" s="2"/>
      <c r="R298" s="19">
        <f t="shared" si="163"/>
        <v>2.5523160446449703E-4</v>
      </c>
      <c r="S298" s="2"/>
      <c r="T298" s="2">
        <f>--15110.93</f>
        <v>15110.93</v>
      </c>
      <c r="U298" s="2"/>
      <c r="V298" s="19">
        <f t="shared" si="164"/>
        <v>6.9534050463882283E-4</v>
      </c>
      <c r="W298" s="2"/>
      <c r="X298" s="2">
        <f t="shared" si="165"/>
        <v>-13425.060000000001</v>
      </c>
      <c r="Y298" s="2"/>
      <c r="Z298" s="19">
        <f t="shared" si="166"/>
        <v>-0.88843373637492873</v>
      </c>
    </row>
    <row r="299" spans="1:26" s="24" customFormat="1" hidden="1" outlineLevel="1" x14ac:dyDescent="0.25">
      <c r="A299" s="44"/>
      <c r="B299" s="11" t="str">
        <f>CONCATENATE("          ", "4197", " - ", "NON-TAXABLE SALES-RETURNED CHE")</f>
        <v xml:space="preserve">          4197 - NON-TAXABLE SALES-RETURNED CHE</v>
      </c>
      <c r="C299" s="11"/>
      <c r="D299" s="2">
        <f t="shared" ref="D299:D302" si="167">0</f>
        <v>0</v>
      </c>
      <c r="E299" s="2"/>
      <c r="F299" s="19">
        <f t="shared" si="159"/>
        <v>0</v>
      </c>
      <c r="G299" s="2"/>
      <c r="H299" s="2">
        <f>0</f>
        <v>0</v>
      </c>
      <c r="I299" s="2"/>
      <c r="J299" s="19">
        <f t="shared" si="160"/>
        <v>0</v>
      </c>
      <c r="K299" s="2"/>
      <c r="L299" s="2">
        <f t="shared" si="161"/>
        <v>0</v>
      </c>
      <c r="M299" s="2"/>
      <c r="N299" s="19">
        <f t="shared" si="162"/>
        <v>0</v>
      </c>
      <c r="O299" s="11"/>
      <c r="P299" s="2">
        <f t="shared" ref="P299:P302" si="168">0</f>
        <v>0</v>
      </c>
      <c r="Q299" s="2"/>
      <c r="R299" s="19">
        <f t="shared" si="163"/>
        <v>0</v>
      </c>
      <c r="S299" s="2"/>
      <c r="T299" s="2">
        <f>--30</f>
        <v>30</v>
      </c>
      <c r="U299" s="2"/>
      <c r="V299" s="19">
        <f t="shared" si="164"/>
        <v>1.3804719589836419E-6</v>
      </c>
      <c r="W299" s="2"/>
      <c r="X299" s="2">
        <f t="shared" si="165"/>
        <v>-30</v>
      </c>
      <c r="Y299" s="2"/>
      <c r="Z299" s="19">
        <f t="shared" si="166"/>
        <v>-1</v>
      </c>
    </row>
    <row r="300" spans="1:26" s="24" customFormat="1" hidden="1" outlineLevel="1" x14ac:dyDescent="0.25">
      <c r="A300" s="44"/>
      <c r="B300" s="11" t="str">
        <f>CONCATENATE("          ", "4198", " - ", "NON-TAXABLE SALES-GRAD RENTALS")</f>
        <v xml:space="preserve">          4198 - NON-TAXABLE SALES-GRAD RENTALS</v>
      </c>
      <c r="C300" s="11"/>
      <c r="D300" s="2">
        <f t="shared" si="167"/>
        <v>0</v>
      </c>
      <c r="E300" s="2"/>
      <c r="F300" s="19">
        <f t="shared" si="159"/>
        <v>0</v>
      </c>
      <c r="G300" s="2"/>
      <c r="H300" s="2">
        <f>--3237.1</f>
        <v>3237.1</v>
      </c>
      <c r="I300" s="2"/>
      <c r="J300" s="19">
        <f t="shared" si="160"/>
        <v>8.859380694394922E-4</v>
      </c>
      <c r="K300" s="2"/>
      <c r="L300" s="2">
        <f t="shared" si="161"/>
        <v>-3237.1</v>
      </c>
      <c r="M300" s="2"/>
      <c r="N300" s="19">
        <f t="shared" si="162"/>
        <v>-1</v>
      </c>
      <c r="O300" s="11"/>
      <c r="P300" s="2">
        <f t="shared" si="168"/>
        <v>0</v>
      </c>
      <c r="Q300" s="2"/>
      <c r="R300" s="19">
        <f t="shared" si="163"/>
        <v>0</v>
      </c>
      <c r="S300" s="2"/>
      <c r="T300" s="2">
        <f>--3732.1</f>
        <v>3732.1</v>
      </c>
      <c r="U300" s="2"/>
      <c r="V300" s="19">
        <f t="shared" si="164"/>
        <v>1.7173531327076166E-4</v>
      </c>
      <c r="W300" s="2"/>
      <c r="X300" s="2">
        <f t="shared" si="165"/>
        <v>-3732.1</v>
      </c>
      <c r="Y300" s="2"/>
      <c r="Z300" s="19">
        <f t="shared" si="166"/>
        <v>-1</v>
      </c>
    </row>
    <row r="301" spans="1:26" s="24" customFormat="1" hidden="1" outlineLevel="1" x14ac:dyDescent="0.25">
      <c r="A301" s="44"/>
      <c r="B301" s="11" t="str">
        <f>CONCATENATE("          ", "4387", " - ", "SALES RETURN NON TAXABLE-COMPU")</f>
        <v xml:space="preserve">          4387 - SALES RETURN NON TAXABLE-COMPU</v>
      </c>
      <c r="C301" s="11"/>
      <c r="D301" s="2">
        <f t="shared" si="167"/>
        <v>0</v>
      </c>
      <c r="E301" s="2"/>
      <c r="F301" s="19">
        <f t="shared" si="159"/>
        <v>0</v>
      </c>
      <c r="G301" s="2"/>
      <c r="H301" s="2">
        <f t="shared" ref="H301:H302" si="169">0</f>
        <v>0</v>
      </c>
      <c r="I301" s="2"/>
      <c r="J301" s="19">
        <f t="shared" si="160"/>
        <v>0</v>
      </c>
      <c r="K301" s="2"/>
      <c r="L301" s="2">
        <f t="shared" si="161"/>
        <v>0</v>
      </c>
      <c r="M301" s="2"/>
      <c r="N301" s="19">
        <f t="shared" si="162"/>
        <v>0</v>
      </c>
      <c r="O301" s="11"/>
      <c r="P301" s="2">
        <f t="shared" si="168"/>
        <v>0</v>
      </c>
      <c r="Q301" s="2"/>
      <c r="R301" s="19">
        <f t="shared" si="163"/>
        <v>0</v>
      </c>
      <c r="S301" s="2"/>
      <c r="T301" s="2">
        <f>-7889</f>
        <v>-7889</v>
      </c>
      <c r="U301" s="2"/>
      <c r="V301" s="19">
        <f t="shared" si="164"/>
        <v>-3.6301810948073172E-4</v>
      </c>
      <c r="W301" s="2"/>
      <c r="X301" s="2">
        <f t="shared" si="165"/>
        <v>7889</v>
      </c>
      <c r="Y301" s="2"/>
      <c r="Z301" s="19">
        <f t="shared" si="166"/>
        <v>-1</v>
      </c>
    </row>
    <row r="302" spans="1:26" s="24" customFormat="1" hidden="1" outlineLevel="1" x14ac:dyDescent="0.25">
      <c r="A302" s="44"/>
      <c r="B302" s="11" t="str">
        <f>CONCATENATE("          ", "5087", " - ", "PURCHASES @ COST-COMPUTER REPA")</f>
        <v xml:space="preserve">          5087 - PURCHASES @ COST-COMPUTER REPA</v>
      </c>
      <c r="C302" s="11"/>
      <c r="D302" s="2">
        <f t="shared" si="167"/>
        <v>0</v>
      </c>
      <c r="E302" s="2"/>
      <c r="F302" s="19">
        <f t="shared" si="159"/>
        <v>0</v>
      </c>
      <c r="G302" s="2"/>
      <c r="H302" s="2">
        <f t="shared" si="169"/>
        <v>0</v>
      </c>
      <c r="I302" s="2"/>
      <c r="J302" s="19">
        <f t="shared" si="160"/>
        <v>0</v>
      </c>
      <c r="K302" s="2"/>
      <c r="L302" s="2">
        <f t="shared" si="161"/>
        <v>0</v>
      </c>
      <c r="M302" s="2"/>
      <c r="N302" s="19">
        <f t="shared" si="162"/>
        <v>0</v>
      </c>
      <c r="O302" s="11"/>
      <c r="P302" s="2">
        <f t="shared" si="168"/>
        <v>0</v>
      </c>
      <c r="Q302" s="2"/>
      <c r="R302" s="19">
        <f t="shared" si="163"/>
        <v>0</v>
      </c>
      <c r="S302" s="2"/>
      <c r="T302" s="2">
        <f>-56.72</f>
        <v>-56.72</v>
      </c>
      <c r="U302" s="2"/>
      <c r="V302" s="19">
        <f t="shared" si="164"/>
        <v>-2.6100123171184056E-6</v>
      </c>
      <c r="W302" s="2"/>
      <c r="X302" s="2">
        <f t="shared" si="165"/>
        <v>56.72</v>
      </c>
      <c r="Y302" s="2"/>
      <c r="Z302" s="19">
        <f t="shared" si="166"/>
        <v>-1</v>
      </c>
    </row>
    <row r="303" spans="1:26" s="24" customFormat="1" hidden="1" outlineLevel="1" x14ac:dyDescent="0.25">
      <c r="A303" s="44"/>
      <c r="B303" s="11" t="str">
        <f>CONCATENATE("          ", "9150", " - ", "MISC. INCOME")</f>
        <v xml:space="preserve">          9150 - MISC. INCOME</v>
      </c>
      <c r="C303" s="11"/>
      <c r="D303" s="2">
        <f>--29742.58</f>
        <v>29742.58</v>
      </c>
      <c r="E303" s="2"/>
      <c r="F303" s="19">
        <f t="shared" si="159"/>
        <v>2.0339252415410083E-2</v>
      </c>
      <c r="G303" s="2"/>
      <c r="H303" s="2">
        <f>--95475.46</f>
        <v>95475.46</v>
      </c>
      <c r="I303" s="2"/>
      <c r="J303" s="19">
        <f t="shared" si="160"/>
        <v>2.6129975815157851E-2</v>
      </c>
      <c r="K303" s="2"/>
      <c r="L303" s="2">
        <f t="shared" si="161"/>
        <v>-65732.88</v>
      </c>
      <c r="M303" s="2"/>
      <c r="N303" s="19">
        <f t="shared" si="162"/>
        <v>-0.68847932233057585</v>
      </c>
      <c r="O303" s="11"/>
      <c r="P303" s="2">
        <f>--250651.54</f>
        <v>250651.54</v>
      </c>
      <c r="Q303" s="2"/>
      <c r="R303" s="19">
        <f t="shared" si="163"/>
        <v>3.7947288175065139E-2</v>
      </c>
      <c r="S303" s="2"/>
      <c r="T303" s="2">
        <f>--539751.19</f>
        <v>539751.18999999994</v>
      </c>
      <c r="U303" s="2"/>
      <c r="V303" s="19">
        <f t="shared" si="164"/>
        <v>2.4837046087435061E-2</v>
      </c>
      <c r="W303" s="2"/>
      <c r="X303" s="2">
        <f t="shared" si="165"/>
        <v>-289099.64999999991</v>
      </c>
      <c r="Y303" s="2"/>
      <c r="Z303" s="19">
        <f t="shared" si="166"/>
        <v>-0.53561651248976394</v>
      </c>
    </row>
    <row r="304" spans="1:26" s="24" customFormat="1" hidden="1" outlineLevel="1" x14ac:dyDescent="0.25">
      <c r="A304" s="44"/>
      <c r="B304" s="11" t="str">
        <f>CONCATENATE("          ", "9151", " - ", "MISC. INCOME")</f>
        <v xml:space="preserve">          9151 - MISC. INCOME</v>
      </c>
      <c r="C304" s="11"/>
      <c r="D304" s="2">
        <f>--1972</f>
        <v>1972</v>
      </c>
      <c r="E304" s="2"/>
      <c r="F304" s="19">
        <f t="shared" si="159"/>
        <v>1.3485382156890452E-3</v>
      </c>
      <c r="G304" s="2"/>
      <c r="H304" s="2">
        <f>-1539.13</f>
        <v>-1539.13</v>
      </c>
      <c r="I304" s="2"/>
      <c r="J304" s="19">
        <f t="shared" si="160"/>
        <v>-4.2123315956146113E-4</v>
      </c>
      <c r="K304" s="2"/>
      <c r="L304" s="2">
        <f t="shared" si="161"/>
        <v>3511.13</v>
      </c>
      <c r="M304" s="2"/>
      <c r="N304" s="19">
        <f t="shared" si="162"/>
        <v>-2.2812432997862429</v>
      </c>
      <c r="O304" s="11"/>
      <c r="P304" s="2">
        <f>--149257.39</f>
        <v>149257.39000000001</v>
      </c>
      <c r="Q304" s="2"/>
      <c r="R304" s="19">
        <f t="shared" si="163"/>
        <v>2.2596761985137159E-2</v>
      </c>
      <c r="S304" s="2"/>
      <c r="T304" s="2">
        <f>--85953.38</f>
        <v>85953.38</v>
      </c>
      <c r="U304" s="2"/>
      <c r="V304" s="19">
        <f t="shared" si="164"/>
        <v>3.9552076956621794E-3</v>
      </c>
      <c r="W304" s="2"/>
      <c r="X304" s="2">
        <f t="shared" si="165"/>
        <v>63304.010000000009</v>
      </c>
      <c r="Y304" s="2"/>
      <c r="Z304" s="19">
        <f t="shared" si="166"/>
        <v>0.73649238691951391</v>
      </c>
    </row>
    <row r="305" spans="1:26" s="24" customFormat="1" hidden="1" outlineLevel="1" x14ac:dyDescent="0.25">
      <c r="A305" s="44"/>
      <c r="B305" s="11" t="str">
        <f>CONCATENATE("          ", "9152", " - ", "MISC. INCOME")</f>
        <v xml:space="preserve">          9152 - MISC. INCOME</v>
      </c>
      <c r="C305" s="11"/>
      <c r="D305" s="2">
        <f>--146.33</f>
        <v>146.33000000000001</v>
      </c>
      <c r="E305" s="2"/>
      <c r="F305" s="19">
        <f t="shared" si="159"/>
        <v>1.0006673281023226E-4</v>
      </c>
      <c r="G305" s="2"/>
      <c r="H305" s="2">
        <f>--469.1</f>
        <v>469.1</v>
      </c>
      <c r="I305" s="2"/>
      <c r="J305" s="19">
        <f t="shared" si="160"/>
        <v>1.2838452577123533E-4</v>
      </c>
      <c r="K305" s="2"/>
      <c r="L305" s="2">
        <f t="shared" si="161"/>
        <v>-322.77</v>
      </c>
      <c r="M305" s="2"/>
      <c r="N305" s="19">
        <f t="shared" si="162"/>
        <v>-0.68806224685568107</v>
      </c>
      <c r="O305" s="11"/>
      <c r="P305" s="2">
        <f>--3232.26</f>
        <v>3232.26</v>
      </c>
      <c r="Q305" s="2"/>
      <c r="R305" s="19">
        <f t="shared" si="163"/>
        <v>4.8934669093489728E-4</v>
      </c>
      <c r="S305" s="2"/>
      <c r="T305" s="2">
        <f>--4699.86</f>
        <v>4699.8599999999997</v>
      </c>
      <c r="U305" s="2"/>
      <c r="V305" s="19">
        <f t="shared" si="164"/>
        <v>2.1626749803829528E-4</v>
      </c>
      <c r="W305" s="2"/>
      <c r="X305" s="2">
        <f t="shared" si="165"/>
        <v>-1467.5999999999995</v>
      </c>
      <c r="Y305" s="2"/>
      <c r="Z305" s="19">
        <f t="shared" si="166"/>
        <v>-0.31226462064827454</v>
      </c>
    </row>
    <row r="306" spans="1:26" s="24" customFormat="1" hidden="1" outlineLevel="1" x14ac:dyDescent="0.25">
      <c r="A306" s="44"/>
      <c r="B306" s="11" t="str">
        <f>CONCATENATE("          ", "9153", " - ", "MISC. INCOME")</f>
        <v xml:space="preserve">          9153 - MISC. INCOME</v>
      </c>
      <c r="C306" s="11"/>
      <c r="D306" s="2">
        <f>0</f>
        <v>0</v>
      </c>
      <c r="E306" s="2"/>
      <c r="F306" s="19">
        <f t="shared" si="159"/>
        <v>0</v>
      </c>
      <c r="G306" s="2"/>
      <c r="H306" s="2">
        <f>0</f>
        <v>0</v>
      </c>
      <c r="I306" s="2"/>
      <c r="J306" s="19">
        <f t="shared" si="160"/>
        <v>0</v>
      </c>
      <c r="K306" s="2"/>
      <c r="L306" s="2">
        <f t="shared" si="161"/>
        <v>0</v>
      </c>
      <c r="M306" s="2"/>
      <c r="N306" s="19">
        <f t="shared" si="162"/>
        <v>0</v>
      </c>
      <c r="O306" s="11"/>
      <c r="P306" s="2">
        <f>0</f>
        <v>0</v>
      </c>
      <c r="Q306" s="2"/>
      <c r="R306" s="19">
        <f t="shared" si="163"/>
        <v>0</v>
      </c>
      <c r="S306" s="2"/>
      <c r="T306" s="2">
        <f>--450</f>
        <v>450</v>
      </c>
      <c r="U306" s="2"/>
      <c r="V306" s="19">
        <f t="shared" si="164"/>
        <v>2.0707079384754629E-5</v>
      </c>
      <c r="W306" s="2"/>
      <c r="X306" s="2">
        <f t="shared" si="165"/>
        <v>-450</v>
      </c>
      <c r="Y306" s="2"/>
      <c r="Z306" s="19">
        <f t="shared" si="166"/>
        <v>-1</v>
      </c>
    </row>
    <row r="307" spans="1:26" s="24" customFormat="1" hidden="1" outlineLevel="1" x14ac:dyDescent="0.25">
      <c r="A307" s="44"/>
      <c r="B307" s="11" t="str">
        <f>CONCATENATE("          ", "9160", " - ", "MISC. INCOME")</f>
        <v xml:space="preserve">          9160 - MISC. INCOME</v>
      </c>
      <c r="C307" s="11"/>
      <c r="D307" s="2">
        <f>--189.92</f>
        <v>189.92</v>
      </c>
      <c r="E307" s="2"/>
      <c r="F307" s="19">
        <f t="shared" si="159"/>
        <v>1.2987544519455551E-4</v>
      </c>
      <c r="G307" s="2"/>
      <c r="H307" s="2">
        <f>--18346.8</f>
        <v>18346.8</v>
      </c>
      <c r="I307" s="2"/>
      <c r="J307" s="19">
        <f t="shared" si="160"/>
        <v>5.0212006340219564E-3</v>
      </c>
      <c r="K307" s="2"/>
      <c r="L307" s="2">
        <f t="shared" si="161"/>
        <v>-18156.88</v>
      </c>
      <c r="M307" s="2"/>
      <c r="N307" s="19">
        <f t="shared" si="162"/>
        <v>-0.98964833104410588</v>
      </c>
      <c r="O307" s="11"/>
      <c r="P307" s="2">
        <f>--12518.17</f>
        <v>12518.17</v>
      </c>
      <c r="Q307" s="2"/>
      <c r="R307" s="19">
        <f t="shared" si="163"/>
        <v>1.8951832668351255E-3</v>
      </c>
      <c r="S307" s="2"/>
      <c r="T307" s="2">
        <f>--144872</f>
        <v>144872</v>
      </c>
      <c r="U307" s="2"/>
      <c r="V307" s="19">
        <f t="shared" si="164"/>
        <v>6.6663911213959391E-3</v>
      </c>
      <c r="W307" s="2"/>
      <c r="X307" s="2">
        <f t="shared" si="165"/>
        <v>-132353.82999999999</v>
      </c>
      <c r="Y307" s="2"/>
      <c r="Z307" s="19">
        <f t="shared" si="166"/>
        <v>-0.9135915152686509</v>
      </c>
    </row>
    <row r="308" spans="1:26" s="24" customFormat="1" hidden="1" outlineLevel="1" x14ac:dyDescent="0.25">
      <c r="A308" s="44"/>
      <c r="B308" s="11" t="str">
        <f>CONCATENATE("          ", "9163", " - ", "MISC. INCOME")</f>
        <v xml:space="preserve">          9163 - MISC. INCOME</v>
      </c>
      <c r="C308" s="11"/>
      <c r="D308" s="2">
        <f>0</f>
        <v>0</v>
      </c>
      <c r="E308" s="2"/>
      <c r="F308" s="19">
        <f t="shared" si="159"/>
        <v>0</v>
      </c>
      <c r="G308" s="2"/>
      <c r="H308" s="2">
        <f t="shared" ref="H308:H309" si="170">0</f>
        <v>0</v>
      </c>
      <c r="I308" s="2"/>
      <c r="J308" s="19">
        <f t="shared" si="160"/>
        <v>0</v>
      </c>
      <c r="K308" s="2"/>
      <c r="L308" s="2">
        <f t="shared" si="161"/>
        <v>0</v>
      </c>
      <c r="M308" s="2"/>
      <c r="N308" s="19">
        <f t="shared" si="162"/>
        <v>0</v>
      </c>
      <c r="O308" s="11"/>
      <c r="P308" s="2">
        <f>--175405.84</f>
        <v>175405.84</v>
      </c>
      <c r="Q308" s="2"/>
      <c r="R308" s="19">
        <f t="shared" si="163"/>
        <v>2.6555495960923946E-2</v>
      </c>
      <c r="S308" s="2"/>
      <c r="T308" s="2">
        <f>--61106.55</f>
        <v>61106.55</v>
      </c>
      <c r="U308" s="2"/>
      <c r="V308" s="19">
        <f t="shared" si="164"/>
        <v>2.8118626261743954E-3</v>
      </c>
      <c r="W308" s="2"/>
      <c r="X308" s="2">
        <f t="shared" si="165"/>
        <v>114299.29</v>
      </c>
      <c r="Y308" s="2"/>
      <c r="Z308" s="19">
        <f t="shared" si="166"/>
        <v>1.8704916248749108</v>
      </c>
    </row>
    <row r="309" spans="1:26" s="24" customFormat="1" hidden="1" outlineLevel="1" x14ac:dyDescent="0.25">
      <c r="A309" s="44"/>
      <c r="B309" s="11" t="str">
        <f>CONCATENATE("          ", "9165", " - ", "OTHER INCOME")</f>
        <v xml:space="preserve">          9165 - OTHER INCOME</v>
      </c>
      <c r="C309" s="11"/>
      <c r="D309" s="2">
        <f>--786.95</f>
        <v>786.95</v>
      </c>
      <c r="E309" s="2"/>
      <c r="F309" s="19">
        <f t="shared" si="159"/>
        <v>5.3815017689477394E-4</v>
      </c>
      <c r="G309" s="2"/>
      <c r="H309" s="2">
        <f t="shared" si="170"/>
        <v>0</v>
      </c>
      <c r="I309" s="2"/>
      <c r="J309" s="19">
        <f t="shared" si="160"/>
        <v>0</v>
      </c>
      <c r="K309" s="2"/>
      <c r="L309" s="2">
        <f t="shared" si="161"/>
        <v>786.95</v>
      </c>
      <c r="M309" s="2"/>
      <c r="N309" s="19">
        <f t="shared" si="162"/>
        <v>0</v>
      </c>
      <c r="O309" s="11"/>
      <c r="P309" s="2">
        <f>--2102.12</f>
        <v>2102.12</v>
      </c>
      <c r="Q309" s="2"/>
      <c r="R309" s="19">
        <f t="shared" si="163"/>
        <v>3.1824960428556678E-4</v>
      </c>
      <c r="S309" s="2"/>
      <c r="T309" s="2">
        <f>--227416.06</f>
        <v>227416.06</v>
      </c>
      <c r="U309" s="2"/>
      <c r="V309" s="19">
        <f t="shared" si="164"/>
        <v>1.0464716461751381E-2</v>
      </c>
      <c r="W309" s="2"/>
      <c r="X309" s="2">
        <f t="shared" si="165"/>
        <v>-225313.94</v>
      </c>
      <c r="Y309" s="2"/>
      <c r="Z309" s="19">
        <f t="shared" si="166"/>
        <v>-0.99075650154171169</v>
      </c>
    </row>
    <row r="310" spans="1:26" x14ac:dyDescent="0.25">
      <c r="A310" s="9"/>
      <c r="B310" s="10"/>
      <c r="C310" s="10"/>
      <c r="D310" s="3"/>
      <c r="E310" s="3"/>
      <c r="F310" s="8"/>
      <c r="G310" s="3"/>
      <c r="H310" s="3"/>
      <c r="I310" s="3"/>
      <c r="J310" s="8"/>
      <c r="K310" s="3"/>
      <c r="L310" s="3"/>
      <c r="M310" s="3"/>
      <c r="N310" s="8"/>
      <c r="O310" s="10"/>
      <c r="P310" s="3"/>
      <c r="Q310" s="3"/>
      <c r="R310" s="8"/>
      <c r="S310" s="3"/>
      <c r="T310" s="3"/>
      <c r="U310" s="3"/>
      <c r="V310" s="8"/>
      <c r="W310" s="3"/>
      <c r="X310" s="3"/>
      <c r="Y310" s="3"/>
      <c r="Z310" s="8"/>
    </row>
    <row r="311" spans="1:26" s="23" customFormat="1" x14ac:dyDescent="0.25">
      <c r="A311" s="10"/>
      <c r="B311" s="28" t="s">
        <v>3</v>
      </c>
      <c r="C311" s="28"/>
      <c r="D311" s="20">
        <f>+D196-D198+D296</f>
        <v>-65811.589999999764</v>
      </c>
      <c r="E311" s="14"/>
      <c r="F311" s="22">
        <f>IF(D$12=0,0,D311/D$12)</f>
        <v>-4.5004789122849241E-2</v>
      </c>
      <c r="G311" s="14"/>
      <c r="H311" s="20">
        <f>+H196-H198+H296</f>
        <v>479413.84000000212</v>
      </c>
      <c r="I311" s="14"/>
      <c r="J311" s="22">
        <f>IF(H$12=0,0,H311/H$12)</f>
        <v>0.13120724471662151</v>
      </c>
      <c r="K311" s="15"/>
      <c r="L311" s="20">
        <f>+D311-H311</f>
        <v>-545225.43000000191</v>
      </c>
      <c r="M311" s="15"/>
      <c r="N311" s="22">
        <f>IF(H311=0,0,L311/H311)</f>
        <v>-1.137275114961219</v>
      </c>
      <c r="O311" s="29"/>
      <c r="P311" s="20">
        <f>+P196-P198+P296</f>
        <v>-1814624.9700000025</v>
      </c>
      <c r="Q311" s="14"/>
      <c r="R311" s="22">
        <f>IF(P$12=0,0,P311/P$12)</f>
        <v>-0.27472441089433969</v>
      </c>
      <c r="S311" s="14"/>
      <c r="T311" s="20">
        <f>+T196-T198+T296</f>
        <v>2647207.1999999983</v>
      </c>
      <c r="U311" s="14"/>
      <c r="V311" s="22">
        <f>IF(T$12=0,0,T311/T$12)</f>
        <v>0.12181317697398664</v>
      </c>
      <c r="W311" s="15"/>
      <c r="X311" s="20">
        <f>+P311-T311</f>
        <v>-4461832.1700000009</v>
      </c>
      <c r="Y311" s="15"/>
      <c r="Z311" s="22">
        <f>IF(T311=0,0,X311/T311)</f>
        <v>-1.6854865648597523</v>
      </c>
    </row>
    <row r="312" spans="1:26" x14ac:dyDescent="0.25">
      <c r="A312" s="9"/>
      <c r="B312" s="10"/>
      <c r="C312" s="9"/>
      <c r="D312" s="3"/>
      <c r="E312" s="3"/>
      <c r="F312" s="8"/>
      <c r="G312" s="3"/>
      <c r="H312" s="3"/>
      <c r="I312" s="3"/>
      <c r="J312" s="8"/>
      <c r="K312" s="3"/>
      <c r="L312" s="3"/>
      <c r="M312" s="3"/>
      <c r="N312" s="8"/>
      <c r="P312" s="3"/>
      <c r="Q312" s="3"/>
      <c r="R312" s="8"/>
      <c r="S312" s="3"/>
      <c r="T312" s="3"/>
      <c r="U312" s="3"/>
      <c r="V312" s="8"/>
      <c r="W312" s="3"/>
      <c r="X312" s="3"/>
      <c r="Y312" s="3"/>
      <c r="Z312" s="8"/>
    </row>
    <row r="313" spans="1:26" s="23" customFormat="1" x14ac:dyDescent="0.25">
      <c r="A313" s="51"/>
      <c r="B313" s="10" t="s">
        <v>13</v>
      </c>
      <c r="C313" s="10"/>
      <c r="D313" s="4">
        <v>247477.44999999998</v>
      </c>
      <c r="E313" s="4"/>
      <c r="F313" s="12">
        <f>IF(D$12=0,0,D313/D$12)</f>
        <v>0.16923569921210693</v>
      </c>
      <c r="G313" s="4"/>
      <c r="H313" s="4">
        <v>313763.34000000003</v>
      </c>
      <c r="I313" s="4"/>
      <c r="J313" s="12">
        <f>IF(H$12=0,0,H313/H$12)</f>
        <v>8.5871578789807862E-2</v>
      </c>
      <c r="K313" s="4"/>
      <c r="L313" s="4">
        <f>+D313-H313</f>
        <v>-66285.890000000043</v>
      </c>
      <c r="M313" s="4"/>
      <c r="N313" s="12">
        <f>IF(H313=0,0,L313/H313)</f>
        <v>-0.21126078655333042</v>
      </c>
      <c r="O313" s="10"/>
      <c r="P313" s="4">
        <v>1199028.6600000001</v>
      </c>
      <c r="Q313" s="4"/>
      <c r="R313" s="12">
        <f>IF(P$12=0,0,P313/P$12)</f>
        <v>0.18152645737258269</v>
      </c>
      <c r="S313" s="4"/>
      <c r="T313" s="4">
        <v>2266308.3199999998</v>
      </c>
      <c r="U313" s="4"/>
      <c r="V313" s="12">
        <f>IF(T$12=0,0,T313/T$12)</f>
        <v>0.10428583620571087</v>
      </c>
      <c r="W313" s="4"/>
      <c r="X313" s="4">
        <f>+P313-T313</f>
        <v>-1067279.6599999997</v>
      </c>
      <c r="Y313" s="4"/>
      <c r="Z313" s="12">
        <f>IF(T313=0,0,X313/T313)</f>
        <v>-0.47093312528632458</v>
      </c>
    </row>
    <row r="314" spans="1:26" x14ac:dyDescent="0.25">
      <c r="A314" s="9"/>
      <c r="B314" s="10"/>
      <c r="C314" s="10"/>
      <c r="D314" s="3"/>
      <c r="E314" s="3"/>
      <c r="F314" s="8"/>
      <c r="G314" s="3"/>
      <c r="H314" s="3"/>
      <c r="I314" s="3"/>
      <c r="J314" s="8"/>
      <c r="K314" s="3"/>
      <c r="L314" s="3"/>
      <c r="M314" s="3"/>
      <c r="N314" s="8"/>
      <c r="O314" s="10"/>
      <c r="P314" s="3"/>
      <c r="Q314" s="3"/>
      <c r="R314" s="8"/>
      <c r="S314" s="3"/>
      <c r="T314" s="3"/>
      <c r="U314" s="3"/>
      <c r="V314" s="8"/>
      <c r="W314" s="3"/>
      <c r="X314" s="3"/>
      <c r="Y314" s="3"/>
      <c r="Z314" s="8"/>
    </row>
    <row r="315" spans="1:26" s="23" customFormat="1" ht="15.75" thickBot="1" x14ac:dyDescent="0.3">
      <c r="A315" s="10"/>
      <c r="B315" s="28" t="s">
        <v>4</v>
      </c>
      <c r="C315" s="28"/>
      <c r="D315" s="30">
        <f>+D311-D313</f>
        <v>-313289.03999999975</v>
      </c>
      <c r="E315" s="14"/>
      <c r="F315" s="36">
        <f>IF(D$12=0,0,D315/D$12)</f>
        <v>-0.21424048833495618</v>
      </c>
      <c r="G315" s="14"/>
      <c r="H315" s="30">
        <f>+H311-H313</f>
        <v>165650.5000000021</v>
      </c>
      <c r="I315" s="14"/>
      <c r="J315" s="36">
        <f>IF(H$12=0,0,H315/H$12)</f>
        <v>4.5335665926813651E-2</v>
      </c>
      <c r="K315" s="15"/>
      <c r="L315" s="30">
        <f>D315-H315</f>
        <v>-478939.54000000184</v>
      </c>
      <c r="M315" s="15"/>
      <c r="N315" s="36">
        <f>IF(H315=0,0,L315/H315)</f>
        <v>-2.8912652844392004</v>
      </c>
      <c r="O315" s="29"/>
      <c r="P315" s="30">
        <f>+P311-P313</f>
        <v>-3013653.6300000027</v>
      </c>
      <c r="Q315" s="14"/>
      <c r="R315" s="36">
        <f>IF(P$12=0,0,P315/P$12)</f>
        <v>-0.4562508682669224</v>
      </c>
      <c r="S315" s="14"/>
      <c r="T315" s="30">
        <f>+T311-T313</f>
        <v>380898.87999999849</v>
      </c>
      <c r="U315" s="14"/>
      <c r="V315" s="36">
        <f>IF(T$12=0,0,T315/T$12)</f>
        <v>1.7527340768275768E-2</v>
      </c>
      <c r="W315" s="15"/>
      <c r="X315" s="30">
        <f>P315-T315</f>
        <v>-3394552.5100000012</v>
      </c>
      <c r="Y315" s="15"/>
      <c r="Z315" s="36">
        <f>IF(T315=0,0,X315/T315)</f>
        <v>-8.911951933279548</v>
      </c>
    </row>
    <row r="316" spans="1:26" ht="15.75" thickTop="1" x14ac:dyDescent="0.25">
      <c r="A316" s="9"/>
      <c r="B316" s="9"/>
      <c r="C316" s="9"/>
      <c r="D316" s="3"/>
      <c r="E316" s="3"/>
      <c r="F316" s="8"/>
      <c r="G316" s="3"/>
      <c r="H316" s="3"/>
      <c r="I316" s="3"/>
      <c r="J316" s="8"/>
      <c r="K316" s="3"/>
      <c r="L316" s="3"/>
      <c r="M316" s="3"/>
      <c r="N316" s="8"/>
      <c r="P316" s="3"/>
      <c r="Q316" s="3"/>
      <c r="R316" s="8"/>
      <c r="S316" s="3"/>
      <c r="T316" s="3"/>
      <c r="U316" s="3"/>
      <c r="V316" s="8"/>
      <c r="W316" s="3"/>
      <c r="X316" s="3"/>
      <c r="Y316" s="3"/>
      <c r="Z316" s="8"/>
    </row>
    <row r="317" spans="1:26" s="23" customFormat="1" x14ac:dyDescent="0.25">
      <c r="A317" s="51"/>
      <c r="B317" s="10" t="s">
        <v>2</v>
      </c>
      <c r="C317" s="10"/>
      <c r="D317" s="4">
        <f>-35869.32</f>
        <v>-35869.32</v>
      </c>
      <c r="E317" s="4"/>
      <c r="F317" s="12">
        <f t="shared" ref="F317:F318" si="171">IF(D$12=0,0,D317/D$12)</f>
        <v>-2.4528980117028087E-2</v>
      </c>
      <c r="G317" s="4"/>
      <c r="H317" s="4">
        <f>-115087.38</f>
        <v>-115087.38</v>
      </c>
      <c r="I317" s="4"/>
      <c r="J317" s="12">
        <f t="shared" ref="J317:J318" si="172">IF(H$12=0,0,H317/H$12)</f>
        <v>-3.1497417828936156E-2</v>
      </c>
      <c r="K317" s="4"/>
      <c r="L317" s="4">
        <f t="shared" ref="L317:L318" si="173">+D317-H317</f>
        <v>79218.06</v>
      </c>
      <c r="M317" s="4"/>
      <c r="N317" s="12">
        <f t="shared" ref="N317:N318" si="174">IF(H317=0,0,L317/H317)</f>
        <v>-0.68832968480123535</v>
      </c>
      <c r="O317" s="10"/>
      <c r="P317" s="4">
        <f>--1958183.98</f>
        <v>1958183.98</v>
      </c>
      <c r="Q317" s="4"/>
      <c r="R317" s="12">
        <f t="shared" ref="R317:R318" si="175">IF(P$12=0,0,P317/P$12)</f>
        <v>0.29645846895198003</v>
      </c>
      <c r="S317" s="4"/>
      <c r="T317" s="4">
        <f>--409123.52</f>
        <v>409123.52</v>
      </c>
      <c r="U317" s="4"/>
      <c r="V317" s="12">
        <f t="shared" ref="V317:V318" si="176">IF(T$12=0,0,T317/T$12)</f>
        <v>1.8826118237356106E-2</v>
      </c>
      <c r="W317" s="4"/>
      <c r="X317" s="4">
        <f t="shared" ref="X317:X318" si="177">+P317-T317</f>
        <v>1549060.46</v>
      </c>
      <c r="Y317" s="4"/>
      <c r="Z317" s="12">
        <f t="shared" ref="Z317:Z318" si="178">IF(T317=0,0,X317/T317)</f>
        <v>3.7862904093120822</v>
      </c>
    </row>
    <row r="318" spans="1:26" s="23" customFormat="1" x14ac:dyDescent="0.25">
      <c r="A318" s="51"/>
      <c r="B318" s="10" t="s">
        <v>1</v>
      </c>
      <c r="C318" s="10"/>
      <c r="D318" s="4">
        <f>--10065.17</f>
        <v>10065.17</v>
      </c>
      <c r="E318" s="4"/>
      <c r="F318" s="12">
        <f t="shared" si="171"/>
        <v>6.8829951279953897E-3</v>
      </c>
      <c r="G318" s="4"/>
      <c r="H318" s="4">
        <f>--12580.13</f>
        <v>12580.13</v>
      </c>
      <c r="I318" s="4"/>
      <c r="J318" s="12">
        <f t="shared" si="172"/>
        <v>3.4429631724376261E-3</v>
      </c>
      <c r="K318" s="4"/>
      <c r="L318" s="4">
        <f t="shared" si="173"/>
        <v>-2514.9599999999991</v>
      </c>
      <c r="M318" s="4"/>
      <c r="N318" s="12">
        <f t="shared" si="174"/>
        <v>-0.19991526319680317</v>
      </c>
      <c r="O318" s="10"/>
      <c r="P318" s="4">
        <f>--54576</f>
        <v>54576</v>
      </c>
      <c r="Q318" s="4"/>
      <c r="R318" s="12">
        <f t="shared" si="175"/>
        <v>8.2625113711344237E-3</v>
      </c>
      <c r="S318" s="4"/>
      <c r="T318" s="4">
        <f>--171645.07</f>
        <v>171645.07</v>
      </c>
      <c r="U318" s="4"/>
      <c r="V318" s="12">
        <f t="shared" si="176"/>
        <v>7.8983735344261459E-3</v>
      </c>
      <c r="W318" s="4"/>
      <c r="X318" s="4">
        <f t="shared" si="177"/>
        <v>-117069.07</v>
      </c>
      <c r="Y318" s="4"/>
      <c r="Z318" s="12">
        <f t="shared" si="178"/>
        <v>-0.68204155237316166</v>
      </c>
    </row>
    <row r="319" spans="1:26" x14ac:dyDescent="0.25">
      <c r="A319" s="9"/>
      <c r="B319" s="9"/>
      <c r="C319" s="9"/>
      <c r="D319" s="3"/>
      <c r="E319" s="3"/>
      <c r="F319" s="8"/>
      <c r="G319" s="3"/>
      <c r="H319" s="3"/>
      <c r="I319" s="3"/>
      <c r="J319" s="8"/>
      <c r="K319" s="3"/>
      <c r="L319" s="3"/>
      <c r="M319" s="3"/>
      <c r="N319" s="8"/>
      <c r="P319" s="3"/>
      <c r="Q319" s="3"/>
      <c r="R319" s="8"/>
      <c r="S319" s="3"/>
      <c r="T319" s="3"/>
      <c r="U319" s="3"/>
      <c r="V319" s="8"/>
      <c r="W319" s="3"/>
      <c r="X319" s="3"/>
      <c r="Y319" s="3"/>
      <c r="Z319" s="8"/>
    </row>
    <row r="320" spans="1:26" s="23" customFormat="1" ht="15.75" thickBot="1" x14ac:dyDescent="0.3">
      <c r="A320" s="10"/>
      <c r="B320" s="28" t="s">
        <v>5</v>
      </c>
      <c r="C320" s="28"/>
      <c r="D320" s="32">
        <f>SUM(D315:D319)</f>
        <v>-339093.18999999977</v>
      </c>
      <c r="E320" s="14"/>
      <c r="F320" s="31">
        <f>IF(D$12=0,0,D320/D$12)</f>
        <v>-0.2318864733239889</v>
      </c>
      <c r="G320" s="14"/>
      <c r="H320" s="32">
        <f>SUM(H315:H319)</f>
        <v>63143.250000002088</v>
      </c>
      <c r="I320" s="14"/>
      <c r="J320" s="31">
        <f>IF(H$12=0,0,H320/H$12)</f>
        <v>1.7281211270315119E-2</v>
      </c>
      <c r="K320" s="15"/>
      <c r="L320" s="32">
        <f>+D320-H320</f>
        <v>-402236.44000000186</v>
      </c>
      <c r="M320" s="15"/>
      <c r="N320" s="31">
        <f>IF(H320=0,0,L320/H320)</f>
        <v>-6.3702207282645187</v>
      </c>
      <c r="O320" s="29"/>
      <c r="P320" s="32">
        <f>SUM(P315:P319)</f>
        <v>-1000893.6500000027</v>
      </c>
      <c r="Q320" s="14"/>
      <c r="R320" s="31">
        <f>IF(P$12=0,0,P320/P$12)</f>
        <v>-0.15152988794380792</v>
      </c>
      <c r="S320" s="14"/>
      <c r="T320" s="32">
        <f>SUM(T315:T319)</f>
        <v>961667.46999999858</v>
      </c>
      <c r="U320" s="14"/>
      <c r="V320" s="31">
        <f>IF(T$12=0,0,T320/T$12)</f>
        <v>4.4251832540058024E-2</v>
      </c>
      <c r="W320" s="15"/>
      <c r="X320" s="32">
        <f>+P320-T320</f>
        <v>-1962561.1200000013</v>
      </c>
      <c r="Y320" s="15"/>
      <c r="Z320" s="31">
        <f>IF(T320=0,0,X320/T320)</f>
        <v>-2.0407897544875926</v>
      </c>
    </row>
    <row r="321" spans="1:24" ht="15.75" thickTop="1" x14ac:dyDescent="0.25">
      <c r="A321" s="9"/>
      <c r="C321" s="9"/>
      <c r="D321" s="18"/>
      <c r="E321" s="18"/>
      <c r="G321" s="18"/>
      <c r="H321" s="18"/>
      <c r="I321" s="18"/>
      <c r="J321" s="42"/>
      <c r="K321" s="18"/>
      <c r="L321" s="18"/>
      <c r="M321" s="18"/>
      <c r="P321" s="18"/>
      <c r="Q321" s="18"/>
      <c r="R321" s="42"/>
      <c r="S321" s="18"/>
      <c r="T321" s="18"/>
      <c r="U321" s="18"/>
      <c r="V321" s="42"/>
      <c r="W321" s="18"/>
      <c r="X321" s="18"/>
    </row>
    <row r="322" spans="1:24" x14ac:dyDescent="0.25">
      <c r="A322" s="9"/>
      <c r="B322" s="62">
        <v>44238.495730092596</v>
      </c>
      <c r="D322" s="18"/>
      <c r="E322" s="18"/>
      <c r="G322" s="18"/>
      <c r="H322" s="18"/>
      <c r="I322" s="18"/>
      <c r="J322" s="42"/>
      <c r="K322" s="18"/>
      <c r="L322" s="18"/>
      <c r="M322" s="18"/>
      <c r="P322" s="18"/>
      <c r="Q322" s="18"/>
      <c r="R322" s="42"/>
      <c r="S322" s="18"/>
      <c r="T322" s="18"/>
      <c r="U322" s="18"/>
      <c r="V322" s="42"/>
      <c r="W322" s="18"/>
      <c r="X322" s="18"/>
    </row>
    <row r="323" spans="1:24" x14ac:dyDescent="0.25">
      <c r="A323" s="9"/>
      <c r="B323" s="59" t="s">
        <v>313</v>
      </c>
      <c r="D323" s="18"/>
      <c r="E323" s="18"/>
      <c r="G323" s="18"/>
      <c r="H323" s="18"/>
      <c r="I323" s="18"/>
      <c r="J323" s="42"/>
      <c r="K323" s="18"/>
      <c r="L323" s="18"/>
      <c r="M323" s="18"/>
      <c r="P323" s="18"/>
      <c r="Q323" s="18"/>
      <c r="R323" s="42"/>
      <c r="S323" s="18"/>
      <c r="T323" s="18"/>
      <c r="U323" s="18"/>
      <c r="V323" s="42"/>
      <c r="W323" s="18"/>
      <c r="X323" s="18"/>
    </row>
    <row r="324" spans="1:24" x14ac:dyDescent="0.25">
      <c r="A324" s="9"/>
      <c r="B324" s="56"/>
      <c r="D324" s="18"/>
      <c r="E324" s="18"/>
      <c r="G324" s="18"/>
      <c r="H324" s="18"/>
      <c r="I324" s="18"/>
      <c r="J324" s="42"/>
      <c r="K324" s="18"/>
      <c r="L324" s="18"/>
      <c r="M324" s="18"/>
      <c r="P324" s="18"/>
      <c r="Q324" s="18"/>
      <c r="R324" s="42"/>
      <c r="S324" s="18"/>
      <c r="T324" s="18"/>
      <c r="U324" s="18"/>
      <c r="V324" s="42"/>
      <c r="W324" s="18"/>
      <c r="X324" s="18"/>
    </row>
    <row r="325" spans="1:24" x14ac:dyDescent="0.25">
      <c r="D325" s="18"/>
      <c r="E325" s="18"/>
      <c r="G325" s="18"/>
      <c r="H325" s="18"/>
      <c r="I325" s="18"/>
      <c r="J325" s="42"/>
      <c r="K325" s="18"/>
      <c r="L325" s="18"/>
      <c r="M325" s="18"/>
      <c r="P325" s="18"/>
      <c r="Q325" s="18"/>
      <c r="R325" s="42"/>
      <c r="S325" s="18"/>
      <c r="T325" s="18"/>
      <c r="U325" s="18"/>
      <c r="V325" s="42"/>
      <c r="W325" s="18"/>
      <c r="X325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312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299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299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300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300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296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296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310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310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","100", " - ", "Corporate")</f>
        <v>Department 100 - Corporate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SUM(0)</f>
        <v>0</v>
      </c>
      <c r="E18" s="21"/>
      <c r="F18" s="35">
        <f>IF(D$12=0,0,D18/D$12)</f>
        <v>0</v>
      </c>
      <c r="G18" s="21"/>
      <c r="H18" s="21">
        <f>SUM(0)</f>
        <v>0</v>
      </c>
      <c r="I18" s="21"/>
      <c r="J18" s="35">
        <f>IF(H$12=0,0,H18/H$12)</f>
        <v>0</v>
      </c>
      <c r="K18" s="4"/>
      <c r="L18" s="21">
        <f>+D18-H18</f>
        <v>0</v>
      </c>
      <c r="M18" s="4"/>
      <c r="N18" s="35">
        <f>IF(H18=0,0,L18/H18)</f>
        <v>0</v>
      </c>
      <c r="O18" s="10"/>
      <c r="P18" s="21">
        <f>SUM(0)</f>
        <v>0</v>
      </c>
      <c r="Q18" s="21"/>
      <c r="R18" s="35">
        <f>IF(P$12=0,0,P18/P$12)</f>
        <v>0</v>
      </c>
      <c r="S18" s="21"/>
      <c r="T18" s="21">
        <f>SUM(0)</f>
        <v>0</v>
      </c>
      <c r="U18" s="21"/>
      <c r="V18" s="35">
        <f>IF(T$12=0,0,T18/T$12)</f>
        <v>0</v>
      </c>
      <c r="W18" s="4"/>
      <c r="X18" s="21">
        <f>+P18-T18</f>
        <v>0</v>
      </c>
      <c r="Y18" s="4"/>
      <c r="Z18" s="35">
        <f>IF(T18=0,0,X18/T18)</f>
        <v>0</v>
      </c>
    </row>
    <row r="19" spans="1:26" s="61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5"/>
      <c r="L22" s="20">
        <f>+D22-H22</f>
        <v>0</v>
      </c>
      <c r="M22" s="15"/>
      <c r="N22" s="22">
        <f>IF(H22=0,0,L22/H22)</f>
        <v>0</v>
      </c>
      <c r="O22" s="29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5"/>
      <c r="X22" s="20">
        <f>+P22-T22</f>
        <v>0</v>
      </c>
      <c r="Y22" s="15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0">
        <f>+D22-D24</f>
        <v>0</v>
      </c>
      <c r="E26" s="14"/>
      <c r="F26" s="36">
        <f>IF(D$12=0,0,D26/D$12)</f>
        <v>0</v>
      </c>
      <c r="G26" s="14"/>
      <c r="H26" s="30">
        <f>+H22-H24</f>
        <v>0</v>
      </c>
      <c r="I26" s="14"/>
      <c r="J26" s="36">
        <f>IF(H$12=0,0,H26/H$12)</f>
        <v>0</v>
      </c>
      <c r="K26" s="15"/>
      <c r="L26" s="30">
        <f>D26-H26</f>
        <v>0</v>
      </c>
      <c r="M26" s="15"/>
      <c r="N26" s="36">
        <f>IF(H26=0,0,L26/H26)</f>
        <v>0</v>
      </c>
      <c r="O26" s="29"/>
      <c r="P26" s="30">
        <f>+P22-P24</f>
        <v>0</v>
      </c>
      <c r="Q26" s="14"/>
      <c r="R26" s="36">
        <f>IF(P$12=0,0,P26/P$12)</f>
        <v>0</v>
      </c>
      <c r="S26" s="14"/>
      <c r="T26" s="30">
        <f>+T22-T24</f>
        <v>0</v>
      </c>
      <c r="U26" s="14"/>
      <c r="V26" s="36">
        <f>IF(T$12=0,0,T26/T$12)</f>
        <v>0</v>
      </c>
      <c r="W26" s="15"/>
      <c r="X26" s="30">
        <f>P26-T26</f>
        <v>0</v>
      </c>
      <c r="Y26" s="15"/>
      <c r="Z26" s="36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-35869.32</f>
        <v>-35869.32</v>
      </c>
      <c r="E28" s="4"/>
      <c r="F28" s="12">
        <f t="shared" ref="F28:F29" si="0">IF(D$12=0,0,D28/D$12)</f>
        <v>0</v>
      </c>
      <c r="G28" s="4"/>
      <c r="H28" s="4">
        <f>-115087.38</f>
        <v>-115087.38</v>
      </c>
      <c r="I28" s="4"/>
      <c r="J28" s="12">
        <f t="shared" ref="J28:J29" si="1">IF(H$12=0,0,H28/H$12)</f>
        <v>0</v>
      </c>
      <c r="K28" s="4"/>
      <c r="L28" s="4">
        <f t="shared" ref="L28:L29" si="2">+D28-H28</f>
        <v>79218.06</v>
      </c>
      <c r="M28" s="4"/>
      <c r="N28" s="12">
        <f t="shared" ref="N28:N29" si="3">IF(H28=0,0,L28/H28)</f>
        <v>-0.68832968480123535</v>
      </c>
      <c r="O28" s="10"/>
      <c r="P28" s="4">
        <f>--1958183.98</f>
        <v>1958183.98</v>
      </c>
      <c r="Q28" s="4"/>
      <c r="R28" s="12">
        <f t="shared" ref="R28:R29" si="4">IF(P$12=0,0,P28/P$12)</f>
        <v>0</v>
      </c>
      <c r="S28" s="4"/>
      <c r="T28" s="4">
        <f>--409123.52</f>
        <v>409123.52</v>
      </c>
      <c r="U28" s="4"/>
      <c r="V28" s="12">
        <f t="shared" ref="V28:V29" si="5">IF(T$12=0,0,T28/T$12)</f>
        <v>0</v>
      </c>
      <c r="W28" s="4"/>
      <c r="X28" s="4">
        <f t="shared" ref="X28:X29" si="6">+P28-T28</f>
        <v>1549060.46</v>
      </c>
      <c r="Y28" s="4"/>
      <c r="Z28" s="12">
        <f t="shared" ref="Z28:Z29" si="7">IF(T28=0,0,X28/T28)</f>
        <v>3.7862904093120822</v>
      </c>
    </row>
    <row r="29" spans="1:26" s="23" customFormat="1" x14ac:dyDescent="0.25">
      <c r="A29" s="51"/>
      <c r="B29" s="10" t="s">
        <v>1</v>
      </c>
      <c r="C29" s="10"/>
      <c r="D29" s="4">
        <f>--10065.17</f>
        <v>10065.17</v>
      </c>
      <c r="E29" s="4"/>
      <c r="F29" s="12">
        <f t="shared" si="0"/>
        <v>0</v>
      </c>
      <c r="G29" s="4"/>
      <c r="H29" s="4">
        <f>--12580.13</f>
        <v>12580.13</v>
      </c>
      <c r="I29" s="4"/>
      <c r="J29" s="12">
        <f t="shared" si="1"/>
        <v>0</v>
      </c>
      <c r="K29" s="4"/>
      <c r="L29" s="4">
        <f t="shared" si="2"/>
        <v>-2514.9599999999991</v>
      </c>
      <c r="M29" s="4"/>
      <c r="N29" s="12">
        <f t="shared" si="3"/>
        <v>-0.19991526319680317</v>
      </c>
      <c r="O29" s="10"/>
      <c r="P29" s="4">
        <f>--54576</f>
        <v>54576</v>
      </c>
      <c r="Q29" s="4"/>
      <c r="R29" s="12">
        <f t="shared" si="4"/>
        <v>0</v>
      </c>
      <c r="S29" s="4"/>
      <c r="T29" s="4">
        <f>--171645.07</f>
        <v>171645.07</v>
      </c>
      <c r="U29" s="4"/>
      <c r="V29" s="12">
        <f t="shared" si="5"/>
        <v>0</v>
      </c>
      <c r="W29" s="4"/>
      <c r="X29" s="4">
        <f t="shared" si="6"/>
        <v>-117069.07</v>
      </c>
      <c r="Y29" s="4"/>
      <c r="Z29" s="12">
        <f t="shared" si="7"/>
        <v>-0.68204155237316166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2">
        <f>SUM(D26:D30)</f>
        <v>-25804.15</v>
      </c>
      <c r="E31" s="14"/>
      <c r="F31" s="31">
        <f>IF(D$12=0,0,D31/D$12)</f>
        <v>0</v>
      </c>
      <c r="G31" s="14"/>
      <c r="H31" s="32">
        <f>SUM(H26:H30)</f>
        <v>-102507.25</v>
      </c>
      <c r="I31" s="14"/>
      <c r="J31" s="31">
        <f>IF(H$12=0,0,H31/H$12)</f>
        <v>0</v>
      </c>
      <c r="K31" s="15"/>
      <c r="L31" s="32">
        <f>+D31-H31</f>
        <v>76703.100000000006</v>
      </c>
      <c r="M31" s="15"/>
      <c r="N31" s="31">
        <f>IF(H31=0,0,L31/H31)</f>
        <v>-0.7482700004146049</v>
      </c>
      <c r="O31" s="29"/>
      <c r="P31" s="32">
        <f>SUM(P26:P30)</f>
        <v>2012759.98</v>
      </c>
      <c r="Q31" s="14"/>
      <c r="R31" s="31">
        <f>IF(P$12=0,0,P31/P$12)</f>
        <v>0</v>
      </c>
      <c r="S31" s="14"/>
      <c r="T31" s="32">
        <f>SUM(T26:T30)</f>
        <v>580768.59000000008</v>
      </c>
      <c r="U31" s="14"/>
      <c r="V31" s="31">
        <f>IF(T$12=0,0,T31/T$12)</f>
        <v>0</v>
      </c>
      <c r="W31" s="15"/>
      <c r="X31" s="32">
        <f>+P31-T31</f>
        <v>1431991.39</v>
      </c>
      <c r="Y31" s="15"/>
      <c r="Z31" s="31">
        <f>IF(T31=0,0,X31/T31)</f>
        <v>2.4656832594889466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62">
        <v>44238.496012581018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9" t="s">
        <v>313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6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295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298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247477.45</v>
      </c>
      <c r="E18" s="21"/>
      <c r="F18" s="35">
        <f t="shared" ref="F18:F30" si="0">IF(D$12=0,0,D18/D$12)</f>
        <v>0</v>
      </c>
      <c r="G18" s="21"/>
      <c r="H18" s="21">
        <f>SUM(OSRRefH22x_0)</f>
        <v>313763.34000000003</v>
      </c>
      <c r="I18" s="21"/>
      <c r="J18" s="35">
        <f t="shared" ref="J18:J30" si="1">IF(H$12=0,0,H18/H$12)</f>
        <v>0</v>
      </c>
      <c r="K18" s="4"/>
      <c r="L18" s="21">
        <f t="shared" ref="L18:L30" si="2">+D18-H18</f>
        <v>-66285.890000000014</v>
      </c>
      <c r="M18" s="4"/>
      <c r="N18" s="35">
        <f t="shared" ref="N18:N30" si="3">IF(H18=0,0,L18/H18)</f>
        <v>-0.2112607865533303</v>
      </c>
      <c r="O18" s="10"/>
      <c r="P18" s="21">
        <f>SUM(OSRRefP22x_0)</f>
        <v>1199028.6599999999</v>
      </c>
      <c r="Q18" s="21"/>
      <c r="R18" s="35">
        <f t="shared" ref="R18:R30" si="4">IF(P$12=0,0,P18/P$12)</f>
        <v>0</v>
      </c>
      <c r="S18" s="21"/>
      <c r="T18" s="21">
        <f>SUM(OSRRefT22x_0)</f>
        <v>2266308.3200000003</v>
      </c>
      <c r="U18" s="21"/>
      <c r="V18" s="35">
        <f t="shared" ref="V18:V30" si="5">IF(T$12=0,0,T18/T$12)</f>
        <v>0</v>
      </c>
      <c r="W18" s="4"/>
      <c r="X18" s="21">
        <f t="shared" ref="X18:X30" si="6">+P18-T18</f>
        <v>-1067279.6600000004</v>
      </c>
      <c r="Y18" s="4"/>
      <c r="Z18" s="35">
        <f t="shared" ref="Z18:Z30" si="7">IF(T18=0,0,X18/T18)</f>
        <v>-0.47093312528632481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79841.319999999992</v>
      </c>
      <c r="E19" s="1"/>
      <c r="F19" s="5">
        <f t="shared" si="0"/>
        <v>0</v>
      </c>
      <c r="G19" s="1"/>
      <c r="H19" s="1">
        <f>SUM(OSRRefH22_0x_0)</f>
        <v>90999.07</v>
      </c>
      <c r="I19" s="1"/>
      <c r="J19" s="5">
        <f t="shared" si="1"/>
        <v>0</v>
      </c>
      <c r="K19" s="1"/>
      <c r="L19" s="1">
        <f t="shared" si="2"/>
        <v>-11157.750000000015</v>
      </c>
      <c r="M19" s="1"/>
      <c r="N19" s="5">
        <f t="shared" si="3"/>
        <v>-0.12261389044964981</v>
      </c>
      <c r="O19" s="13"/>
      <c r="P19" s="1">
        <f>SUM(OSRRefP22_0x_0)</f>
        <v>185317.37999999995</v>
      </c>
      <c r="Q19" s="1"/>
      <c r="R19" s="5">
        <f t="shared" si="4"/>
        <v>0</v>
      </c>
      <c r="S19" s="1"/>
      <c r="T19" s="1">
        <f>SUM(OSRRefT22_0x_0)</f>
        <v>646414.62</v>
      </c>
      <c r="U19" s="1"/>
      <c r="V19" s="5">
        <f t="shared" si="5"/>
        <v>0</v>
      </c>
      <c r="W19" s="1"/>
      <c r="X19" s="1">
        <f t="shared" si="6"/>
        <v>-461097.24000000005</v>
      </c>
      <c r="Y19" s="1"/>
      <c r="Z19" s="5">
        <f t="shared" si="7"/>
        <v>-0.71331499278280563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7001.48</v>
      </c>
      <c r="E20" s="2"/>
      <c r="F20" s="7">
        <f t="shared" si="0"/>
        <v>0</v>
      </c>
      <c r="G20" s="2"/>
      <c r="H20" s="6">
        <v>8130.22</v>
      </c>
      <c r="I20" s="2"/>
      <c r="J20" s="7">
        <f t="shared" si="1"/>
        <v>0</v>
      </c>
      <c r="K20" s="2"/>
      <c r="L20" s="6">
        <f t="shared" si="2"/>
        <v>-1128.7400000000007</v>
      </c>
      <c r="M20" s="2"/>
      <c r="N20" s="7">
        <f t="shared" si="3"/>
        <v>-0.13883265151496524</v>
      </c>
      <c r="O20" s="11"/>
      <c r="P20" s="6">
        <v>54835.81</v>
      </c>
      <c r="Q20" s="2"/>
      <c r="R20" s="7">
        <f t="shared" si="4"/>
        <v>0</v>
      </c>
      <c r="S20" s="2"/>
      <c r="T20" s="6">
        <v>67434.720000000001</v>
      </c>
      <c r="U20" s="2"/>
      <c r="V20" s="7">
        <f t="shared" si="5"/>
        <v>0</v>
      </c>
      <c r="W20" s="2"/>
      <c r="X20" s="6">
        <f t="shared" si="6"/>
        <v>-12598.910000000003</v>
      </c>
      <c r="Y20" s="2"/>
      <c r="Z20" s="7">
        <f t="shared" si="7"/>
        <v>-0.18683120505282744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9.9600000000000009</v>
      </c>
      <c r="E21" s="2"/>
      <c r="F21" s="7">
        <f t="shared" si="0"/>
        <v>0</v>
      </c>
      <c r="G21" s="2"/>
      <c r="H21" s="6">
        <v>685.56</v>
      </c>
      <c r="I21" s="2"/>
      <c r="J21" s="7">
        <f t="shared" si="1"/>
        <v>0</v>
      </c>
      <c r="K21" s="2"/>
      <c r="L21" s="6">
        <f t="shared" si="2"/>
        <v>-675.59999999999991</v>
      </c>
      <c r="M21" s="2"/>
      <c r="N21" s="7">
        <f t="shared" si="3"/>
        <v>-0.98547173113950637</v>
      </c>
      <c r="O21" s="11"/>
      <c r="P21" s="6">
        <v>4716.9799999999996</v>
      </c>
      <c r="Q21" s="2"/>
      <c r="R21" s="7">
        <f t="shared" si="4"/>
        <v>0</v>
      </c>
      <c r="S21" s="2"/>
      <c r="T21" s="6">
        <v>4624.88</v>
      </c>
      <c r="U21" s="2"/>
      <c r="V21" s="7">
        <f t="shared" si="5"/>
        <v>0</v>
      </c>
      <c r="W21" s="2"/>
      <c r="X21" s="6">
        <f t="shared" si="6"/>
        <v>92.099999999999454</v>
      </c>
      <c r="Y21" s="2"/>
      <c r="Z21" s="7">
        <f t="shared" si="7"/>
        <v>1.991403020186458E-2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22431.15</v>
      </c>
      <c r="E22" s="2"/>
      <c r="F22" s="7">
        <f t="shared" si="0"/>
        <v>0</v>
      </c>
      <c r="G22" s="2"/>
      <c r="H22" s="6">
        <v>23281.510000000002</v>
      </c>
      <c r="I22" s="2"/>
      <c r="J22" s="7">
        <f t="shared" si="1"/>
        <v>0</v>
      </c>
      <c r="K22" s="2"/>
      <c r="L22" s="6">
        <f t="shared" si="2"/>
        <v>-850.36000000000058</v>
      </c>
      <c r="M22" s="2"/>
      <c r="N22" s="7">
        <f t="shared" si="3"/>
        <v>-3.6525122296620818E-2</v>
      </c>
      <c r="O22" s="11"/>
      <c r="P22" s="6">
        <v>160398.93</v>
      </c>
      <c r="Q22" s="2"/>
      <c r="R22" s="7">
        <f t="shared" si="4"/>
        <v>0</v>
      </c>
      <c r="S22" s="2"/>
      <c r="T22" s="6">
        <v>158596.09</v>
      </c>
      <c r="U22" s="2"/>
      <c r="V22" s="7">
        <f t="shared" si="5"/>
        <v>0</v>
      </c>
      <c r="W22" s="2"/>
      <c r="X22" s="6">
        <f t="shared" si="6"/>
        <v>1802.8399999999965</v>
      </c>
      <c r="Y22" s="2"/>
      <c r="Z22" s="7">
        <f t="shared" si="7"/>
        <v>1.1367493360019132E-2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488.19</v>
      </c>
      <c r="E23" s="2"/>
      <c r="F23" s="7">
        <f t="shared" si="0"/>
        <v>0</v>
      </c>
      <c r="G23" s="2"/>
      <c r="H23" s="6">
        <v>311.75</v>
      </c>
      <c r="I23" s="2"/>
      <c r="J23" s="7">
        <f t="shared" si="1"/>
        <v>0</v>
      </c>
      <c r="K23" s="2"/>
      <c r="L23" s="6">
        <f t="shared" si="2"/>
        <v>176.44</v>
      </c>
      <c r="M23" s="2"/>
      <c r="N23" s="7">
        <f t="shared" si="3"/>
        <v>0.56596631916599838</v>
      </c>
      <c r="O23" s="11"/>
      <c r="P23" s="6">
        <v>2058.91</v>
      </c>
      <c r="Q23" s="2"/>
      <c r="R23" s="7">
        <f t="shared" si="4"/>
        <v>0</v>
      </c>
      <c r="S23" s="2"/>
      <c r="T23" s="6">
        <v>2830.81</v>
      </c>
      <c r="U23" s="2"/>
      <c r="V23" s="7">
        <f t="shared" si="5"/>
        <v>0</v>
      </c>
      <c r="W23" s="2"/>
      <c r="X23" s="6">
        <f t="shared" si="6"/>
        <v>-771.90000000000009</v>
      </c>
      <c r="Y23" s="2"/>
      <c r="Z23" s="7">
        <f t="shared" si="7"/>
        <v>-0.2726781380594247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11445.46</v>
      </c>
      <c r="E24" s="2"/>
      <c r="F24" s="7">
        <f t="shared" si="0"/>
        <v>0</v>
      </c>
      <c r="G24" s="2"/>
      <c r="H24" s="6">
        <v>10419.530000000001</v>
      </c>
      <c r="I24" s="2"/>
      <c r="J24" s="7">
        <f t="shared" si="1"/>
        <v>0</v>
      </c>
      <c r="K24" s="2"/>
      <c r="L24" s="6">
        <f t="shared" si="2"/>
        <v>1025.9299999999985</v>
      </c>
      <c r="M24" s="2"/>
      <c r="N24" s="7">
        <f t="shared" si="3"/>
        <v>9.8462214706421344E-2</v>
      </c>
      <c r="O24" s="11"/>
      <c r="P24" s="6">
        <v>66750.739999999991</v>
      </c>
      <c r="Q24" s="2"/>
      <c r="R24" s="7">
        <f t="shared" si="4"/>
        <v>0</v>
      </c>
      <c r="S24" s="2"/>
      <c r="T24" s="6">
        <v>63927.539999999994</v>
      </c>
      <c r="U24" s="2"/>
      <c r="V24" s="7">
        <f t="shared" si="5"/>
        <v>0</v>
      </c>
      <c r="W24" s="2"/>
      <c r="X24" s="6">
        <f t="shared" si="6"/>
        <v>2823.1999999999971</v>
      </c>
      <c r="Y24" s="2"/>
      <c r="Z24" s="7">
        <f t="shared" si="7"/>
        <v>4.4162500230729936E-2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2231.94</v>
      </c>
      <c r="I25" s="2"/>
      <c r="J25" s="7">
        <f t="shared" si="1"/>
        <v>0</v>
      </c>
      <c r="K25" s="2"/>
      <c r="L25" s="6">
        <f t="shared" si="2"/>
        <v>-2231.94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4337.88</v>
      </c>
      <c r="U25" s="2"/>
      <c r="V25" s="7">
        <f t="shared" si="5"/>
        <v>0</v>
      </c>
      <c r="W25" s="2"/>
      <c r="X25" s="6">
        <f t="shared" si="6"/>
        <v>-4337.88</v>
      </c>
      <c r="Y25" s="2"/>
      <c r="Z25" s="7">
        <f t="shared" si="7"/>
        <v>-1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486.03</v>
      </c>
      <c r="E26" s="2"/>
      <c r="F26" s="7">
        <f t="shared" si="0"/>
        <v>0</v>
      </c>
      <c r="G26" s="2"/>
      <c r="H26" s="6">
        <v>1296.51</v>
      </c>
      <c r="I26" s="2"/>
      <c r="J26" s="7">
        <f t="shared" si="1"/>
        <v>0</v>
      </c>
      <c r="K26" s="2"/>
      <c r="L26" s="6">
        <f t="shared" si="2"/>
        <v>-810.48</v>
      </c>
      <c r="M26" s="2"/>
      <c r="N26" s="7">
        <f t="shared" si="3"/>
        <v>-0.62512437235347207</v>
      </c>
      <c r="O26" s="11"/>
      <c r="P26" s="6">
        <v>5244.12</v>
      </c>
      <c r="Q26" s="2"/>
      <c r="R26" s="7">
        <f t="shared" si="4"/>
        <v>0</v>
      </c>
      <c r="S26" s="2"/>
      <c r="T26" s="6">
        <v>6455.96</v>
      </c>
      <c r="U26" s="2"/>
      <c r="V26" s="7">
        <f t="shared" si="5"/>
        <v>0</v>
      </c>
      <c r="W26" s="2"/>
      <c r="X26" s="6">
        <f t="shared" si="6"/>
        <v>-1211.8400000000001</v>
      </c>
      <c r="Y26" s="2"/>
      <c r="Z26" s="7">
        <f t="shared" si="7"/>
        <v>-0.18770872186320858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5658.85</v>
      </c>
      <c r="E27" s="2"/>
      <c r="F27" s="7">
        <f t="shared" si="0"/>
        <v>0</v>
      </c>
      <c r="G27" s="2"/>
      <c r="H27" s="6">
        <v>6824.16</v>
      </c>
      <c r="I27" s="2"/>
      <c r="J27" s="7">
        <f t="shared" si="1"/>
        <v>0</v>
      </c>
      <c r="K27" s="2"/>
      <c r="L27" s="6">
        <f t="shared" si="2"/>
        <v>-1165.3099999999995</v>
      </c>
      <c r="M27" s="2"/>
      <c r="N27" s="7">
        <f t="shared" si="3"/>
        <v>-0.17076240885325072</v>
      </c>
      <c r="O27" s="11"/>
      <c r="P27" s="6">
        <v>45128.67</v>
      </c>
      <c r="Q27" s="2"/>
      <c r="R27" s="7">
        <f t="shared" si="4"/>
        <v>0</v>
      </c>
      <c r="S27" s="2"/>
      <c r="T27" s="6">
        <v>61838.360000000008</v>
      </c>
      <c r="U27" s="2"/>
      <c r="V27" s="7">
        <f t="shared" si="5"/>
        <v>0</v>
      </c>
      <c r="W27" s="2"/>
      <c r="X27" s="6">
        <f t="shared" si="6"/>
        <v>-16709.69000000001</v>
      </c>
      <c r="Y27" s="2"/>
      <c r="Z27" s="7">
        <f t="shared" si="7"/>
        <v>-0.27021560727030935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4003.52</v>
      </c>
      <c r="E28" s="2"/>
      <c r="F28" s="7">
        <f t="shared" si="0"/>
        <v>0</v>
      </c>
      <c r="G28" s="2"/>
      <c r="H28" s="6">
        <v>4396.97</v>
      </c>
      <c r="I28" s="2"/>
      <c r="J28" s="7">
        <f t="shared" si="1"/>
        <v>0</v>
      </c>
      <c r="K28" s="2"/>
      <c r="L28" s="6">
        <f t="shared" si="2"/>
        <v>-393.45000000000027</v>
      </c>
      <c r="M28" s="2"/>
      <c r="N28" s="7">
        <f t="shared" si="3"/>
        <v>-8.9482075156300869E-2</v>
      </c>
      <c r="O28" s="11"/>
      <c r="P28" s="6">
        <v>30801.299999999996</v>
      </c>
      <c r="Q28" s="2"/>
      <c r="R28" s="7">
        <f t="shared" si="4"/>
        <v>0</v>
      </c>
      <c r="S28" s="2"/>
      <c r="T28" s="6">
        <v>52828.89</v>
      </c>
      <c r="U28" s="2"/>
      <c r="V28" s="7">
        <f t="shared" si="5"/>
        <v>0</v>
      </c>
      <c r="W28" s="2"/>
      <c r="X28" s="6">
        <f t="shared" si="6"/>
        <v>-22027.590000000004</v>
      </c>
      <c r="Y28" s="2"/>
      <c r="Z28" s="7">
        <f t="shared" si="7"/>
        <v>-0.41696106051064113</v>
      </c>
    </row>
    <row r="29" spans="1:26" s="24" customFormat="1" hidden="1" outlineLevel="2" x14ac:dyDescent="0.25">
      <c r="A29" s="25"/>
      <c r="B29" s="11" t="str">
        <f>CONCATENATE("          ", "6120", " - ", "RETIREES HEALTH INSURANCE")</f>
        <v xml:space="preserve">          6120 - RETIREES HEALTH INSURANCE</v>
      </c>
      <c r="C29" s="11"/>
      <c r="D29" s="6">
        <v>28145.68</v>
      </c>
      <c r="E29" s="2"/>
      <c r="F29" s="7">
        <f t="shared" si="0"/>
        <v>0</v>
      </c>
      <c r="G29" s="2"/>
      <c r="H29" s="6">
        <v>30653.37</v>
      </c>
      <c r="I29" s="2"/>
      <c r="J29" s="7">
        <f t="shared" si="1"/>
        <v>0</v>
      </c>
      <c r="K29" s="2"/>
      <c r="L29" s="6">
        <f t="shared" si="2"/>
        <v>-2507.6899999999987</v>
      </c>
      <c r="M29" s="2"/>
      <c r="N29" s="7">
        <f t="shared" si="3"/>
        <v>-8.1807970869108321E-2</v>
      </c>
      <c r="O29" s="11"/>
      <c r="P29" s="6">
        <v>-189192.6</v>
      </c>
      <c r="Q29" s="2"/>
      <c r="R29" s="7">
        <f t="shared" si="4"/>
        <v>0</v>
      </c>
      <c r="S29" s="2"/>
      <c r="T29" s="6">
        <v>206278.25</v>
      </c>
      <c r="U29" s="2"/>
      <c r="V29" s="7">
        <f t="shared" si="5"/>
        <v>0</v>
      </c>
      <c r="W29" s="2"/>
      <c r="X29" s="6">
        <f t="shared" si="6"/>
        <v>-395470.85</v>
      </c>
      <c r="Y29" s="2"/>
      <c r="Z29" s="7">
        <f t="shared" si="7"/>
        <v>-1.9171718297978579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6">
        <v>171</v>
      </c>
      <c r="E30" s="2"/>
      <c r="F30" s="7">
        <f t="shared" si="0"/>
        <v>0</v>
      </c>
      <c r="G30" s="2"/>
      <c r="H30" s="6">
        <v>2767.55</v>
      </c>
      <c r="I30" s="2"/>
      <c r="J30" s="7">
        <f t="shared" si="1"/>
        <v>0</v>
      </c>
      <c r="K30" s="2"/>
      <c r="L30" s="6">
        <f t="shared" si="2"/>
        <v>-2596.5500000000002</v>
      </c>
      <c r="M30" s="2"/>
      <c r="N30" s="7">
        <f t="shared" si="3"/>
        <v>-0.93821249841917942</v>
      </c>
      <c r="O30" s="11"/>
      <c r="P30" s="6">
        <v>4574.5200000000004</v>
      </c>
      <c r="Q30" s="2"/>
      <c r="R30" s="7">
        <f t="shared" si="4"/>
        <v>0</v>
      </c>
      <c r="S30" s="2"/>
      <c r="T30" s="6">
        <v>17261.240000000002</v>
      </c>
      <c r="U30" s="2"/>
      <c r="V30" s="7">
        <f t="shared" si="5"/>
        <v>0</v>
      </c>
      <c r="W30" s="2"/>
      <c r="X30" s="6">
        <f t="shared" si="6"/>
        <v>-12686.720000000001</v>
      </c>
      <c r="Y30" s="2"/>
      <c r="Z30" s="7">
        <f t="shared" si="7"/>
        <v>-0.73498311824642959</v>
      </c>
    </row>
    <row r="31" spans="1:26" s="26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113526.32999999999</v>
      </c>
      <c r="E31" s="1"/>
      <c r="F31" s="5">
        <f t="shared" ref="F31:F38" si="8">IF(D$12=0,0,D31/D$12)</f>
        <v>0</v>
      </c>
      <c r="G31" s="1"/>
      <c r="H31" s="1">
        <f>SUM(OSRRefH22_1x_0)</f>
        <v>143849.26999999999</v>
      </c>
      <c r="I31" s="1"/>
      <c r="J31" s="5">
        <f t="shared" ref="J31:J38" si="9">IF(H$12=0,0,H31/H$12)</f>
        <v>0</v>
      </c>
      <c r="K31" s="1"/>
      <c r="L31" s="1">
        <f t="shared" ref="L31:L38" si="10">+D31-H31</f>
        <v>-30322.940000000002</v>
      </c>
      <c r="M31" s="1"/>
      <c r="N31" s="5">
        <f t="shared" ref="N31:N38" si="11">IF(H31=0,0,L31/H31)</f>
        <v>-0.21079662065716429</v>
      </c>
      <c r="O31" s="13"/>
      <c r="P31" s="1">
        <f>SUM(OSRRefP22_1x_0)</f>
        <v>657471.67000000004</v>
      </c>
      <c r="Q31" s="1"/>
      <c r="R31" s="5">
        <f t="shared" ref="R31:R38" si="12">IF(P$12=0,0,P31/P$12)</f>
        <v>0</v>
      </c>
      <c r="S31" s="1"/>
      <c r="T31" s="1">
        <f>SUM(OSRRefT22_1x_0)</f>
        <v>794220.2699999999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-136748.59999999986</v>
      </c>
      <c r="Y31" s="1"/>
      <c r="Z31" s="5">
        <f t="shared" ref="Z31:Z38" si="15">IF(T31=0,0,X31/T31)</f>
        <v>-0.17217969015069318</v>
      </c>
    </row>
    <row r="32" spans="1:26" s="24" customFormat="1" hidden="1" outlineLevel="2" x14ac:dyDescent="0.25">
      <c r="A32" s="25"/>
      <c r="B32" s="11" t="str">
        <f>CONCATENATE("          ", "6001", " - ", "ADMINISTRATIVE SALARIES")</f>
        <v xml:space="preserve">          6001 - ADMINISTRATIVE SALARIES</v>
      </c>
      <c r="C32" s="11"/>
      <c r="D32" s="6">
        <v>30078.959999999999</v>
      </c>
      <c r="E32" s="2"/>
      <c r="F32" s="7">
        <f t="shared" si="8"/>
        <v>0</v>
      </c>
      <c r="G32" s="2"/>
      <c r="H32" s="6">
        <v>26771.230000000003</v>
      </c>
      <c r="I32" s="2"/>
      <c r="J32" s="7">
        <f t="shared" si="9"/>
        <v>0</v>
      </c>
      <c r="K32" s="2"/>
      <c r="L32" s="6">
        <f t="shared" si="10"/>
        <v>3307.7299999999959</v>
      </c>
      <c r="M32" s="2"/>
      <c r="N32" s="7">
        <f t="shared" si="11"/>
        <v>0.12355539883673614</v>
      </c>
      <c r="O32" s="11"/>
      <c r="P32" s="6">
        <v>178055.50999999998</v>
      </c>
      <c r="Q32" s="2"/>
      <c r="R32" s="7">
        <f t="shared" si="12"/>
        <v>0</v>
      </c>
      <c r="S32" s="2"/>
      <c r="T32" s="6">
        <v>174900.28999999998</v>
      </c>
      <c r="U32" s="2"/>
      <c r="V32" s="7">
        <f t="shared" si="13"/>
        <v>0</v>
      </c>
      <c r="W32" s="2"/>
      <c r="X32" s="6">
        <f t="shared" si="14"/>
        <v>3155.2200000000012</v>
      </c>
      <c r="Y32" s="2"/>
      <c r="Z32" s="7">
        <f t="shared" si="15"/>
        <v>1.8040107309141691E-2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57114.879999999997</v>
      </c>
      <c r="E33" s="2"/>
      <c r="F33" s="7">
        <f t="shared" si="8"/>
        <v>0</v>
      </c>
      <c r="G33" s="2"/>
      <c r="H33" s="6">
        <v>58219.619999999995</v>
      </c>
      <c r="I33" s="2"/>
      <c r="J33" s="7">
        <f t="shared" si="9"/>
        <v>0</v>
      </c>
      <c r="K33" s="2"/>
      <c r="L33" s="6">
        <f t="shared" si="10"/>
        <v>-1104.739999999998</v>
      </c>
      <c r="M33" s="2"/>
      <c r="N33" s="7">
        <f t="shared" si="11"/>
        <v>-1.8975390083274299E-2</v>
      </c>
      <c r="O33" s="11"/>
      <c r="P33" s="6">
        <v>344546.95</v>
      </c>
      <c r="Q33" s="2"/>
      <c r="R33" s="7">
        <f t="shared" si="12"/>
        <v>0</v>
      </c>
      <c r="S33" s="2"/>
      <c r="T33" s="6">
        <v>335882.45999999996</v>
      </c>
      <c r="U33" s="2"/>
      <c r="V33" s="7">
        <f t="shared" si="13"/>
        <v>0</v>
      </c>
      <c r="W33" s="2"/>
      <c r="X33" s="6">
        <f t="shared" si="14"/>
        <v>8664.4900000000489</v>
      </c>
      <c r="Y33" s="2"/>
      <c r="Z33" s="7">
        <f t="shared" si="15"/>
        <v>2.5796196681422572E-2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>
        <v>15921.98</v>
      </c>
      <c r="E34" s="2"/>
      <c r="F34" s="7">
        <f t="shared" si="8"/>
        <v>0</v>
      </c>
      <c r="G34" s="2"/>
      <c r="H34" s="6">
        <v>23764.449999999997</v>
      </c>
      <c r="I34" s="2"/>
      <c r="J34" s="7">
        <f t="shared" si="9"/>
        <v>0</v>
      </c>
      <c r="K34" s="2"/>
      <c r="L34" s="6">
        <f t="shared" si="10"/>
        <v>-7842.4699999999975</v>
      </c>
      <c r="M34" s="2"/>
      <c r="N34" s="7">
        <f t="shared" si="11"/>
        <v>-0.33000847905169267</v>
      </c>
      <c r="O34" s="11"/>
      <c r="P34" s="6">
        <v>124539.56</v>
      </c>
      <c r="Q34" s="2"/>
      <c r="R34" s="7">
        <f t="shared" si="12"/>
        <v>0</v>
      </c>
      <c r="S34" s="2"/>
      <c r="T34" s="6">
        <v>160755.01999999999</v>
      </c>
      <c r="U34" s="2"/>
      <c r="V34" s="7">
        <f t="shared" si="13"/>
        <v>0</v>
      </c>
      <c r="W34" s="2"/>
      <c r="X34" s="6">
        <f t="shared" si="14"/>
        <v>-36215.459999999992</v>
      </c>
      <c r="Y34" s="2"/>
      <c r="Z34" s="7">
        <f t="shared" si="15"/>
        <v>-0.22528354013454754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3541.75</v>
      </c>
      <c r="E35" s="2"/>
      <c r="F35" s="7">
        <f t="shared" si="8"/>
        <v>0</v>
      </c>
      <c r="G35" s="2"/>
      <c r="H35" s="6">
        <v>8844.0400000000009</v>
      </c>
      <c r="I35" s="2"/>
      <c r="J35" s="7">
        <f t="shared" si="9"/>
        <v>0</v>
      </c>
      <c r="K35" s="2"/>
      <c r="L35" s="6">
        <f t="shared" si="10"/>
        <v>-5302.2900000000009</v>
      </c>
      <c r="M35" s="2"/>
      <c r="N35" s="7">
        <f t="shared" si="11"/>
        <v>-0.59953256656460174</v>
      </c>
      <c r="O35" s="11"/>
      <c r="P35" s="6">
        <v>40073.279999999999</v>
      </c>
      <c r="Q35" s="2"/>
      <c r="R35" s="7">
        <f t="shared" si="12"/>
        <v>0</v>
      </c>
      <c r="S35" s="2"/>
      <c r="T35" s="6">
        <v>68035.650000000009</v>
      </c>
      <c r="U35" s="2"/>
      <c r="V35" s="7">
        <f t="shared" si="13"/>
        <v>0</v>
      </c>
      <c r="W35" s="2"/>
      <c r="X35" s="6">
        <f t="shared" si="14"/>
        <v>-27962.37000000001</v>
      </c>
      <c r="Y35" s="2"/>
      <c r="Z35" s="7">
        <f t="shared" si="15"/>
        <v>-0.41099585290946739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2361.4299999999998</v>
      </c>
      <c r="U36" s="2"/>
      <c r="V36" s="7">
        <f t="shared" si="13"/>
        <v>0</v>
      </c>
      <c r="W36" s="2"/>
      <c r="X36" s="6">
        <f t="shared" si="14"/>
        <v>-2361.4299999999998</v>
      </c>
      <c r="Y36" s="2"/>
      <c r="Z36" s="7">
        <f t="shared" si="15"/>
        <v>-1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5502</v>
      </c>
      <c r="E37" s="2"/>
      <c r="F37" s="7">
        <f t="shared" si="8"/>
        <v>0</v>
      </c>
      <c r="G37" s="2"/>
      <c r="H37" s="6">
        <v>24731.75</v>
      </c>
      <c r="I37" s="2"/>
      <c r="J37" s="7">
        <f t="shared" si="9"/>
        <v>0</v>
      </c>
      <c r="K37" s="2"/>
      <c r="L37" s="6">
        <f t="shared" si="10"/>
        <v>-19229.75</v>
      </c>
      <c r="M37" s="2"/>
      <c r="N37" s="7">
        <f t="shared" si="11"/>
        <v>-0.77753292832088305</v>
      </c>
      <c r="O37" s="11"/>
      <c r="P37" s="6">
        <v>-39339.009999999995</v>
      </c>
      <c r="Q37" s="2"/>
      <c r="R37" s="7">
        <f t="shared" si="12"/>
        <v>0</v>
      </c>
      <c r="S37" s="2"/>
      <c r="T37" s="6">
        <v>40684.6</v>
      </c>
      <c r="U37" s="2"/>
      <c r="V37" s="7">
        <f t="shared" si="13"/>
        <v>0</v>
      </c>
      <c r="W37" s="2"/>
      <c r="X37" s="6">
        <f t="shared" si="14"/>
        <v>-80023.609999999986</v>
      </c>
      <c r="Y37" s="2"/>
      <c r="Z37" s="7">
        <f t="shared" si="15"/>
        <v>-1.9669263062682192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>
        <v>1366.76</v>
      </c>
      <c r="E38" s="2"/>
      <c r="F38" s="7">
        <f t="shared" si="8"/>
        <v>0</v>
      </c>
      <c r="G38" s="2"/>
      <c r="H38" s="6">
        <v>1518.18</v>
      </c>
      <c r="I38" s="2"/>
      <c r="J38" s="7">
        <f t="shared" si="9"/>
        <v>0</v>
      </c>
      <c r="K38" s="2"/>
      <c r="L38" s="6">
        <f t="shared" si="10"/>
        <v>-151.42000000000007</v>
      </c>
      <c r="M38" s="2"/>
      <c r="N38" s="7">
        <f t="shared" si="11"/>
        <v>-9.9737843997418002E-2</v>
      </c>
      <c r="O38" s="11"/>
      <c r="P38" s="6">
        <v>9595.3799999999992</v>
      </c>
      <c r="Q38" s="2"/>
      <c r="R38" s="7">
        <f t="shared" si="12"/>
        <v>0</v>
      </c>
      <c r="S38" s="2"/>
      <c r="T38" s="6">
        <v>11600.82</v>
      </c>
      <c r="U38" s="2"/>
      <c r="V38" s="7">
        <f t="shared" si="13"/>
        <v>0</v>
      </c>
      <c r="W38" s="2"/>
      <c r="X38" s="6">
        <f t="shared" si="14"/>
        <v>-2005.4400000000005</v>
      </c>
      <c r="Y38" s="2"/>
      <c r="Z38" s="7">
        <f t="shared" si="15"/>
        <v>-0.17287053846193637</v>
      </c>
    </row>
    <row r="39" spans="1:26" s="26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173.21</v>
      </c>
      <c r="E39" s="1"/>
      <c r="F39" s="5">
        <f t="shared" ref="F39:F55" si="16">IF(D$12=0,0,D39/D$12)</f>
        <v>0</v>
      </c>
      <c r="G39" s="1"/>
      <c r="H39" s="1">
        <f>SUM(OSRRefH22_2x_0)</f>
        <v>-7022.92</v>
      </c>
      <c r="I39" s="1"/>
      <c r="J39" s="5">
        <f t="shared" ref="J39:J55" si="17">IF(H$12=0,0,H39/H$12)</f>
        <v>0</v>
      </c>
      <c r="K39" s="1"/>
      <c r="L39" s="1">
        <f t="shared" ref="L39:L55" si="18">+D39-H39</f>
        <v>7196.13</v>
      </c>
      <c r="M39" s="1"/>
      <c r="N39" s="5">
        <f t="shared" ref="N39:N55" si="19">IF(H39=0,0,L39/H39)</f>
        <v>-1.0246635302694607</v>
      </c>
      <c r="O39" s="13"/>
      <c r="P39" s="1">
        <f>SUM(OSRRefP22_2x_0)</f>
        <v>1106.06</v>
      </c>
      <c r="Q39" s="1"/>
      <c r="R39" s="5">
        <f t="shared" ref="R39:R55" si="20">IF(P$12=0,0,P39/P$12)</f>
        <v>0</v>
      </c>
      <c r="S39" s="1"/>
      <c r="T39" s="1">
        <f>SUM(OSRRefT22_2x_0)</f>
        <v>-29789.660000000003</v>
      </c>
      <c r="U39" s="1"/>
      <c r="V39" s="5">
        <f t="shared" ref="V39:V55" si="21">IF(T$12=0,0,T39/T$12)</f>
        <v>0</v>
      </c>
      <c r="W39" s="1"/>
      <c r="X39" s="1">
        <f t="shared" ref="X39:X55" si="22">+P39-T39</f>
        <v>30895.720000000005</v>
      </c>
      <c r="Y39" s="1"/>
      <c r="Z39" s="5">
        <f t="shared" ref="Z39:Z55" si="23">IF(T39=0,0,X39/T39)</f>
        <v>-1.0371289903946537</v>
      </c>
    </row>
    <row r="40" spans="1:26" s="24" customFormat="1" hidden="1" outlineLevel="2" x14ac:dyDescent="0.25">
      <c r="A40" s="25"/>
      <c r="B40" s="11" t="str">
        <f>CONCATENATE("          ", "6362", " - ", "ADVERTISING EXPENSE")</f>
        <v xml:space="preserve">          6362 - ADVERTISING EXPENSE</v>
      </c>
      <c r="C40" s="11"/>
      <c r="D40" s="6">
        <v>173.21</v>
      </c>
      <c r="E40" s="2"/>
      <c r="F40" s="7">
        <f t="shared" si="16"/>
        <v>0</v>
      </c>
      <c r="G40" s="2"/>
      <c r="H40" s="6">
        <v>-7022.92</v>
      </c>
      <c r="I40" s="2"/>
      <c r="J40" s="7">
        <f t="shared" si="17"/>
        <v>0</v>
      </c>
      <c r="K40" s="2"/>
      <c r="L40" s="6">
        <f t="shared" si="18"/>
        <v>7196.13</v>
      </c>
      <c r="M40" s="2"/>
      <c r="N40" s="7">
        <f t="shared" si="19"/>
        <v>-1.0246635302694607</v>
      </c>
      <c r="O40" s="11"/>
      <c r="P40" s="6">
        <v>1106.06</v>
      </c>
      <c r="Q40" s="2"/>
      <c r="R40" s="7">
        <f t="shared" si="20"/>
        <v>0</v>
      </c>
      <c r="S40" s="2"/>
      <c r="T40" s="6">
        <v>-29789.660000000003</v>
      </c>
      <c r="U40" s="2"/>
      <c r="V40" s="7">
        <f t="shared" si="21"/>
        <v>0</v>
      </c>
      <c r="W40" s="2"/>
      <c r="X40" s="6">
        <f t="shared" si="22"/>
        <v>30895.720000000005</v>
      </c>
      <c r="Y40" s="2"/>
      <c r="Z40" s="7">
        <f t="shared" si="23"/>
        <v>-1.0371289903946537</v>
      </c>
    </row>
    <row r="41" spans="1:26" s="26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SUM(OSRRefD22_3x_0)</f>
        <v>2078.09</v>
      </c>
      <c r="E41" s="1"/>
      <c r="F41" s="5">
        <f t="shared" si="16"/>
        <v>0</v>
      </c>
      <c r="G41" s="1"/>
      <c r="H41" s="1">
        <f>SUM(OSRRefH22_3x_0)</f>
        <v>13917.12</v>
      </c>
      <c r="I41" s="1"/>
      <c r="J41" s="5">
        <f t="shared" si="17"/>
        <v>0</v>
      </c>
      <c r="K41" s="1"/>
      <c r="L41" s="1">
        <f t="shared" si="18"/>
        <v>-11839.03</v>
      </c>
      <c r="M41" s="1"/>
      <c r="N41" s="5">
        <f t="shared" si="19"/>
        <v>-0.85068103170770959</v>
      </c>
      <c r="O41" s="13"/>
      <c r="P41" s="1">
        <f>SUM(OSRRefP22_3x_0)</f>
        <v>4982.67</v>
      </c>
      <c r="Q41" s="1"/>
      <c r="R41" s="5">
        <f t="shared" si="20"/>
        <v>0</v>
      </c>
      <c r="S41" s="1"/>
      <c r="T41" s="1">
        <f>SUM(OSRRefT22_3x_0)</f>
        <v>38344.32</v>
      </c>
      <c r="U41" s="1"/>
      <c r="V41" s="5">
        <f t="shared" si="21"/>
        <v>0</v>
      </c>
      <c r="W41" s="1"/>
      <c r="X41" s="1">
        <f t="shared" si="22"/>
        <v>-33361.65</v>
      </c>
      <c r="Y41" s="1"/>
      <c r="Z41" s="5">
        <f t="shared" si="23"/>
        <v>-0.87005454784437442</v>
      </c>
    </row>
    <row r="42" spans="1:26" s="24" customFormat="1" hidden="1" outlineLevel="2" x14ac:dyDescent="0.25">
      <c r="A42" s="25"/>
      <c r="B42" s="11" t="str">
        <f>CONCATENATE("          ", "6381", " - ", "BANK/CREDIT CARD FEES")</f>
        <v xml:space="preserve">          6381 - BANK/CREDIT CARD FEES</v>
      </c>
      <c r="C42" s="11"/>
      <c r="D42" s="6">
        <v>2078.09</v>
      </c>
      <c r="E42" s="2"/>
      <c r="F42" s="7">
        <f t="shared" si="16"/>
        <v>0</v>
      </c>
      <c r="G42" s="2"/>
      <c r="H42" s="6">
        <v>13917.12</v>
      </c>
      <c r="I42" s="2"/>
      <c r="J42" s="7">
        <f t="shared" si="17"/>
        <v>0</v>
      </c>
      <c r="K42" s="2"/>
      <c r="L42" s="6">
        <f t="shared" si="18"/>
        <v>-11839.03</v>
      </c>
      <c r="M42" s="2"/>
      <c r="N42" s="7">
        <f t="shared" si="19"/>
        <v>-0.85068103170770959</v>
      </c>
      <c r="O42" s="11"/>
      <c r="P42" s="6">
        <v>4982.67</v>
      </c>
      <c r="Q42" s="2"/>
      <c r="R42" s="7">
        <f t="shared" si="20"/>
        <v>0</v>
      </c>
      <c r="S42" s="2"/>
      <c r="T42" s="6">
        <v>38344.32</v>
      </c>
      <c r="U42" s="2"/>
      <c r="V42" s="7">
        <f t="shared" si="21"/>
        <v>0</v>
      </c>
      <c r="W42" s="2"/>
      <c r="X42" s="6">
        <f t="shared" si="22"/>
        <v>-33361.65</v>
      </c>
      <c r="Y42" s="2"/>
      <c r="Z42" s="7">
        <f t="shared" si="23"/>
        <v>-0.87005454784437442</v>
      </c>
    </row>
    <row r="43" spans="1:26" s="26" customFormat="1" outlineLevel="1" collapsed="1" x14ac:dyDescent="0.25">
      <c r="A43" s="27"/>
      <c r="B43" s="13" t="str">
        <f>CONCATENATE("     ","Board                                             ")</f>
        <v xml:space="preserve">     Board                                             </v>
      </c>
      <c r="C43" s="13"/>
      <c r="D43" s="1">
        <f>SUM(OSRRefD22_4x_0)</f>
        <v>1763</v>
      </c>
      <c r="E43" s="1"/>
      <c r="F43" s="5">
        <f t="shared" si="16"/>
        <v>0</v>
      </c>
      <c r="G43" s="1"/>
      <c r="H43" s="1">
        <f>SUM(OSRRefH22_4x_0)</f>
        <v>2282.7600000000002</v>
      </c>
      <c r="I43" s="1"/>
      <c r="J43" s="5">
        <f t="shared" si="17"/>
        <v>0</v>
      </c>
      <c r="K43" s="1"/>
      <c r="L43" s="1">
        <f t="shared" si="18"/>
        <v>-519.76000000000022</v>
      </c>
      <c r="M43" s="1"/>
      <c r="N43" s="5">
        <f t="shared" si="19"/>
        <v>-0.22768928840526387</v>
      </c>
      <c r="O43" s="13"/>
      <c r="P43" s="1">
        <f>SUM(OSRRefP22_4x_0)</f>
        <v>9599.99</v>
      </c>
      <c r="Q43" s="1"/>
      <c r="R43" s="5">
        <f t="shared" si="20"/>
        <v>0</v>
      </c>
      <c r="S43" s="1"/>
      <c r="T43" s="1">
        <f>SUM(OSRRefT22_4x_0)</f>
        <v>19080.710000000003</v>
      </c>
      <c r="U43" s="1"/>
      <c r="V43" s="5">
        <f t="shared" si="21"/>
        <v>0</v>
      </c>
      <c r="W43" s="1"/>
      <c r="X43" s="1">
        <f t="shared" si="22"/>
        <v>-9480.720000000003</v>
      </c>
      <c r="Y43" s="1"/>
      <c r="Z43" s="5">
        <f t="shared" si="23"/>
        <v>-0.49687459219284824</v>
      </c>
    </row>
    <row r="44" spans="1:26" s="24" customFormat="1" hidden="1" outlineLevel="2" x14ac:dyDescent="0.25">
      <c r="A44" s="25"/>
      <c r="B44" s="11" t="str">
        <f>CONCATENATE("          ", "6397", " - ", "BOARD EXPENSES")</f>
        <v xml:space="preserve">          6397 - BOARD EXPENSES</v>
      </c>
      <c r="C44" s="11"/>
      <c r="D44" s="6">
        <v>1763</v>
      </c>
      <c r="E44" s="2"/>
      <c r="F44" s="7">
        <f t="shared" si="16"/>
        <v>0</v>
      </c>
      <c r="G44" s="2"/>
      <c r="H44" s="6">
        <v>2282.7600000000002</v>
      </c>
      <c r="I44" s="2"/>
      <c r="J44" s="7">
        <f t="shared" si="17"/>
        <v>0</v>
      </c>
      <c r="K44" s="2"/>
      <c r="L44" s="6">
        <f t="shared" si="18"/>
        <v>-519.76000000000022</v>
      </c>
      <c r="M44" s="2"/>
      <c r="N44" s="7">
        <f t="shared" si="19"/>
        <v>-0.22768928840526387</v>
      </c>
      <c r="O44" s="11"/>
      <c r="P44" s="6">
        <v>9599.99</v>
      </c>
      <c r="Q44" s="2"/>
      <c r="R44" s="7">
        <f t="shared" si="20"/>
        <v>0</v>
      </c>
      <c r="S44" s="2"/>
      <c r="T44" s="6">
        <v>19080.710000000003</v>
      </c>
      <c r="U44" s="2"/>
      <c r="V44" s="7">
        <f t="shared" si="21"/>
        <v>0</v>
      </c>
      <c r="W44" s="2"/>
      <c r="X44" s="6">
        <f t="shared" si="22"/>
        <v>-9480.720000000003</v>
      </c>
      <c r="Y44" s="2"/>
      <c r="Z44" s="7">
        <f t="shared" si="23"/>
        <v>-0.49687459219284824</v>
      </c>
    </row>
    <row r="45" spans="1:26" s="26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7139.05</v>
      </c>
      <c r="E45" s="1"/>
      <c r="F45" s="5">
        <f t="shared" si="16"/>
        <v>0</v>
      </c>
      <c r="G45" s="1"/>
      <c r="H45" s="1">
        <f>SUM(OSRRefH22_5x_0)</f>
        <v>8599.93</v>
      </c>
      <c r="I45" s="1"/>
      <c r="J45" s="5">
        <f t="shared" si="17"/>
        <v>0</v>
      </c>
      <c r="K45" s="1"/>
      <c r="L45" s="1">
        <f t="shared" si="18"/>
        <v>-1460.88</v>
      </c>
      <c r="M45" s="1"/>
      <c r="N45" s="5">
        <f t="shared" si="19"/>
        <v>-0.16987115011401258</v>
      </c>
      <c r="O45" s="13"/>
      <c r="P45" s="1">
        <f>SUM(OSRRefP22_5x_0)</f>
        <v>51543.87</v>
      </c>
      <c r="Q45" s="1"/>
      <c r="R45" s="5">
        <f t="shared" si="20"/>
        <v>0</v>
      </c>
      <c r="S45" s="1"/>
      <c r="T45" s="1">
        <f>SUM(OSRRefT22_5x_0)</f>
        <v>60199.51</v>
      </c>
      <c r="U45" s="1"/>
      <c r="V45" s="5">
        <f t="shared" si="21"/>
        <v>0</v>
      </c>
      <c r="W45" s="1"/>
      <c r="X45" s="1">
        <f t="shared" si="22"/>
        <v>-8655.64</v>
      </c>
      <c r="Y45" s="1"/>
      <c r="Z45" s="5">
        <f t="shared" si="23"/>
        <v>-0.14378256567204614</v>
      </c>
    </row>
    <row r="46" spans="1:26" s="24" customFormat="1" hidden="1" outlineLevel="2" x14ac:dyDescent="0.25">
      <c r="A46" s="25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7139.05</v>
      </c>
      <c r="E46" s="2"/>
      <c r="F46" s="7">
        <f t="shared" si="16"/>
        <v>0</v>
      </c>
      <c r="G46" s="2"/>
      <c r="H46" s="6">
        <v>8599.93</v>
      </c>
      <c r="I46" s="2"/>
      <c r="J46" s="7">
        <f t="shared" si="17"/>
        <v>0</v>
      </c>
      <c r="K46" s="2"/>
      <c r="L46" s="6">
        <f t="shared" si="18"/>
        <v>-1460.88</v>
      </c>
      <c r="M46" s="2"/>
      <c r="N46" s="7">
        <f t="shared" si="19"/>
        <v>-0.16987115011401258</v>
      </c>
      <c r="O46" s="11"/>
      <c r="P46" s="6">
        <v>51543.87</v>
      </c>
      <c r="Q46" s="2"/>
      <c r="R46" s="7">
        <f t="shared" si="20"/>
        <v>0</v>
      </c>
      <c r="S46" s="2"/>
      <c r="T46" s="6">
        <v>60199.51</v>
      </c>
      <c r="U46" s="2"/>
      <c r="V46" s="7">
        <f t="shared" si="21"/>
        <v>0</v>
      </c>
      <c r="W46" s="2"/>
      <c r="X46" s="6">
        <f t="shared" si="22"/>
        <v>-8655.64</v>
      </c>
      <c r="Y46" s="2"/>
      <c r="Z46" s="7">
        <f t="shared" si="23"/>
        <v>-0.14378256567204614</v>
      </c>
    </row>
    <row r="47" spans="1:26" s="26" customFormat="1" outlineLevel="1" collapsed="1" x14ac:dyDescent="0.25">
      <c r="A47" s="27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SUM(OSRRefD22_6x_0)</f>
        <v>0</v>
      </c>
      <c r="E47" s="1"/>
      <c r="F47" s="5">
        <f t="shared" si="16"/>
        <v>0</v>
      </c>
      <c r="G47" s="1"/>
      <c r="H47" s="1">
        <f>SUM(OSRRefH22_6x_0)</f>
        <v>0</v>
      </c>
      <c r="I47" s="1"/>
      <c r="J47" s="5">
        <f t="shared" si="17"/>
        <v>0</v>
      </c>
      <c r="K47" s="1"/>
      <c r="L47" s="1">
        <f t="shared" si="18"/>
        <v>0</v>
      </c>
      <c r="M47" s="1"/>
      <c r="N47" s="5">
        <f t="shared" si="19"/>
        <v>0</v>
      </c>
      <c r="O47" s="13"/>
      <c r="P47" s="1">
        <f>SUM(OSRRefP22_6x_0)</f>
        <v>25000</v>
      </c>
      <c r="Q47" s="1"/>
      <c r="R47" s="5">
        <f t="shared" si="20"/>
        <v>0</v>
      </c>
      <c r="S47" s="1"/>
      <c r="T47" s="1">
        <f>SUM(OSRRefT22_6x_0)</f>
        <v>243145</v>
      </c>
      <c r="U47" s="1"/>
      <c r="V47" s="5">
        <f t="shared" si="21"/>
        <v>0</v>
      </c>
      <c r="W47" s="1"/>
      <c r="X47" s="1">
        <f t="shared" si="22"/>
        <v>-218145</v>
      </c>
      <c r="Y47" s="1"/>
      <c r="Z47" s="5">
        <f t="shared" si="23"/>
        <v>-0.89718069464722694</v>
      </c>
    </row>
    <row r="48" spans="1:26" s="24" customFormat="1" hidden="1" outlineLevel="2" x14ac:dyDescent="0.25">
      <c r="A48" s="25"/>
      <c r="B48" s="11" t="str">
        <f>CONCATENATE("          ", "6399", " - ", "DONATION-ON CAMPUS")</f>
        <v xml:space="preserve">          6399 - DONATION-ON CAMPUS</v>
      </c>
      <c r="C48" s="11"/>
      <c r="D48" s="6"/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0</v>
      </c>
      <c r="M48" s="2"/>
      <c r="N48" s="7">
        <f t="shared" si="19"/>
        <v>0</v>
      </c>
      <c r="O48" s="11"/>
      <c r="P48" s="6">
        <v>25000</v>
      </c>
      <c r="Q48" s="2"/>
      <c r="R48" s="7">
        <f t="shared" si="20"/>
        <v>0</v>
      </c>
      <c r="S48" s="2"/>
      <c r="T48" s="6">
        <v>243145</v>
      </c>
      <c r="U48" s="2"/>
      <c r="V48" s="7">
        <f t="shared" si="21"/>
        <v>0</v>
      </c>
      <c r="W48" s="2"/>
      <c r="X48" s="6">
        <f t="shared" si="22"/>
        <v>-218145</v>
      </c>
      <c r="Y48" s="2"/>
      <c r="Z48" s="7">
        <f t="shared" si="23"/>
        <v>-0.89718069464722694</v>
      </c>
    </row>
    <row r="49" spans="1:26" s="26" customFormat="1" outlineLevel="1" collapsed="1" x14ac:dyDescent="0.25">
      <c r="A49" s="27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SUM(OSRRefD22_7x_0)</f>
        <v>0</v>
      </c>
      <c r="E49" s="1"/>
      <c r="F49" s="5">
        <f t="shared" si="16"/>
        <v>0</v>
      </c>
      <c r="G49" s="1"/>
      <c r="H49" s="1">
        <f>SUM(OSRRefH22_7x_0)</f>
        <v>2180.1799999999998</v>
      </c>
      <c r="I49" s="1"/>
      <c r="J49" s="5">
        <f t="shared" si="17"/>
        <v>0</v>
      </c>
      <c r="K49" s="1"/>
      <c r="L49" s="1">
        <f t="shared" si="18"/>
        <v>-2180.1799999999998</v>
      </c>
      <c r="M49" s="1"/>
      <c r="N49" s="5">
        <f t="shared" si="19"/>
        <v>-1</v>
      </c>
      <c r="O49" s="13"/>
      <c r="P49" s="1">
        <f>SUM(OSRRefP22_7x_0)</f>
        <v>81.56</v>
      </c>
      <c r="Q49" s="1"/>
      <c r="R49" s="5">
        <f t="shared" si="20"/>
        <v>0</v>
      </c>
      <c r="S49" s="1"/>
      <c r="T49" s="1">
        <f>SUM(OSRRefT22_7x_0)</f>
        <v>27018.04</v>
      </c>
      <c r="U49" s="1"/>
      <c r="V49" s="5">
        <f t="shared" si="21"/>
        <v>0</v>
      </c>
      <c r="W49" s="1"/>
      <c r="X49" s="1">
        <f t="shared" si="22"/>
        <v>-26936.48</v>
      </c>
      <c r="Y49" s="1"/>
      <c r="Z49" s="5">
        <f t="shared" si="23"/>
        <v>-0.99698127621396659</v>
      </c>
    </row>
    <row r="50" spans="1:26" s="24" customFormat="1" hidden="1" outlineLevel="2" x14ac:dyDescent="0.25">
      <c r="A50" s="25"/>
      <c r="B50" s="11" t="str">
        <f>CONCATENATE("          ", "6277", " - ", "EMPLOYEE APPRECIATION")</f>
        <v xml:space="preserve">          6277 - EMPLOYEE APPRECIATION</v>
      </c>
      <c r="C50" s="11"/>
      <c r="D50" s="6"/>
      <c r="E50" s="2"/>
      <c r="F50" s="7">
        <f t="shared" si="16"/>
        <v>0</v>
      </c>
      <c r="G50" s="2"/>
      <c r="H50" s="6">
        <v>2180.1799999999998</v>
      </c>
      <c r="I50" s="2"/>
      <c r="J50" s="7">
        <f t="shared" si="17"/>
        <v>0</v>
      </c>
      <c r="K50" s="2"/>
      <c r="L50" s="6">
        <f t="shared" si="18"/>
        <v>-2180.1799999999998</v>
      </c>
      <c r="M50" s="2"/>
      <c r="N50" s="7">
        <f t="shared" si="19"/>
        <v>-1</v>
      </c>
      <c r="O50" s="11"/>
      <c r="P50" s="6">
        <v>81.56</v>
      </c>
      <c r="Q50" s="2"/>
      <c r="R50" s="7">
        <f t="shared" si="20"/>
        <v>0</v>
      </c>
      <c r="S50" s="2"/>
      <c r="T50" s="6">
        <v>27018.04</v>
      </c>
      <c r="U50" s="2"/>
      <c r="V50" s="7">
        <f t="shared" si="21"/>
        <v>0</v>
      </c>
      <c r="W50" s="2"/>
      <c r="X50" s="6">
        <f t="shared" si="22"/>
        <v>-26936.48</v>
      </c>
      <c r="Y50" s="2"/>
      <c r="Z50" s="7">
        <f t="shared" si="23"/>
        <v>-0.99698127621396659</v>
      </c>
    </row>
    <row r="51" spans="1:26" s="26" customFormat="1" outlineLevel="1" collapsed="1" x14ac:dyDescent="0.25">
      <c r="A51" s="27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SUM(OSRRefD22_8x_0)</f>
        <v>208.97</v>
      </c>
      <c r="E51" s="1"/>
      <c r="F51" s="5">
        <f t="shared" si="16"/>
        <v>0</v>
      </c>
      <c r="G51" s="1"/>
      <c r="H51" s="1">
        <f>SUM(OSRRefH22_8x_0)</f>
        <v>208.98</v>
      </c>
      <c r="I51" s="1"/>
      <c r="J51" s="5">
        <f t="shared" si="17"/>
        <v>0</v>
      </c>
      <c r="K51" s="1"/>
      <c r="L51" s="1">
        <f t="shared" si="18"/>
        <v>-9.9999999999909051E-3</v>
      </c>
      <c r="M51" s="1"/>
      <c r="N51" s="5">
        <f t="shared" si="19"/>
        <v>-4.7851469040056015E-5</v>
      </c>
      <c r="O51" s="13"/>
      <c r="P51" s="1">
        <f>SUM(OSRRefP22_8x_0)</f>
        <v>1462.79</v>
      </c>
      <c r="Q51" s="1"/>
      <c r="R51" s="5">
        <f t="shared" si="20"/>
        <v>0</v>
      </c>
      <c r="S51" s="1"/>
      <c r="T51" s="1">
        <f>SUM(OSRRefT22_8x_0)</f>
        <v>1736.64</v>
      </c>
      <c r="U51" s="1"/>
      <c r="V51" s="5">
        <f t="shared" si="21"/>
        <v>0</v>
      </c>
      <c r="W51" s="1"/>
      <c r="X51" s="1">
        <f t="shared" si="22"/>
        <v>-273.85000000000014</v>
      </c>
      <c r="Y51" s="1"/>
      <c r="Z51" s="5">
        <f t="shared" si="23"/>
        <v>-0.15768956145199933</v>
      </c>
    </row>
    <row r="52" spans="1:26" s="24" customFormat="1" hidden="1" outlineLevel="2" x14ac:dyDescent="0.25">
      <c r="A52" s="25"/>
      <c r="B52" s="11" t="str">
        <f>CONCATENATE("          ", "6351", " - ", "EQUIPMENT RENTAL")</f>
        <v xml:space="preserve">          6351 - EQUIPMENT RENTAL</v>
      </c>
      <c r="C52" s="11"/>
      <c r="D52" s="6">
        <v>208.97</v>
      </c>
      <c r="E52" s="2"/>
      <c r="F52" s="7">
        <f t="shared" si="16"/>
        <v>0</v>
      </c>
      <c r="G52" s="2"/>
      <c r="H52" s="6">
        <v>208.98</v>
      </c>
      <c r="I52" s="2"/>
      <c r="J52" s="7">
        <f t="shared" si="17"/>
        <v>0</v>
      </c>
      <c r="K52" s="2"/>
      <c r="L52" s="6">
        <f t="shared" si="18"/>
        <v>-9.9999999999909051E-3</v>
      </c>
      <c r="M52" s="2"/>
      <c r="N52" s="7">
        <f t="shared" si="19"/>
        <v>-4.7851469040056015E-5</v>
      </c>
      <c r="O52" s="11"/>
      <c r="P52" s="6">
        <v>1462.79</v>
      </c>
      <c r="Q52" s="2"/>
      <c r="R52" s="7">
        <f t="shared" si="20"/>
        <v>0</v>
      </c>
      <c r="S52" s="2"/>
      <c r="T52" s="6">
        <v>1736.64</v>
      </c>
      <c r="U52" s="2"/>
      <c r="V52" s="7">
        <f t="shared" si="21"/>
        <v>0</v>
      </c>
      <c r="W52" s="2"/>
      <c r="X52" s="6">
        <f t="shared" si="22"/>
        <v>-273.85000000000014</v>
      </c>
      <c r="Y52" s="2"/>
      <c r="Z52" s="7">
        <f t="shared" si="23"/>
        <v>-0.15768956145199933</v>
      </c>
    </row>
    <row r="53" spans="1:26" s="26" customFormat="1" outlineLevel="1" collapsed="1" x14ac:dyDescent="0.25">
      <c r="A53" s="27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SUM(OSRRefD22_9x_0)</f>
        <v>114.28</v>
      </c>
      <c r="E53" s="1"/>
      <c r="F53" s="5">
        <f t="shared" si="16"/>
        <v>0</v>
      </c>
      <c r="G53" s="1"/>
      <c r="H53" s="1">
        <f>SUM(OSRRefH22_9x_0)</f>
        <v>691.6</v>
      </c>
      <c r="I53" s="1"/>
      <c r="J53" s="5">
        <f t="shared" si="17"/>
        <v>0</v>
      </c>
      <c r="K53" s="1"/>
      <c r="L53" s="1">
        <f t="shared" si="18"/>
        <v>-577.32000000000005</v>
      </c>
      <c r="M53" s="1"/>
      <c r="N53" s="5">
        <f t="shared" si="19"/>
        <v>-0.83475997686524006</v>
      </c>
      <c r="O53" s="13"/>
      <c r="P53" s="1">
        <f>SUM(OSRRefP22_9x_0)</f>
        <v>895.44999999999993</v>
      </c>
      <c r="Q53" s="1"/>
      <c r="R53" s="5">
        <f t="shared" si="20"/>
        <v>0</v>
      </c>
      <c r="S53" s="1"/>
      <c r="T53" s="1">
        <f>SUM(OSRRefT22_9x_0)</f>
        <v>1856.5</v>
      </c>
      <c r="U53" s="1"/>
      <c r="V53" s="5">
        <f t="shared" si="21"/>
        <v>0</v>
      </c>
      <c r="W53" s="1"/>
      <c r="X53" s="1">
        <f t="shared" si="22"/>
        <v>-961.05000000000007</v>
      </c>
      <c r="Y53" s="1"/>
      <c r="Z53" s="5">
        <f t="shared" si="23"/>
        <v>-0.51766765418798821</v>
      </c>
    </row>
    <row r="54" spans="1:26" s="24" customFormat="1" hidden="1" outlineLevel="2" x14ac:dyDescent="0.25">
      <c r="A54" s="25"/>
      <c r="B54" s="11" t="str">
        <f>CONCATENATE("          ", "6305", " - ", "FREIGHT OUT")</f>
        <v xml:space="preserve">          6305 - FREIGHT OUT</v>
      </c>
      <c r="C54" s="11"/>
      <c r="D54" s="6"/>
      <c r="E54" s="2"/>
      <c r="F54" s="7">
        <f t="shared" si="16"/>
        <v>0</v>
      </c>
      <c r="G54" s="2"/>
      <c r="H54" s="6"/>
      <c r="I54" s="2"/>
      <c r="J54" s="7">
        <f t="shared" si="17"/>
        <v>0</v>
      </c>
      <c r="K54" s="2"/>
      <c r="L54" s="6">
        <f t="shared" si="18"/>
        <v>0</v>
      </c>
      <c r="M54" s="2"/>
      <c r="N54" s="7">
        <f t="shared" si="19"/>
        <v>0</v>
      </c>
      <c r="O54" s="11"/>
      <c r="P54" s="6">
        <v>5.41</v>
      </c>
      <c r="Q54" s="2"/>
      <c r="R54" s="7">
        <f t="shared" si="20"/>
        <v>0</v>
      </c>
      <c r="S54" s="2"/>
      <c r="T54" s="6"/>
      <c r="U54" s="2"/>
      <c r="V54" s="7">
        <f t="shared" si="21"/>
        <v>0</v>
      </c>
      <c r="W54" s="2"/>
      <c r="X54" s="6">
        <f t="shared" si="22"/>
        <v>5.41</v>
      </c>
      <c r="Y54" s="2"/>
      <c r="Z54" s="7">
        <f t="shared" si="23"/>
        <v>0</v>
      </c>
    </row>
    <row r="55" spans="1:26" s="24" customFormat="1" hidden="1" outlineLevel="2" x14ac:dyDescent="0.25">
      <c r="A55" s="25"/>
      <c r="B55" s="11" t="str">
        <f>CONCATENATE("          ", "6307", " - ", "POSTAGE")</f>
        <v xml:space="preserve">          6307 - POSTAGE</v>
      </c>
      <c r="C55" s="11"/>
      <c r="D55" s="6">
        <v>114.28</v>
      </c>
      <c r="E55" s="2"/>
      <c r="F55" s="7">
        <f t="shared" si="16"/>
        <v>0</v>
      </c>
      <c r="G55" s="2"/>
      <c r="H55" s="6">
        <v>691.6</v>
      </c>
      <c r="I55" s="2"/>
      <c r="J55" s="7">
        <f t="shared" si="17"/>
        <v>0</v>
      </c>
      <c r="K55" s="2"/>
      <c r="L55" s="6">
        <f t="shared" si="18"/>
        <v>-577.32000000000005</v>
      </c>
      <c r="M55" s="2"/>
      <c r="N55" s="7">
        <f t="shared" si="19"/>
        <v>-0.83475997686524006</v>
      </c>
      <c r="O55" s="11"/>
      <c r="P55" s="6">
        <v>890.04</v>
      </c>
      <c r="Q55" s="2"/>
      <c r="R55" s="7">
        <f t="shared" si="20"/>
        <v>0</v>
      </c>
      <c r="S55" s="2"/>
      <c r="T55" s="6">
        <v>1856.5</v>
      </c>
      <c r="U55" s="2"/>
      <c r="V55" s="7">
        <f t="shared" si="21"/>
        <v>0</v>
      </c>
      <c r="W55" s="2"/>
      <c r="X55" s="6">
        <f t="shared" si="22"/>
        <v>-966.46</v>
      </c>
      <c r="Y55" s="2"/>
      <c r="Z55" s="7">
        <f t="shared" si="23"/>
        <v>-0.52058173983301914</v>
      </c>
    </row>
    <row r="56" spans="1:26" s="26" customFormat="1" outlineLevel="1" collapsed="1" x14ac:dyDescent="0.25">
      <c r="A56" s="27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261.2</v>
      </c>
      <c r="E56" s="1"/>
      <c r="F56" s="5">
        <f t="shared" ref="F56:F64" si="24">IF(D$12=0,0,D56/D$12)</f>
        <v>0</v>
      </c>
      <c r="G56" s="1"/>
      <c r="H56" s="1">
        <f>SUM(OSRRefH22_10x_0)</f>
        <v>173.21</v>
      </c>
      <c r="I56" s="1"/>
      <c r="J56" s="5">
        <f t="shared" ref="J56:J64" si="25">IF(H$12=0,0,H56/H$12)</f>
        <v>0</v>
      </c>
      <c r="K56" s="1"/>
      <c r="L56" s="1">
        <f t="shared" ref="L56:L64" si="26">+D56-H56</f>
        <v>87.989999999999981</v>
      </c>
      <c r="M56" s="1"/>
      <c r="N56" s="5">
        <f t="shared" ref="N56:N64" si="27">IF(H56=0,0,L56/H56)</f>
        <v>0.50799607412966907</v>
      </c>
      <c r="O56" s="13"/>
      <c r="P56" s="1">
        <f>SUM(OSRRefP22_10x_0)</f>
        <v>427.74</v>
      </c>
      <c r="Q56" s="1"/>
      <c r="R56" s="5">
        <f t="shared" ref="R56:R64" si="28">IF(P$12=0,0,P56/P$12)</f>
        <v>0</v>
      </c>
      <c r="S56" s="1"/>
      <c r="T56" s="1">
        <f>SUM(OSRRefT22_10x_0)</f>
        <v>12808.64</v>
      </c>
      <c r="U56" s="1"/>
      <c r="V56" s="5">
        <f t="shared" ref="V56:V64" si="29">IF(T$12=0,0,T56/T$12)</f>
        <v>0</v>
      </c>
      <c r="W56" s="1"/>
      <c r="X56" s="1">
        <f t="shared" ref="X56:X64" si="30">+P56-T56</f>
        <v>-12380.9</v>
      </c>
      <c r="Y56" s="1"/>
      <c r="Z56" s="5">
        <f t="shared" ref="Z56:Z64" si="31">IF(T56=0,0,X56/T56)</f>
        <v>-0.96660535388612689</v>
      </c>
    </row>
    <row r="57" spans="1:26" s="24" customFormat="1" hidden="1" outlineLevel="2" x14ac:dyDescent="0.25">
      <c r="A57" s="25"/>
      <c r="B57" s="11" t="str">
        <f>CONCATENATE("          ", "6279", " - ", "GENERAL EXPENSE")</f>
        <v xml:space="preserve">          6279 - GENERAL EXPENSE</v>
      </c>
      <c r="C57" s="11"/>
      <c r="D57" s="6">
        <v>261.2</v>
      </c>
      <c r="E57" s="2"/>
      <c r="F57" s="7">
        <f t="shared" si="24"/>
        <v>0</v>
      </c>
      <c r="G57" s="2"/>
      <c r="H57" s="6">
        <v>173.21</v>
      </c>
      <c r="I57" s="2"/>
      <c r="J57" s="7">
        <f t="shared" si="25"/>
        <v>0</v>
      </c>
      <c r="K57" s="2"/>
      <c r="L57" s="6">
        <f t="shared" si="26"/>
        <v>87.989999999999981</v>
      </c>
      <c r="M57" s="2"/>
      <c r="N57" s="7">
        <f t="shared" si="27"/>
        <v>0.50799607412966907</v>
      </c>
      <c r="O57" s="11"/>
      <c r="P57" s="6">
        <v>427.74</v>
      </c>
      <c r="Q57" s="2"/>
      <c r="R57" s="7">
        <f t="shared" si="28"/>
        <v>0</v>
      </c>
      <c r="S57" s="2"/>
      <c r="T57" s="6">
        <v>12808.64</v>
      </c>
      <c r="U57" s="2"/>
      <c r="V57" s="7">
        <f t="shared" si="29"/>
        <v>0</v>
      </c>
      <c r="W57" s="2"/>
      <c r="X57" s="6">
        <f t="shared" si="30"/>
        <v>-12380.9</v>
      </c>
      <c r="Y57" s="2"/>
      <c r="Z57" s="7">
        <f t="shared" si="31"/>
        <v>-0.96660535388612689</v>
      </c>
    </row>
    <row r="58" spans="1:26" s="26" customFormat="1" outlineLevel="1" collapsed="1" x14ac:dyDescent="0.25">
      <c r="A58" s="27"/>
      <c r="B58" s="13" t="str">
        <f>CONCATENATE("     ","Insurance                                         ")</f>
        <v xml:space="preserve">     Insurance                                         </v>
      </c>
      <c r="C58" s="13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393.67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3"/>
      <c r="P58" s="1">
        <f>SUM(OSRRefP22_11x_0)</f>
        <v>2755.69</v>
      </c>
      <c r="Q58" s="1"/>
      <c r="R58" s="5">
        <f t="shared" si="28"/>
        <v>0</v>
      </c>
      <c r="S58" s="1"/>
      <c r="T58" s="1">
        <f>SUM(OSRRefT22_11x_0)</f>
        <v>2755.69</v>
      </c>
      <c r="U58" s="1"/>
      <c r="V58" s="5">
        <f t="shared" si="29"/>
        <v>0</v>
      </c>
      <c r="W58" s="1"/>
      <c r="X58" s="1">
        <f t="shared" si="30"/>
        <v>0</v>
      </c>
      <c r="Y58" s="1"/>
      <c r="Z58" s="5">
        <f t="shared" si="31"/>
        <v>0</v>
      </c>
    </row>
    <row r="59" spans="1:26" s="24" customFormat="1" hidden="1" outlineLevel="2" x14ac:dyDescent="0.25">
      <c r="A59" s="25"/>
      <c r="B59" s="11" t="str">
        <f>CONCATENATE("          ", "6314", " - ", "LIABILITY INSURANCE")</f>
        <v xml:space="preserve">          6314 - LIABILITY INSURANCE</v>
      </c>
      <c r="C59" s="11"/>
      <c r="D59" s="6">
        <v>393.67</v>
      </c>
      <c r="E59" s="2"/>
      <c r="F59" s="7">
        <f t="shared" si="24"/>
        <v>0</v>
      </c>
      <c r="G59" s="2"/>
      <c r="H59" s="6">
        <v>393.67</v>
      </c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>
        <v>2755.69</v>
      </c>
      <c r="Q59" s="2"/>
      <c r="R59" s="7">
        <f t="shared" si="28"/>
        <v>0</v>
      </c>
      <c r="S59" s="2"/>
      <c r="T59" s="6">
        <v>2755.69</v>
      </c>
      <c r="U59" s="2"/>
      <c r="V59" s="7">
        <f t="shared" si="29"/>
        <v>0</v>
      </c>
      <c r="W59" s="2"/>
      <c r="X59" s="6">
        <f t="shared" si="30"/>
        <v>0</v>
      </c>
      <c r="Y59" s="2"/>
      <c r="Z59" s="7">
        <f t="shared" si="31"/>
        <v>0</v>
      </c>
    </row>
    <row r="60" spans="1:26" s="26" customFormat="1" outlineLevel="1" collapsed="1" x14ac:dyDescent="0.25">
      <c r="A60" s="27"/>
      <c r="B60" s="13" t="str">
        <f>CONCATENATE("     ","Professional Services                             ")</f>
        <v xml:space="preserve">     Professional Services                             </v>
      </c>
      <c r="C60" s="13"/>
      <c r="D60" s="1">
        <f>SUM(OSRRefD22_12x_0)</f>
        <v>14763.05</v>
      </c>
      <c r="E60" s="1"/>
      <c r="F60" s="5">
        <f t="shared" si="24"/>
        <v>0</v>
      </c>
      <c r="G60" s="1"/>
      <c r="H60" s="1">
        <f>SUM(OSRRefH22_12x_0)</f>
        <v>12008.95</v>
      </c>
      <c r="I60" s="1"/>
      <c r="J60" s="5">
        <f t="shared" si="25"/>
        <v>0</v>
      </c>
      <c r="K60" s="1"/>
      <c r="L60" s="1">
        <f t="shared" si="26"/>
        <v>2754.0999999999985</v>
      </c>
      <c r="M60" s="1"/>
      <c r="N60" s="5">
        <f t="shared" si="27"/>
        <v>0.22933728594090227</v>
      </c>
      <c r="O60" s="13"/>
      <c r="P60" s="1">
        <f>SUM(OSRRefP22_12x_0)</f>
        <v>93456.37000000001</v>
      </c>
      <c r="Q60" s="1"/>
      <c r="R60" s="5">
        <f t="shared" si="28"/>
        <v>0</v>
      </c>
      <c r="S60" s="1"/>
      <c r="T60" s="1">
        <f>SUM(OSRRefT22_12x_0)</f>
        <v>156046.72999999998</v>
      </c>
      <c r="U60" s="1"/>
      <c r="V60" s="5">
        <f t="shared" si="29"/>
        <v>0</v>
      </c>
      <c r="W60" s="1"/>
      <c r="X60" s="1">
        <f t="shared" si="30"/>
        <v>-62590.359999999971</v>
      </c>
      <c r="Y60" s="1"/>
      <c r="Z60" s="5">
        <f t="shared" si="31"/>
        <v>-0.40110010635916549</v>
      </c>
    </row>
    <row r="61" spans="1:26" s="24" customFormat="1" hidden="1" outlineLevel="2" x14ac:dyDescent="0.25">
      <c r="A61" s="25"/>
      <c r="B61" s="11" t="str">
        <f>CONCATENATE("          ", "6331", " - ", "INDIRECT COSTS-AUXILIARY ORGAN")</f>
        <v xml:space="preserve">          6331 - INDIRECT COSTS-AUXILIARY ORGAN</v>
      </c>
      <c r="C61" s="11"/>
      <c r="D61" s="6">
        <v>11585.75</v>
      </c>
      <c r="E61" s="2"/>
      <c r="F61" s="7">
        <f t="shared" si="24"/>
        <v>0</v>
      </c>
      <c r="G61" s="2"/>
      <c r="H61" s="6">
        <v>11487</v>
      </c>
      <c r="I61" s="2"/>
      <c r="J61" s="7">
        <f t="shared" si="25"/>
        <v>0</v>
      </c>
      <c r="K61" s="2"/>
      <c r="L61" s="6">
        <f t="shared" si="26"/>
        <v>98.75</v>
      </c>
      <c r="M61" s="2"/>
      <c r="N61" s="7">
        <f t="shared" si="27"/>
        <v>8.5966745016105156E-3</v>
      </c>
      <c r="O61" s="11"/>
      <c r="P61" s="6">
        <v>80832.25</v>
      </c>
      <c r="Q61" s="2"/>
      <c r="R61" s="7">
        <f t="shared" si="28"/>
        <v>0</v>
      </c>
      <c r="S61" s="2"/>
      <c r="T61" s="6">
        <v>80236</v>
      </c>
      <c r="U61" s="2"/>
      <c r="V61" s="7">
        <f t="shared" si="29"/>
        <v>0</v>
      </c>
      <c r="W61" s="2"/>
      <c r="X61" s="6">
        <f t="shared" si="30"/>
        <v>596.25</v>
      </c>
      <c r="Y61" s="2"/>
      <c r="Z61" s="7">
        <f t="shared" si="31"/>
        <v>7.4312029512936841E-3</v>
      </c>
    </row>
    <row r="62" spans="1:26" s="24" customFormat="1" hidden="1" outlineLevel="2" x14ac:dyDescent="0.25">
      <c r="A62" s="25"/>
      <c r="B62" s="11" t="str">
        <f>CONCATENATE("          ", "6332", " - ", "CONSULTANT FEES")</f>
        <v xml:space="preserve">          6332 - CONSULTANT FEES</v>
      </c>
      <c r="C62" s="11"/>
      <c r="D62" s="6"/>
      <c r="E62" s="2"/>
      <c r="F62" s="7">
        <f t="shared" si="24"/>
        <v>0</v>
      </c>
      <c r="G62" s="2"/>
      <c r="H62" s="6"/>
      <c r="I62" s="2"/>
      <c r="J62" s="7">
        <f t="shared" si="25"/>
        <v>0</v>
      </c>
      <c r="K62" s="2"/>
      <c r="L62" s="6">
        <f t="shared" si="26"/>
        <v>0</v>
      </c>
      <c r="M62" s="2"/>
      <c r="N62" s="7">
        <f t="shared" si="27"/>
        <v>0</v>
      </c>
      <c r="O62" s="11"/>
      <c r="P62" s="6"/>
      <c r="Q62" s="2"/>
      <c r="R62" s="7">
        <f t="shared" si="28"/>
        <v>0</v>
      </c>
      <c r="S62" s="2"/>
      <c r="T62" s="6">
        <v>15144.74</v>
      </c>
      <c r="U62" s="2"/>
      <c r="V62" s="7">
        <f t="shared" si="29"/>
        <v>0</v>
      </c>
      <c r="W62" s="2"/>
      <c r="X62" s="6">
        <f t="shared" si="30"/>
        <v>-15144.74</v>
      </c>
      <c r="Y62" s="2"/>
      <c r="Z62" s="7">
        <f t="shared" si="31"/>
        <v>-1</v>
      </c>
    </row>
    <row r="63" spans="1:26" s="24" customFormat="1" hidden="1" outlineLevel="2" x14ac:dyDescent="0.25">
      <c r="A63" s="25"/>
      <c r="B63" s="11" t="str">
        <f>CONCATENATE("          ", "6334", " - ", "LEGAL COUNCIL EXPENSE")</f>
        <v xml:space="preserve">          6334 - LEGAL COUNCIL EXPENSE</v>
      </c>
      <c r="C63" s="11"/>
      <c r="D63" s="6">
        <v>1225</v>
      </c>
      <c r="E63" s="2"/>
      <c r="F63" s="7">
        <f t="shared" si="24"/>
        <v>0</v>
      </c>
      <c r="G63" s="2"/>
      <c r="H63" s="6"/>
      <c r="I63" s="2"/>
      <c r="J63" s="7">
        <f t="shared" si="25"/>
        <v>0</v>
      </c>
      <c r="K63" s="2"/>
      <c r="L63" s="6">
        <f t="shared" si="26"/>
        <v>1225</v>
      </c>
      <c r="M63" s="2"/>
      <c r="N63" s="7">
        <f t="shared" si="27"/>
        <v>0</v>
      </c>
      <c r="O63" s="11"/>
      <c r="P63" s="6">
        <v>6254.24</v>
      </c>
      <c r="Q63" s="2"/>
      <c r="R63" s="7">
        <f t="shared" si="28"/>
        <v>0</v>
      </c>
      <c r="S63" s="2"/>
      <c r="T63" s="6">
        <v>38300</v>
      </c>
      <c r="U63" s="2"/>
      <c r="V63" s="7">
        <f t="shared" si="29"/>
        <v>0</v>
      </c>
      <c r="W63" s="2"/>
      <c r="X63" s="6">
        <f t="shared" si="30"/>
        <v>-32045.760000000002</v>
      </c>
      <c r="Y63" s="2"/>
      <c r="Z63" s="7">
        <f t="shared" si="31"/>
        <v>-0.83670391644908626</v>
      </c>
    </row>
    <row r="64" spans="1:26" s="24" customFormat="1" hidden="1" outlineLevel="2" x14ac:dyDescent="0.25">
      <c r="A64" s="25"/>
      <c r="B64" s="11" t="str">
        <f>CONCATENATE("          ", "6336", " - ", "PROFESSIONAL SERVICES")</f>
        <v xml:space="preserve">          6336 - PROFESSIONAL SERVICES</v>
      </c>
      <c r="C64" s="11"/>
      <c r="D64" s="6">
        <v>1952.3</v>
      </c>
      <c r="E64" s="2"/>
      <c r="F64" s="7">
        <f t="shared" si="24"/>
        <v>0</v>
      </c>
      <c r="G64" s="2"/>
      <c r="H64" s="6">
        <v>521.95000000000005</v>
      </c>
      <c r="I64" s="2"/>
      <c r="J64" s="7">
        <f t="shared" si="25"/>
        <v>0</v>
      </c>
      <c r="K64" s="2"/>
      <c r="L64" s="6">
        <f t="shared" si="26"/>
        <v>1430.35</v>
      </c>
      <c r="M64" s="2"/>
      <c r="N64" s="7">
        <f t="shared" si="27"/>
        <v>2.7403965897116578</v>
      </c>
      <c r="O64" s="11"/>
      <c r="P64" s="6">
        <v>6369.88</v>
      </c>
      <c r="Q64" s="2"/>
      <c r="R64" s="7">
        <f t="shared" si="28"/>
        <v>0</v>
      </c>
      <c r="S64" s="2"/>
      <c r="T64" s="6">
        <v>22365.99</v>
      </c>
      <c r="U64" s="2"/>
      <c r="V64" s="7">
        <f t="shared" si="29"/>
        <v>0</v>
      </c>
      <c r="W64" s="2"/>
      <c r="X64" s="6">
        <f t="shared" si="30"/>
        <v>-15996.11</v>
      </c>
      <c r="Y64" s="2"/>
      <c r="Z64" s="7">
        <f t="shared" si="31"/>
        <v>-0.71519794115976976</v>
      </c>
    </row>
    <row r="65" spans="1:26" s="26" customFormat="1" outlineLevel="1" collapsed="1" x14ac:dyDescent="0.25">
      <c r="A65" s="27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SUM(OSRRefD22_13x_0)</f>
        <v>24215.309999999998</v>
      </c>
      <c r="E65" s="1"/>
      <c r="F65" s="5">
        <f t="shared" ref="F65:F68" si="32">IF(D$12=0,0,D65/D$12)</f>
        <v>0</v>
      </c>
      <c r="G65" s="1"/>
      <c r="H65" s="1">
        <f>SUM(OSRRefH22_13x_0)</f>
        <v>31339.93</v>
      </c>
      <c r="I65" s="1"/>
      <c r="J65" s="5">
        <f t="shared" ref="J65:J68" si="33">IF(H$12=0,0,H65/H$12)</f>
        <v>0</v>
      </c>
      <c r="K65" s="1"/>
      <c r="L65" s="1">
        <f t="shared" ref="L65:L68" si="34">+D65-H65</f>
        <v>-7124.6200000000026</v>
      </c>
      <c r="M65" s="1"/>
      <c r="N65" s="5">
        <f t="shared" ref="N65:N68" si="35">IF(H65=0,0,L65/H65)</f>
        <v>-0.22733362837760016</v>
      </c>
      <c r="O65" s="13"/>
      <c r="P65" s="1">
        <f>SUM(OSRRefP22_13x_0)</f>
        <v>141037.22</v>
      </c>
      <c r="Q65" s="1"/>
      <c r="R65" s="5">
        <f t="shared" ref="R65:R68" si="36">IF(P$12=0,0,P65/P$12)</f>
        <v>0</v>
      </c>
      <c r="S65" s="1"/>
      <c r="T65" s="1">
        <f>SUM(OSRRefT22_13x_0)</f>
        <v>190248.59</v>
      </c>
      <c r="U65" s="1"/>
      <c r="V65" s="5">
        <f t="shared" ref="V65:V68" si="37">IF(T$12=0,0,T65/T$12)</f>
        <v>0</v>
      </c>
      <c r="W65" s="1"/>
      <c r="X65" s="1">
        <f t="shared" ref="X65:X68" si="38">+P65-T65</f>
        <v>-49211.369999999995</v>
      </c>
      <c r="Y65" s="1"/>
      <c r="Z65" s="5">
        <f t="shared" ref="Z65:Z68" si="39">IF(T65=0,0,X65/T65)</f>
        <v>-0.25866877646767317</v>
      </c>
    </row>
    <row r="66" spans="1:26" s="24" customFormat="1" hidden="1" outlineLevel="2" x14ac:dyDescent="0.25">
      <c r="A66" s="25"/>
      <c r="B66" s="11" t="str">
        <f>CONCATENATE("          ", "6371", " - ", "COMPUTER SOFTWARE MAINTENANCE")</f>
        <v xml:space="preserve">          6371 - COMPUTER SOFTWARE MAINTENANCE</v>
      </c>
      <c r="C66" s="11"/>
      <c r="D66" s="6">
        <v>4135.6499999999996</v>
      </c>
      <c r="E66" s="2"/>
      <c r="F66" s="7">
        <f t="shared" si="32"/>
        <v>0</v>
      </c>
      <c r="G66" s="2"/>
      <c r="H66" s="6">
        <v>13377.15</v>
      </c>
      <c r="I66" s="2"/>
      <c r="J66" s="7">
        <f t="shared" si="33"/>
        <v>0</v>
      </c>
      <c r="K66" s="2"/>
      <c r="L66" s="6">
        <f t="shared" si="34"/>
        <v>-9241.5</v>
      </c>
      <c r="M66" s="2"/>
      <c r="N66" s="7">
        <f t="shared" si="35"/>
        <v>-0.69084221975532911</v>
      </c>
      <c r="O66" s="11"/>
      <c r="P66" s="6">
        <v>30329.260000000002</v>
      </c>
      <c r="Q66" s="2"/>
      <c r="R66" s="7">
        <f t="shared" si="36"/>
        <v>0</v>
      </c>
      <c r="S66" s="2"/>
      <c r="T66" s="6">
        <v>86816.04</v>
      </c>
      <c r="U66" s="2"/>
      <c r="V66" s="7">
        <f t="shared" si="37"/>
        <v>0</v>
      </c>
      <c r="W66" s="2"/>
      <c r="X66" s="6">
        <f t="shared" si="38"/>
        <v>-56486.779999999992</v>
      </c>
      <c r="Y66" s="2"/>
      <c r="Z66" s="7">
        <f t="shared" si="39"/>
        <v>-0.6506491196788059</v>
      </c>
    </row>
    <row r="67" spans="1:26" s="24" customFormat="1" hidden="1" outlineLevel="2" x14ac:dyDescent="0.25">
      <c r="A67" s="25"/>
      <c r="B67" s="11" t="str">
        <f>CONCATENATE("          ", "6373", " - ", "MAINTENANCE CONTRACTS")</f>
        <v xml:space="preserve">          6373 - MAINTENANCE CONTRACTS</v>
      </c>
      <c r="C67" s="11"/>
      <c r="D67" s="6">
        <v>20079.66</v>
      </c>
      <c r="E67" s="2"/>
      <c r="F67" s="7">
        <f t="shared" si="32"/>
        <v>0</v>
      </c>
      <c r="G67" s="2"/>
      <c r="H67" s="6">
        <v>17896.78</v>
      </c>
      <c r="I67" s="2"/>
      <c r="J67" s="7">
        <f t="shared" si="33"/>
        <v>0</v>
      </c>
      <c r="K67" s="2"/>
      <c r="L67" s="6">
        <f t="shared" si="34"/>
        <v>2182.880000000001</v>
      </c>
      <c r="M67" s="2"/>
      <c r="N67" s="7">
        <f t="shared" si="35"/>
        <v>0.12197054442195754</v>
      </c>
      <c r="O67" s="11"/>
      <c r="P67" s="6">
        <v>108537.67</v>
      </c>
      <c r="Q67" s="2"/>
      <c r="R67" s="7">
        <f t="shared" si="36"/>
        <v>0</v>
      </c>
      <c r="S67" s="2"/>
      <c r="T67" s="6">
        <v>101723.47</v>
      </c>
      <c r="U67" s="2"/>
      <c r="V67" s="7">
        <f t="shared" si="37"/>
        <v>0</v>
      </c>
      <c r="W67" s="2"/>
      <c r="X67" s="6">
        <f t="shared" si="38"/>
        <v>6814.1999999999971</v>
      </c>
      <c r="Y67" s="2"/>
      <c r="Z67" s="7">
        <f t="shared" si="39"/>
        <v>6.6987490694133789E-2</v>
      </c>
    </row>
    <row r="68" spans="1:26" s="24" customFormat="1" hidden="1" outlineLevel="2" x14ac:dyDescent="0.25">
      <c r="A68" s="25"/>
      <c r="B68" s="11" t="str">
        <f>CONCATENATE("          ", "6375", " - ", "OUTSIDE REPAIRS &amp; MAINTENANCE")</f>
        <v xml:space="preserve">          6375 - OUTSIDE REPAIRS &amp; MAINTENANCE</v>
      </c>
      <c r="C68" s="11"/>
      <c r="D68" s="6"/>
      <c r="E68" s="2"/>
      <c r="F68" s="7">
        <f t="shared" si="32"/>
        <v>0</v>
      </c>
      <c r="G68" s="2"/>
      <c r="H68" s="6">
        <v>66</v>
      </c>
      <c r="I68" s="2"/>
      <c r="J68" s="7">
        <f t="shared" si="33"/>
        <v>0</v>
      </c>
      <c r="K68" s="2"/>
      <c r="L68" s="6">
        <f t="shared" si="34"/>
        <v>-66</v>
      </c>
      <c r="M68" s="2"/>
      <c r="N68" s="7">
        <f t="shared" si="35"/>
        <v>-1</v>
      </c>
      <c r="O68" s="11"/>
      <c r="P68" s="6">
        <v>2170.29</v>
      </c>
      <c r="Q68" s="2"/>
      <c r="R68" s="7">
        <f t="shared" si="36"/>
        <v>0</v>
      </c>
      <c r="S68" s="2"/>
      <c r="T68" s="6">
        <v>1709.08</v>
      </c>
      <c r="U68" s="2"/>
      <c r="V68" s="7">
        <f t="shared" si="37"/>
        <v>0</v>
      </c>
      <c r="W68" s="2"/>
      <c r="X68" s="6">
        <f t="shared" si="38"/>
        <v>461.21000000000004</v>
      </c>
      <c r="Y68" s="2"/>
      <c r="Z68" s="7">
        <f t="shared" si="39"/>
        <v>0.26985863739555788</v>
      </c>
    </row>
    <row r="69" spans="1:26" s="26" customFormat="1" outlineLevel="1" collapsed="1" x14ac:dyDescent="0.25">
      <c r="A69" s="27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SUM(OSRRefD22_14x_0)</f>
        <v>632.79999999999995</v>
      </c>
      <c r="E69" s="1"/>
      <c r="F69" s="5">
        <f t="shared" ref="F69:F71" si="40">IF(D$12=0,0,D69/D$12)</f>
        <v>0</v>
      </c>
      <c r="G69" s="1"/>
      <c r="H69" s="1">
        <f>SUM(OSRRefH22_14x_0)</f>
        <v>608.45000000000005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24.349999999999909</v>
      </c>
      <c r="M69" s="1"/>
      <c r="N69" s="5">
        <f t="shared" ref="N69:N71" si="43">IF(H69=0,0,L69/H69)</f>
        <v>4.0019722245048739E-2</v>
      </c>
      <c r="O69" s="13"/>
      <c r="P69" s="1">
        <f>SUM(OSRRefP22_14x_0)</f>
        <v>3707.68</v>
      </c>
      <c r="Q69" s="1"/>
      <c r="R69" s="5">
        <f t="shared" ref="R69:R71" si="44">IF(P$12=0,0,P69/P$12)</f>
        <v>0</v>
      </c>
      <c r="S69" s="1"/>
      <c r="T69" s="1">
        <f>SUM(OSRRefT22_14x_0)</f>
        <v>8756.4699999999993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-5048.7899999999991</v>
      </c>
      <c r="Y69" s="1"/>
      <c r="Z69" s="5">
        <f t="shared" ref="Z69:Z71" si="47">IF(T69=0,0,X69/T69)</f>
        <v>-0.57657823300942035</v>
      </c>
    </row>
    <row r="70" spans="1:26" s="24" customFormat="1" hidden="1" outlineLevel="2" x14ac:dyDescent="0.25">
      <c r="A70" s="25"/>
      <c r="B70" s="11" t="str">
        <f>CONCATENATE("          ", "6281", " - ", "STORAGE FEE")</f>
        <v xml:space="preserve">          6281 - STORAGE FEE</v>
      </c>
      <c r="C70" s="11"/>
      <c r="D70" s="6">
        <v>632.79999999999995</v>
      </c>
      <c r="E70" s="2"/>
      <c r="F70" s="7">
        <f t="shared" si="40"/>
        <v>0</v>
      </c>
      <c r="G70" s="2"/>
      <c r="H70" s="6">
        <v>599.61</v>
      </c>
      <c r="I70" s="2"/>
      <c r="J70" s="7">
        <f t="shared" si="41"/>
        <v>0</v>
      </c>
      <c r="K70" s="2"/>
      <c r="L70" s="6">
        <f t="shared" si="42"/>
        <v>33.189999999999941</v>
      </c>
      <c r="M70" s="2"/>
      <c r="N70" s="7">
        <f t="shared" si="43"/>
        <v>5.5352645886492788E-2</v>
      </c>
      <c r="O70" s="11"/>
      <c r="P70" s="6">
        <v>3707.68</v>
      </c>
      <c r="Q70" s="2"/>
      <c r="R70" s="7">
        <f t="shared" si="44"/>
        <v>0</v>
      </c>
      <c r="S70" s="2"/>
      <c r="T70" s="6">
        <v>8699.01</v>
      </c>
      <c r="U70" s="2"/>
      <c r="V70" s="7">
        <f t="shared" si="45"/>
        <v>0</v>
      </c>
      <c r="W70" s="2"/>
      <c r="X70" s="6">
        <f t="shared" si="46"/>
        <v>-4991.33</v>
      </c>
      <c r="Y70" s="2"/>
      <c r="Z70" s="7">
        <f t="shared" si="47"/>
        <v>-0.57378138431844539</v>
      </c>
    </row>
    <row r="71" spans="1:26" s="24" customFormat="1" hidden="1" outlineLevel="2" x14ac:dyDescent="0.25">
      <c r="A71" s="25"/>
      <c r="B71" s="11" t="str">
        <f>CONCATENATE("          ", "6286", " - ", "LAUNDRY EXPENSE")</f>
        <v xml:space="preserve">          6286 - LAUNDRY EXPENSE</v>
      </c>
      <c r="C71" s="11"/>
      <c r="D71" s="6"/>
      <c r="E71" s="2"/>
      <c r="F71" s="7">
        <f t="shared" si="40"/>
        <v>0</v>
      </c>
      <c r="G71" s="2"/>
      <c r="H71" s="6">
        <v>8.84</v>
      </c>
      <c r="I71" s="2"/>
      <c r="J71" s="7">
        <f t="shared" si="41"/>
        <v>0</v>
      </c>
      <c r="K71" s="2"/>
      <c r="L71" s="6">
        <f t="shared" si="42"/>
        <v>-8.84</v>
      </c>
      <c r="M71" s="2"/>
      <c r="N71" s="7">
        <f t="shared" si="43"/>
        <v>-1</v>
      </c>
      <c r="O71" s="11"/>
      <c r="P71" s="6"/>
      <c r="Q71" s="2"/>
      <c r="R71" s="7">
        <f t="shared" si="44"/>
        <v>0</v>
      </c>
      <c r="S71" s="2"/>
      <c r="T71" s="6">
        <v>57.46</v>
      </c>
      <c r="U71" s="2"/>
      <c r="V71" s="7">
        <f t="shared" si="45"/>
        <v>0</v>
      </c>
      <c r="W71" s="2"/>
      <c r="X71" s="6">
        <f t="shared" si="46"/>
        <v>-57.46</v>
      </c>
      <c r="Y71" s="2"/>
      <c r="Z71" s="7">
        <f t="shared" si="47"/>
        <v>-1</v>
      </c>
    </row>
    <row r="72" spans="1:26" s="26" customFormat="1" outlineLevel="1" collapsed="1" x14ac:dyDescent="0.25">
      <c r="A72" s="27"/>
      <c r="B72" s="13" t="str">
        <f>CONCATENATE("     ","Subscriptions &amp; Dues                              ")</f>
        <v xml:space="preserve">     Subscriptions &amp; Dues                              </v>
      </c>
      <c r="C72" s="13"/>
      <c r="D72" s="1">
        <f>SUM(OSRRefD22_15x_0)</f>
        <v>0</v>
      </c>
      <c r="E72" s="1"/>
      <c r="F72" s="5">
        <f t="shared" ref="F72:F79" si="48">IF(D$12=0,0,D72/D$12)</f>
        <v>0</v>
      </c>
      <c r="G72" s="1"/>
      <c r="H72" s="1">
        <f>SUM(OSRRefH22_15x_0)</f>
        <v>0</v>
      </c>
      <c r="I72" s="1"/>
      <c r="J72" s="5">
        <f t="shared" ref="J72:J79" si="49">IF(H$12=0,0,H72/H$12)</f>
        <v>0</v>
      </c>
      <c r="K72" s="1"/>
      <c r="L72" s="1">
        <f t="shared" ref="L72:L79" si="50">+D72-H72</f>
        <v>0</v>
      </c>
      <c r="M72" s="1"/>
      <c r="N72" s="5">
        <f t="shared" ref="N72:N79" si="51">IF(H72=0,0,L72/H72)</f>
        <v>0</v>
      </c>
      <c r="O72" s="13"/>
      <c r="P72" s="1">
        <f>SUM(OSRRefP22_15x_0)</f>
        <v>2259.9899999999998</v>
      </c>
      <c r="Q72" s="1"/>
      <c r="R72" s="5">
        <f t="shared" ref="R72:R79" si="52">IF(P$12=0,0,P72/P$12)</f>
        <v>0</v>
      </c>
      <c r="S72" s="1"/>
      <c r="T72" s="1">
        <f>SUM(OSRRefT22_15x_0)</f>
        <v>2421</v>
      </c>
      <c r="U72" s="1"/>
      <c r="V72" s="5">
        <f t="shared" ref="V72:V79" si="53">IF(T$12=0,0,T72/T$12)</f>
        <v>0</v>
      </c>
      <c r="W72" s="1"/>
      <c r="X72" s="1">
        <f t="shared" ref="X72:X79" si="54">+P72-T72</f>
        <v>-161.01000000000022</v>
      </c>
      <c r="Y72" s="1"/>
      <c r="Z72" s="5">
        <f t="shared" ref="Z72:Z79" si="55">IF(T72=0,0,X72/T72)</f>
        <v>-6.6505576208178527E-2</v>
      </c>
    </row>
    <row r="73" spans="1:26" s="24" customFormat="1" hidden="1" outlineLevel="2" x14ac:dyDescent="0.25">
      <c r="A73" s="25"/>
      <c r="B73" s="11" t="str">
        <f>CONCATENATE("          ", "6258", " - ", "MEMBERSHIP DUES")</f>
        <v xml:space="preserve">          6258 - MEMBERSHIP DUES</v>
      </c>
      <c r="C73" s="11"/>
      <c r="D73" s="6"/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0</v>
      </c>
      <c r="M73" s="2"/>
      <c r="N73" s="7">
        <f t="shared" si="51"/>
        <v>0</v>
      </c>
      <c r="O73" s="11"/>
      <c r="P73" s="6">
        <v>2259.9899999999998</v>
      </c>
      <c r="Q73" s="2"/>
      <c r="R73" s="7">
        <f t="shared" si="52"/>
        <v>0</v>
      </c>
      <c r="S73" s="2"/>
      <c r="T73" s="6">
        <v>2421</v>
      </c>
      <c r="U73" s="2"/>
      <c r="V73" s="7">
        <f t="shared" si="53"/>
        <v>0</v>
      </c>
      <c r="W73" s="2"/>
      <c r="X73" s="6">
        <f t="shared" si="54"/>
        <v>-161.01000000000022</v>
      </c>
      <c r="Y73" s="2"/>
      <c r="Z73" s="7">
        <f t="shared" si="55"/>
        <v>-6.6505576208178527E-2</v>
      </c>
    </row>
    <row r="74" spans="1:26" s="26" customFormat="1" outlineLevel="1" collapsed="1" x14ac:dyDescent="0.25">
      <c r="A74" s="27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SUM(OSRRefD22_16x_0)</f>
        <v>862.65</v>
      </c>
      <c r="E74" s="1"/>
      <c r="F74" s="5">
        <f t="shared" si="48"/>
        <v>0</v>
      </c>
      <c r="G74" s="1"/>
      <c r="H74" s="1">
        <f>SUM(OSRRefH22_16x_0)</f>
        <v>6224.38</v>
      </c>
      <c r="I74" s="1"/>
      <c r="J74" s="5">
        <f t="shared" si="49"/>
        <v>0</v>
      </c>
      <c r="K74" s="1"/>
      <c r="L74" s="1">
        <f t="shared" si="50"/>
        <v>-5361.7300000000005</v>
      </c>
      <c r="M74" s="1"/>
      <c r="N74" s="5">
        <f t="shared" si="51"/>
        <v>-0.86140788319479211</v>
      </c>
      <c r="O74" s="13"/>
      <c r="P74" s="1">
        <f>SUM(OSRRefP22_16x_0)</f>
        <v>789.06999999999994</v>
      </c>
      <c r="Q74" s="1"/>
      <c r="R74" s="5">
        <f t="shared" si="52"/>
        <v>0</v>
      </c>
      <c r="S74" s="1"/>
      <c r="T74" s="1">
        <f>SUM(OSRRefT22_16x_0)</f>
        <v>48581.59</v>
      </c>
      <c r="U74" s="1"/>
      <c r="V74" s="5">
        <f t="shared" si="53"/>
        <v>0</v>
      </c>
      <c r="W74" s="1"/>
      <c r="X74" s="1">
        <f t="shared" si="54"/>
        <v>-47792.52</v>
      </c>
      <c r="Y74" s="1"/>
      <c r="Z74" s="5">
        <f t="shared" si="55"/>
        <v>-0.98375783913206627</v>
      </c>
    </row>
    <row r="75" spans="1:26" s="24" customFormat="1" hidden="1" outlineLevel="2" x14ac:dyDescent="0.25">
      <c r="A75" s="25"/>
      <c r="B75" s="11" t="str">
        <f>CONCATENATE("          ", "6234", " - ", "EXPENDABLE SUPPLIES &amp; EQUIPMEN")</f>
        <v xml:space="preserve">          6234 - EXPENDABLE SUPPLIES &amp; EQUIPMEN</v>
      </c>
      <c r="C75" s="11"/>
      <c r="D75" s="6"/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0</v>
      </c>
      <c r="M75" s="2"/>
      <c r="N75" s="7">
        <f t="shared" si="51"/>
        <v>0</v>
      </c>
      <c r="O75" s="11"/>
      <c r="P75" s="6"/>
      <c r="Q75" s="2"/>
      <c r="R75" s="7">
        <f t="shared" si="52"/>
        <v>0</v>
      </c>
      <c r="S75" s="2"/>
      <c r="T75" s="6">
        <v>1223.6099999999999</v>
      </c>
      <c r="U75" s="2"/>
      <c r="V75" s="7">
        <f t="shared" si="53"/>
        <v>0</v>
      </c>
      <c r="W75" s="2"/>
      <c r="X75" s="6">
        <f t="shared" si="54"/>
        <v>-1223.6099999999999</v>
      </c>
      <c r="Y75" s="2"/>
      <c r="Z75" s="7">
        <f t="shared" si="55"/>
        <v>-1</v>
      </c>
    </row>
    <row r="76" spans="1:26" s="24" customFormat="1" hidden="1" outlineLevel="2" x14ac:dyDescent="0.25">
      <c r="A76" s="25"/>
      <c r="B76" s="11" t="str">
        <f>CONCATENATE("          ", "6235", " - ", "COVID-19 EXPENSES")</f>
        <v xml:space="preserve">          6235 - COVID-19 EXPENSES</v>
      </c>
      <c r="C76" s="11"/>
      <c r="D76" s="6"/>
      <c r="E76" s="2"/>
      <c r="F76" s="7">
        <f t="shared" si="48"/>
        <v>0</v>
      </c>
      <c r="G76" s="2"/>
      <c r="H76" s="6"/>
      <c r="I76" s="2"/>
      <c r="J76" s="7">
        <f t="shared" si="49"/>
        <v>0</v>
      </c>
      <c r="K76" s="2"/>
      <c r="L76" s="6">
        <f t="shared" si="50"/>
        <v>0</v>
      </c>
      <c r="M76" s="2"/>
      <c r="N76" s="7">
        <f t="shared" si="51"/>
        <v>0</v>
      </c>
      <c r="O76" s="11"/>
      <c r="P76" s="6">
        <v>810.3</v>
      </c>
      <c r="Q76" s="2"/>
      <c r="R76" s="7">
        <f t="shared" si="52"/>
        <v>0</v>
      </c>
      <c r="S76" s="2"/>
      <c r="T76" s="6"/>
      <c r="U76" s="2"/>
      <c r="V76" s="7">
        <f t="shared" si="53"/>
        <v>0</v>
      </c>
      <c r="W76" s="2"/>
      <c r="X76" s="6">
        <f t="shared" si="54"/>
        <v>810.3</v>
      </c>
      <c r="Y76" s="2"/>
      <c r="Z76" s="7">
        <f t="shared" si="55"/>
        <v>0</v>
      </c>
    </row>
    <row r="77" spans="1:26" s="24" customFormat="1" hidden="1" outlineLevel="2" x14ac:dyDescent="0.25">
      <c r="A77" s="25"/>
      <c r="B77" s="11" t="str">
        <f>CONCATENATE("          ", "6241", " - ", "OFFICE EXPENSE")</f>
        <v xml:space="preserve">          6241 - OFFICE EXPENSE</v>
      </c>
      <c r="C77" s="11"/>
      <c r="D77" s="6">
        <v>862.65</v>
      </c>
      <c r="E77" s="2"/>
      <c r="F77" s="7">
        <f t="shared" si="48"/>
        <v>0</v>
      </c>
      <c r="G77" s="2"/>
      <c r="H77" s="6">
        <v>5775.67</v>
      </c>
      <c r="I77" s="2"/>
      <c r="J77" s="7">
        <f t="shared" si="49"/>
        <v>0</v>
      </c>
      <c r="K77" s="2"/>
      <c r="L77" s="6">
        <f t="shared" si="50"/>
        <v>-4913.0200000000004</v>
      </c>
      <c r="M77" s="2"/>
      <c r="N77" s="7">
        <f t="shared" si="51"/>
        <v>-0.85064070488791788</v>
      </c>
      <c r="O77" s="11"/>
      <c r="P77" s="6">
        <v>-243.94</v>
      </c>
      <c r="Q77" s="2"/>
      <c r="R77" s="7">
        <f t="shared" si="52"/>
        <v>0</v>
      </c>
      <c r="S77" s="2"/>
      <c r="T77" s="6">
        <v>42312.659999999996</v>
      </c>
      <c r="U77" s="2"/>
      <c r="V77" s="7">
        <f t="shared" si="53"/>
        <v>0</v>
      </c>
      <c r="W77" s="2"/>
      <c r="X77" s="6">
        <f t="shared" si="54"/>
        <v>-42556.6</v>
      </c>
      <c r="Y77" s="2"/>
      <c r="Z77" s="7">
        <f t="shared" si="55"/>
        <v>-1.0057651776087819</v>
      </c>
    </row>
    <row r="78" spans="1:26" s="24" customFormat="1" hidden="1" outlineLevel="2" x14ac:dyDescent="0.25">
      <c r="A78" s="25"/>
      <c r="B78" s="11" t="str">
        <f>CONCATENATE("          ", "6244", " - ", "SAFETY SUPPLY EXPENSE")</f>
        <v xml:space="preserve">          6244 - SAFETY SUPPLY EXPENSE</v>
      </c>
      <c r="C78" s="11"/>
      <c r="D78" s="6"/>
      <c r="E78" s="2"/>
      <c r="F78" s="7">
        <f t="shared" si="48"/>
        <v>0</v>
      </c>
      <c r="G78" s="2"/>
      <c r="H78" s="6">
        <v>275</v>
      </c>
      <c r="I78" s="2"/>
      <c r="J78" s="7">
        <f t="shared" si="49"/>
        <v>0</v>
      </c>
      <c r="K78" s="2"/>
      <c r="L78" s="6">
        <f t="shared" si="50"/>
        <v>-275</v>
      </c>
      <c r="M78" s="2"/>
      <c r="N78" s="7">
        <f t="shared" si="51"/>
        <v>-1</v>
      </c>
      <c r="O78" s="11"/>
      <c r="P78" s="6">
        <v>222.71</v>
      </c>
      <c r="Q78" s="2"/>
      <c r="R78" s="7">
        <f t="shared" si="52"/>
        <v>0</v>
      </c>
      <c r="S78" s="2"/>
      <c r="T78" s="6">
        <v>1832.33</v>
      </c>
      <c r="U78" s="2"/>
      <c r="V78" s="7">
        <f t="shared" si="53"/>
        <v>0</v>
      </c>
      <c r="W78" s="2"/>
      <c r="X78" s="6">
        <f t="shared" si="54"/>
        <v>-1609.62</v>
      </c>
      <c r="Y78" s="2"/>
      <c r="Z78" s="7">
        <f t="shared" si="55"/>
        <v>-0.87845530008240869</v>
      </c>
    </row>
    <row r="79" spans="1:26" s="24" customFormat="1" hidden="1" outlineLevel="2" x14ac:dyDescent="0.25">
      <c r="A79" s="25"/>
      <c r="B79" s="11" t="str">
        <f>CONCATENATE("          ", "6245", " - ", "PRINTING")</f>
        <v xml:space="preserve">          6245 - PRINTING</v>
      </c>
      <c r="C79" s="11"/>
      <c r="D79" s="6"/>
      <c r="E79" s="2"/>
      <c r="F79" s="7">
        <f t="shared" si="48"/>
        <v>0</v>
      </c>
      <c r="G79" s="2"/>
      <c r="H79" s="6">
        <v>173.71</v>
      </c>
      <c r="I79" s="2"/>
      <c r="J79" s="7">
        <f t="shared" si="49"/>
        <v>0</v>
      </c>
      <c r="K79" s="2"/>
      <c r="L79" s="6">
        <f t="shared" si="50"/>
        <v>-173.71</v>
      </c>
      <c r="M79" s="2"/>
      <c r="N79" s="7">
        <f t="shared" si="51"/>
        <v>-1</v>
      </c>
      <c r="O79" s="11"/>
      <c r="P79" s="6"/>
      <c r="Q79" s="2"/>
      <c r="R79" s="7">
        <f t="shared" si="52"/>
        <v>0</v>
      </c>
      <c r="S79" s="2"/>
      <c r="T79" s="6">
        <v>3212.99</v>
      </c>
      <c r="U79" s="2"/>
      <c r="V79" s="7">
        <f t="shared" si="53"/>
        <v>0</v>
      </c>
      <c r="W79" s="2"/>
      <c r="X79" s="6">
        <f t="shared" si="54"/>
        <v>-3212.99</v>
      </c>
      <c r="Y79" s="2"/>
      <c r="Z79" s="7">
        <f t="shared" si="55"/>
        <v>-1</v>
      </c>
    </row>
    <row r="80" spans="1:26" s="26" customFormat="1" outlineLevel="1" collapsed="1" x14ac:dyDescent="0.25">
      <c r="A80" s="27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SUM(OSRRefD22_17x_0)</f>
        <v>1483.32</v>
      </c>
      <c r="E80" s="1"/>
      <c r="F80" s="5">
        <f t="shared" ref="F80:F82" si="56">IF(D$12=0,0,D80/D$12)</f>
        <v>0</v>
      </c>
      <c r="G80" s="1"/>
      <c r="H80" s="1">
        <f>SUM(OSRRefH22_17x_0)</f>
        <v>2163.04</v>
      </c>
      <c r="I80" s="1"/>
      <c r="J80" s="5">
        <f t="shared" ref="J80:J82" si="57">IF(H$12=0,0,H80/H$12)</f>
        <v>0</v>
      </c>
      <c r="K80" s="1"/>
      <c r="L80" s="1">
        <f t="shared" ref="L80:L82" si="58">+D80-H80</f>
        <v>-679.72</v>
      </c>
      <c r="M80" s="1"/>
      <c r="N80" s="5">
        <f t="shared" ref="N80:N82" si="59">IF(H80=0,0,L80/H80)</f>
        <v>-0.31424291737554555</v>
      </c>
      <c r="O80" s="13"/>
      <c r="P80" s="1">
        <f>SUM(OSRRefP22_17x_0)</f>
        <v>14669.14</v>
      </c>
      <c r="Q80" s="1"/>
      <c r="R80" s="5">
        <f t="shared" ref="R80:R82" si="60">IF(P$12=0,0,P80/P$12)</f>
        <v>0</v>
      </c>
      <c r="S80" s="1"/>
      <c r="T80" s="1">
        <f>SUM(OSRRefT22_17x_0)</f>
        <v>18782.530000000002</v>
      </c>
      <c r="U80" s="1"/>
      <c r="V80" s="5">
        <f t="shared" ref="V80:V82" si="61">IF(T$12=0,0,T80/T$12)</f>
        <v>0</v>
      </c>
      <c r="W80" s="1"/>
      <c r="X80" s="1">
        <f t="shared" ref="X80:X82" si="62">+P80-T80</f>
        <v>-4113.3900000000031</v>
      </c>
      <c r="Y80" s="1"/>
      <c r="Z80" s="5">
        <f t="shared" ref="Z80:Z82" si="63">IF(T80=0,0,X80/T80)</f>
        <v>-0.21900084812855364</v>
      </c>
    </row>
    <row r="81" spans="1:26" s="24" customFormat="1" hidden="1" outlineLevel="2" x14ac:dyDescent="0.25">
      <c r="A81" s="25"/>
      <c r="B81" s="11" t="str">
        <f>CONCATENATE("          ", "6303", " - ", "DATA PHONE LINES")</f>
        <v xml:space="preserve">          6303 - DATA PHONE LINES</v>
      </c>
      <c r="C81" s="11"/>
      <c r="D81" s="6">
        <v>158.97999999999999</v>
      </c>
      <c r="E81" s="2"/>
      <c r="F81" s="7">
        <f t="shared" si="56"/>
        <v>0</v>
      </c>
      <c r="G81" s="2"/>
      <c r="H81" s="6">
        <v>78.989999999999995</v>
      </c>
      <c r="I81" s="2"/>
      <c r="J81" s="7">
        <f t="shared" si="57"/>
        <v>0</v>
      </c>
      <c r="K81" s="2"/>
      <c r="L81" s="6">
        <f t="shared" si="58"/>
        <v>79.989999999999995</v>
      </c>
      <c r="M81" s="2"/>
      <c r="N81" s="7">
        <f t="shared" si="59"/>
        <v>1.0126598303582732</v>
      </c>
      <c r="O81" s="11"/>
      <c r="P81" s="6">
        <v>923.88</v>
      </c>
      <c r="Q81" s="2"/>
      <c r="R81" s="7">
        <f t="shared" si="60"/>
        <v>0</v>
      </c>
      <c r="S81" s="2"/>
      <c r="T81" s="6">
        <v>1105.06</v>
      </c>
      <c r="U81" s="2"/>
      <c r="V81" s="7">
        <f t="shared" si="61"/>
        <v>0</v>
      </c>
      <c r="W81" s="2"/>
      <c r="X81" s="6">
        <f t="shared" si="62"/>
        <v>-181.17999999999995</v>
      </c>
      <c r="Y81" s="2"/>
      <c r="Z81" s="7">
        <f t="shared" si="63"/>
        <v>-0.16395489837655869</v>
      </c>
    </row>
    <row r="82" spans="1:26" s="24" customFormat="1" hidden="1" outlineLevel="2" x14ac:dyDescent="0.25">
      <c r="A82" s="25"/>
      <c r="B82" s="11" t="str">
        <f>CONCATENATE("          ", "6309", " - ", "TELEPHONE")</f>
        <v xml:space="preserve">          6309 - TELEPHONE</v>
      </c>
      <c r="C82" s="11"/>
      <c r="D82" s="6">
        <v>1324.34</v>
      </c>
      <c r="E82" s="2"/>
      <c r="F82" s="7">
        <f t="shared" si="56"/>
        <v>0</v>
      </c>
      <c r="G82" s="2"/>
      <c r="H82" s="6">
        <v>2084.0500000000002</v>
      </c>
      <c r="I82" s="2"/>
      <c r="J82" s="7">
        <f t="shared" si="57"/>
        <v>0</v>
      </c>
      <c r="K82" s="2"/>
      <c r="L82" s="6">
        <f t="shared" si="58"/>
        <v>-759.71000000000026</v>
      </c>
      <c r="M82" s="2"/>
      <c r="N82" s="7">
        <f t="shared" si="59"/>
        <v>-0.36453539982246119</v>
      </c>
      <c r="O82" s="11"/>
      <c r="P82" s="6">
        <v>13745.26</v>
      </c>
      <c r="Q82" s="2"/>
      <c r="R82" s="7">
        <f t="shared" si="60"/>
        <v>0</v>
      </c>
      <c r="S82" s="2"/>
      <c r="T82" s="6">
        <v>17677.47</v>
      </c>
      <c r="U82" s="2"/>
      <c r="V82" s="7">
        <f t="shared" si="61"/>
        <v>0</v>
      </c>
      <c r="W82" s="2"/>
      <c r="X82" s="6">
        <f t="shared" si="62"/>
        <v>-3932.2100000000009</v>
      </c>
      <c r="Y82" s="2"/>
      <c r="Z82" s="7">
        <f t="shared" si="63"/>
        <v>-0.2224418992084275</v>
      </c>
    </row>
    <row r="83" spans="1:26" s="26" customFormat="1" outlineLevel="1" collapsed="1" x14ac:dyDescent="0.25">
      <c r="A83" s="27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SUM(OSRRefD22_18x_0)</f>
        <v>0</v>
      </c>
      <c r="E83" s="1"/>
      <c r="F83" s="5">
        <f t="shared" ref="F83:F87" si="64">IF(D$12=0,0,D83/D$12)</f>
        <v>0</v>
      </c>
      <c r="G83" s="1"/>
      <c r="H83" s="1">
        <f>SUM(OSRRefH22_18x_0)</f>
        <v>5104.95</v>
      </c>
      <c r="I83" s="1"/>
      <c r="J83" s="5">
        <f t="shared" ref="J83:J87" si="65">IF(H$12=0,0,H83/H$12)</f>
        <v>0</v>
      </c>
      <c r="K83" s="1"/>
      <c r="L83" s="1">
        <f t="shared" ref="L83:L87" si="66">+D83-H83</f>
        <v>-5104.95</v>
      </c>
      <c r="M83" s="1"/>
      <c r="N83" s="5">
        <f t="shared" ref="N83:N87" si="67">IF(H83=0,0,L83/H83)</f>
        <v>-1</v>
      </c>
      <c r="O83" s="13"/>
      <c r="P83" s="1">
        <f>SUM(OSRRefP22_18x_0)</f>
        <v>1676.5</v>
      </c>
      <c r="Q83" s="1"/>
      <c r="R83" s="5">
        <f t="shared" ref="R83:R87" si="68">IF(P$12=0,0,P83/P$12)</f>
        <v>0</v>
      </c>
      <c r="S83" s="1"/>
      <c r="T83" s="1">
        <f>SUM(OSRRefT22_18x_0)</f>
        <v>14719.66</v>
      </c>
      <c r="U83" s="1"/>
      <c r="V83" s="5">
        <f t="shared" ref="V83:V87" si="69">IF(T$12=0,0,T83/T$12)</f>
        <v>0</v>
      </c>
      <c r="W83" s="1"/>
      <c r="X83" s="1">
        <f t="shared" ref="X83:X87" si="70">+P83-T83</f>
        <v>-13043.16</v>
      </c>
      <c r="Y83" s="1"/>
      <c r="Z83" s="5">
        <f t="shared" ref="Z83:Z87" si="71">IF(T83=0,0,X83/T83)</f>
        <v>-0.88610470622283399</v>
      </c>
    </row>
    <row r="84" spans="1:26" s="24" customFormat="1" hidden="1" outlineLevel="2" x14ac:dyDescent="0.25">
      <c r="A84" s="25"/>
      <c r="B84" s="11" t="str">
        <f>CONCATENATE("          ", "6376", " - ", "TRAINING")</f>
        <v xml:space="preserve">          6376 - TRAINING</v>
      </c>
      <c r="C84" s="11"/>
      <c r="D84" s="6"/>
      <c r="E84" s="2"/>
      <c r="F84" s="7">
        <f t="shared" si="64"/>
        <v>0</v>
      </c>
      <c r="G84" s="2"/>
      <c r="H84" s="6">
        <v>5104.95</v>
      </c>
      <c r="I84" s="2"/>
      <c r="J84" s="7">
        <f t="shared" si="65"/>
        <v>0</v>
      </c>
      <c r="K84" s="2"/>
      <c r="L84" s="6">
        <f t="shared" si="66"/>
        <v>-5104.95</v>
      </c>
      <c r="M84" s="2"/>
      <c r="N84" s="7">
        <f t="shared" si="67"/>
        <v>-1</v>
      </c>
      <c r="O84" s="11"/>
      <c r="P84" s="6">
        <v>1676.5</v>
      </c>
      <c r="Q84" s="2"/>
      <c r="R84" s="7">
        <f t="shared" si="68"/>
        <v>0</v>
      </c>
      <c r="S84" s="2"/>
      <c r="T84" s="6">
        <v>14719.66</v>
      </c>
      <c r="U84" s="2"/>
      <c r="V84" s="7">
        <f t="shared" si="69"/>
        <v>0</v>
      </c>
      <c r="W84" s="2"/>
      <c r="X84" s="6">
        <f t="shared" si="70"/>
        <v>-13043.16</v>
      </c>
      <c r="Y84" s="2"/>
      <c r="Z84" s="7">
        <f t="shared" si="71"/>
        <v>-0.88610470622283399</v>
      </c>
    </row>
    <row r="85" spans="1:26" s="26" customFormat="1" outlineLevel="1" collapsed="1" x14ac:dyDescent="0.25">
      <c r="A85" s="27"/>
      <c r="B85" s="13" t="str">
        <f>CONCATENATE("     ","Travel                                            ")</f>
        <v xml:space="preserve">     Travel                                            </v>
      </c>
      <c r="C85" s="13"/>
      <c r="D85" s="1">
        <f>SUM(OSRRefD22_19x_0)</f>
        <v>21.2</v>
      </c>
      <c r="E85" s="1"/>
      <c r="F85" s="5">
        <f t="shared" si="64"/>
        <v>0</v>
      </c>
      <c r="G85" s="1"/>
      <c r="H85" s="1">
        <f>SUM(OSRRefH22_19x_0)</f>
        <v>40.770000000000003</v>
      </c>
      <c r="I85" s="1"/>
      <c r="J85" s="5">
        <f t="shared" si="65"/>
        <v>0</v>
      </c>
      <c r="K85" s="1"/>
      <c r="L85" s="1">
        <f t="shared" si="66"/>
        <v>-19.570000000000004</v>
      </c>
      <c r="M85" s="1"/>
      <c r="N85" s="5">
        <f t="shared" si="67"/>
        <v>-0.48000981113563901</v>
      </c>
      <c r="O85" s="13"/>
      <c r="P85" s="1">
        <f>SUM(OSRRefP22_19x_0)</f>
        <v>787.81999999999994</v>
      </c>
      <c r="Q85" s="1"/>
      <c r="R85" s="5">
        <f t="shared" si="68"/>
        <v>0</v>
      </c>
      <c r="S85" s="1"/>
      <c r="T85" s="1">
        <f>SUM(OSRRefT22_19x_0)</f>
        <v>8961.4699999999993</v>
      </c>
      <c r="U85" s="1"/>
      <c r="V85" s="5">
        <f t="shared" si="69"/>
        <v>0</v>
      </c>
      <c r="W85" s="1"/>
      <c r="X85" s="1">
        <f t="shared" si="70"/>
        <v>-8173.65</v>
      </c>
      <c r="Y85" s="1"/>
      <c r="Z85" s="5">
        <f t="shared" si="71"/>
        <v>-0.9120880837630434</v>
      </c>
    </row>
    <row r="86" spans="1:26" s="24" customFormat="1" hidden="1" outlineLevel="2" x14ac:dyDescent="0.25">
      <c r="A86" s="25"/>
      <c r="B86" s="11" t="str">
        <f>CONCATENATE("          ", "6292", " - ", "TRAVEL/CONFERENCE")</f>
        <v xml:space="preserve">          6292 - TRAVEL/CONFERENCE</v>
      </c>
      <c r="C86" s="11"/>
      <c r="D86" s="6"/>
      <c r="E86" s="2"/>
      <c r="F86" s="7">
        <f t="shared" si="64"/>
        <v>0</v>
      </c>
      <c r="G86" s="2"/>
      <c r="H86" s="6">
        <v>40.770000000000003</v>
      </c>
      <c r="I86" s="2"/>
      <c r="J86" s="7">
        <f t="shared" si="65"/>
        <v>0</v>
      </c>
      <c r="K86" s="2"/>
      <c r="L86" s="6">
        <f t="shared" si="66"/>
        <v>-40.770000000000003</v>
      </c>
      <c r="M86" s="2"/>
      <c r="N86" s="7">
        <f t="shared" si="67"/>
        <v>-1</v>
      </c>
      <c r="O86" s="11"/>
      <c r="P86" s="6">
        <v>720</v>
      </c>
      <c r="Q86" s="2"/>
      <c r="R86" s="7">
        <f t="shared" si="68"/>
        <v>0</v>
      </c>
      <c r="S86" s="2"/>
      <c r="T86" s="6">
        <v>8937.57</v>
      </c>
      <c r="U86" s="2"/>
      <c r="V86" s="7">
        <f t="shared" si="69"/>
        <v>0</v>
      </c>
      <c r="W86" s="2"/>
      <c r="X86" s="6">
        <f t="shared" si="70"/>
        <v>-8217.57</v>
      </c>
      <c r="Y86" s="2"/>
      <c r="Z86" s="7">
        <f t="shared" si="71"/>
        <v>-0.91944119039067662</v>
      </c>
    </row>
    <row r="87" spans="1:26" s="24" customFormat="1" hidden="1" outlineLevel="2" x14ac:dyDescent="0.25">
      <c r="A87" s="25"/>
      <c r="B87" s="11" t="str">
        <f>CONCATENATE("          ", "6294", " - ", "TRAVEL OPERATIONAL")</f>
        <v xml:space="preserve">          6294 - TRAVEL OPERATIONAL</v>
      </c>
      <c r="C87" s="11"/>
      <c r="D87" s="6">
        <v>21.2</v>
      </c>
      <c r="E87" s="2"/>
      <c r="F87" s="7">
        <f t="shared" si="64"/>
        <v>0</v>
      </c>
      <c r="G87" s="2"/>
      <c r="H87" s="6"/>
      <c r="I87" s="2"/>
      <c r="J87" s="7">
        <f t="shared" si="65"/>
        <v>0</v>
      </c>
      <c r="K87" s="2"/>
      <c r="L87" s="6">
        <f t="shared" si="66"/>
        <v>21.2</v>
      </c>
      <c r="M87" s="2"/>
      <c r="N87" s="7">
        <f t="shared" si="67"/>
        <v>0</v>
      </c>
      <c r="O87" s="11"/>
      <c r="P87" s="6">
        <v>67.819999999999993</v>
      </c>
      <c r="Q87" s="2"/>
      <c r="R87" s="7">
        <f t="shared" si="68"/>
        <v>0</v>
      </c>
      <c r="S87" s="2"/>
      <c r="T87" s="6">
        <v>23.9</v>
      </c>
      <c r="U87" s="2"/>
      <c r="V87" s="7">
        <f t="shared" si="69"/>
        <v>0</v>
      </c>
      <c r="W87" s="2"/>
      <c r="X87" s="6">
        <f t="shared" si="70"/>
        <v>43.919999999999995</v>
      </c>
      <c r="Y87" s="2"/>
      <c r="Z87" s="7">
        <f t="shared" si="71"/>
        <v>1.8376569037656902</v>
      </c>
    </row>
    <row r="88" spans="1:26" s="61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9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8" t="s">
        <v>3</v>
      </c>
      <c r="C91" s="28"/>
      <c r="D91" s="20">
        <f>+D16-D18+D89</f>
        <v>-247477.45</v>
      </c>
      <c r="E91" s="14"/>
      <c r="F91" s="22">
        <f>IF(D$12=0,0,D91/D$12)</f>
        <v>0</v>
      </c>
      <c r="G91" s="14"/>
      <c r="H91" s="20">
        <f>+H16-H18+H89</f>
        <v>-313763.34000000003</v>
      </c>
      <c r="I91" s="14"/>
      <c r="J91" s="22">
        <f>IF(H$12=0,0,H91/H$12)</f>
        <v>0</v>
      </c>
      <c r="K91" s="15"/>
      <c r="L91" s="20">
        <f>+D91-H91</f>
        <v>66285.890000000014</v>
      </c>
      <c r="M91" s="15"/>
      <c r="N91" s="22">
        <f>IF(H91=0,0,L91/H91)</f>
        <v>-0.2112607865533303</v>
      </c>
      <c r="O91" s="29"/>
      <c r="P91" s="20">
        <f>+P16-P18+P89</f>
        <v>-1199028.6599999999</v>
      </c>
      <c r="Q91" s="14"/>
      <c r="R91" s="22">
        <f>IF(P$12=0,0,P91/P$12)</f>
        <v>0</v>
      </c>
      <c r="S91" s="14"/>
      <c r="T91" s="20">
        <f>+T16-T18+T89</f>
        <v>-2266308.3200000003</v>
      </c>
      <c r="U91" s="14"/>
      <c r="V91" s="22">
        <f>IF(T$12=0,0,T91/T$12)</f>
        <v>0</v>
      </c>
      <c r="W91" s="15"/>
      <c r="X91" s="20">
        <f>+P91-T91</f>
        <v>1067279.6600000004</v>
      </c>
      <c r="Y91" s="15"/>
      <c r="Z91" s="22">
        <f>IF(T91=0,0,X91/T91)</f>
        <v>-0.47093312528632481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1"/>
      <c r="B93" s="10" t="s">
        <v>13</v>
      </c>
      <c r="C93" s="10"/>
      <c r="D93" s="4"/>
      <c r="E93" s="4"/>
      <c r="F93" s="12">
        <f>IF(D$12=0,0,D93/D$12)</f>
        <v>0</v>
      </c>
      <c r="G93" s="4"/>
      <c r="H93" s="4"/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/>
      <c r="Q93" s="4"/>
      <c r="R93" s="12">
        <f>IF(P$12=0,0,P93/P$12)</f>
        <v>0</v>
      </c>
      <c r="S93" s="4"/>
      <c r="T93" s="4"/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4</v>
      </c>
      <c r="C95" s="28"/>
      <c r="D95" s="30">
        <f>+D91-D93</f>
        <v>-247477.45</v>
      </c>
      <c r="E95" s="14"/>
      <c r="F95" s="36">
        <f>IF(D$12=0,0,D95/D$12)</f>
        <v>0</v>
      </c>
      <c r="G95" s="14"/>
      <c r="H95" s="30">
        <f>+H91-H93</f>
        <v>-313763.34000000003</v>
      </c>
      <c r="I95" s="14"/>
      <c r="J95" s="36">
        <f>IF(H$12=0,0,H95/H$12)</f>
        <v>0</v>
      </c>
      <c r="K95" s="15"/>
      <c r="L95" s="30">
        <f>D95-H95</f>
        <v>66285.890000000014</v>
      </c>
      <c r="M95" s="15"/>
      <c r="N95" s="36">
        <f>IF(H95=0,0,L95/H95)</f>
        <v>-0.2112607865533303</v>
      </c>
      <c r="O95" s="29"/>
      <c r="P95" s="30">
        <f>+P91-P93</f>
        <v>-1199028.6599999999</v>
      </c>
      <c r="Q95" s="14"/>
      <c r="R95" s="36">
        <f>IF(P$12=0,0,P95/P$12)</f>
        <v>0</v>
      </c>
      <c r="S95" s="14"/>
      <c r="T95" s="30">
        <f>+T91-T93</f>
        <v>-2266308.3200000003</v>
      </c>
      <c r="U95" s="14"/>
      <c r="V95" s="36">
        <f>IF(T$12=0,0,T95/T$12)</f>
        <v>0</v>
      </c>
      <c r="W95" s="15"/>
      <c r="X95" s="30">
        <f>P95-T95</f>
        <v>1067279.6600000004</v>
      </c>
      <c r="Y95" s="15"/>
      <c r="Z95" s="36">
        <f>IF(T95=0,0,X95/T95)</f>
        <v>-0.47093312528632481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5</v>
      </c>
      <c r="C98" s="28"/>
      <c r="D98" s="32">
        <f>SUM(D95:D97)</f>
        <v>-247477.45</v>
      </c>
      <c r="E98" s="14"/>
      <c r="F98" s="31">
        <f>IF(D$12=0,0,D98/D$12)</f>
        <v>0</v>
      </c>
      <c r="G98" s="14"/>
      <c r="H98" s="32">
        <f>SUM(H95:H97)</f>
        <v>-313763.34000000003</v>
      </c>
      <c r="I98" s="14"/>
      <c r="J98" s="31">
        <f>IF(H$12=0,0,H98/H$12)</f>
        <v>0</v>
      </c>
      <c r="K98" s="15"/>
      <c r="L98" s="32">
        <f>+D98-H98</f>
        <v>66285.890000000014</v>
      </c>
      <c r="M98" s="15"/>
      <c r="N98" s="31">
        <f>IF(H98=0,0,L98/H98)</f>
        <v>-0.2112607865533303</v>
      </c>
      <c r="O98" s="29"/>
      <c r="P98" s="32">
        <f>SUM(P95:P97)</f>
        <v>-1199028.6599999999</v>
      </c>
      <c r="Q98" s="14"/>
      <c r="R98" s="31">
        <f>IF(P$12=0,0,P98/P$12)</f>
        <v>0</v>
      </c>
      <c r="S98" s="14"/>
      <c r="T98" s="32">
        <f>SUM(T95:T97)</f>
        <v>-2266308.3200000003</v>
      </c>
      <c r="U98" s="14"/>
      <c r="V98" s="31">
        <f>IF(T$12=0,0,T98/T$12)</f>
        <v>0</v>
      </c>
      <c r="W98" s="15"/>
      <c r="X98" s="32">
        <f>+P98-T98</f>
        <v>1067279.6600000004</v>
      </c>
      <c r="Y98" s="15"/>
      <c r="Z98" s="31">
        <f>IF(T98=0,0,X98/T98)</f>
        <v>-0.47093312528632481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62">
        <v>44238.4957659375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9" t="s">
        <v>313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6"/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","200", " - ", "Corporate Expense")</f>
        <v>Department 200 - Corporate Expense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43572.520000000004</v>
      </c>
      <c r="E18" s="21"/>
      <c r="F18" s="35">
        <f t="shared" ref="F18:F29" si="0">IF(D$12=0,0,D18/D$12)</f>
        <v>0</v>
      </c>
      <c r="G18" s="21"/>
      <c r="H18" s="21">
        <f>SUM(OSRRefH22x_0)</f>
        <v>58340.25</v>
      </c>
      <c r="I18" s="21"/>
      <c r="J18" s="35">
        <f t="shared" ref="J18:J29" si="1">IF(H$12=0,0,H18/H$12)</f>
        <v>0</v>
      </c>
      <c r="K18" s="4"/>
      <c r="L18" s="21">
        <f t="shared" ref="L18:L29" si="2">+D18-H18</f>
        <v>-14767.729999999996</v>
      </c>
      <c r="M18" s="4"/>
      <c r="N18" s="35">
        <f t="shared" ref="N18:N29" si="3">IF(H18=0,0,L18/H18)</f>
        <v>-0.25313107160151005</v>
      </c>
      <c r="O18" s="10"/>
      <c r="P18" s="21">
        <f>SUM(OSRRefP22x_0)</f>
        <v>-139627.69</v>
      </c>
      <c r="Q18" s="21"/>
      <c r="R18" s="35">
        <f t="shared" ref="R18:R29" si="4">IF(P$12=0,0,P18/P$12)</f>
        <v>0</v>
      </c>
      <c r="S18" s="21"/>
      <c r="T18" s="21">
        <f>SUM(OSRRefT22x_0)</f>
        <v>410951.52</v>
      </c>
      <c r="U18" s="21"/>
      <c r="V18" s="35">
        <f t="shared" ref="V18:V29" si="5">IF(T$12=0,0,T18/T$12)</f>
        <v>0</v>
      </c>
      <c r="W18" s="4"/>
      <c r="X18" s="21">
        <f t="shared" ref="X18:X29" si="6">+P18-T18</f>
        <v>-550579.21</v>
      </c>
      <c r="Y18" s="4"/>
      <c r="Z18" s="35">
        <f t="shared" ref="Z18:Z29" si="7">IF(T18=0,0,X18/T18)</f>
        <v>-1.3397668172635058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28145.68</v>
      </c>
      <c r="E19" s="1"/>
      <c r="F19" s="5">
        <f t="shared" si="0"/>
        <v>0</v>
      </c>
      <c r="G19" s="1"/>
      <c r="H19" s="1">
        <f>SUM(OSRRefH22_0x_0)</f>
        <v>30653.37</v>
      </c>
      <c r="I19" s="1"/>
      <c r="J19" s="5">
        <f t="shared" si="1"/>
        <v>0</v>
      </c>
      <c r="K19" s="1"/>
      <c r="L19" s="1">
        <f t="shared" si="2"/>
        <v>-2507.6899999999987</v>
      </c>
      <c r="M19" s="1"/>
      <c r="N19" s="5">
        <f t="shared" si="3"/>
        <v>-8.1807970869108321E-2</v>
      </c>
      <c r="O19" s="13"/>
      <c r="P19" s="1">
        <f>SUM(OSRRefP22_0x_0)</f>
        <v>-189192.6</v>
      </c>
      <c r="Q19" s="1"/>
      <c r="R19" s="5">
        <f t="shared" si="4"/>
        <v>0</v>
      </c>
      <c r="S19" s="1"/>
      <c r="T19" s="1">
        <f>SUM(OSRRefT22_0x_0)</f>
        <v>206278.25</v>
      </c>
      <c r="U19" s="1"/>
      <c r="V19" s="5">
        <f t="shared" si="5"/>
        <v>0</v>
      </c>
      <c r="W19" s="1"/>
      <c r="X19" s="1">
        <f t="shared" si="6"/>
        <v>-395470.85</v>
      </c>
      <c r="Y19" s="1"/>
      <c r="Z19" s="5">
        <f t="shared" si="7"/>
        <v>-1.9171718297978579</v>
      </c>
    </row>
    <row r="20" spans="1:26" s="24" customFormat="1" hidden="1" outlineLevel="2" x14ac:dyDescent="0.25">
      <c r="A20" s="25"/>
      <c r="B20" s="11" t="str">
        <f>CONCATENATE("          ", "6120", " - ", "RETIREES HEALTH INSURANCE")</f>
        <v xml:space="preserve">          6120 - RETIREES HEALTH INSURANCE</v>
      </c>
      <c r="C20" s="11"/>
      <c r="D20" s="6">
        <v>28145.68</v>
      </c>
      <c r="E20" s="2"/>
      <c r="F20" s="7">
        <f t="shared" si="0"/>
        <v>0</v>
      </c>
      <c r="G20" s="2"/>
      <c r="H20" s="6">
        <v>30653.37</v>
      </c>
      <c r="I20" s="2"/>
      <c r="J20" s="7">
        <f t="shared" si="1"/>
        <v>0</v>
      </c>
      <c r="K20" s="2"/>
      <c r="L20" s="6">
        <f t="shared" si="2"/>
        <v>-2507.6899999999987</v>
      </c>
      <c r="M20" s="2"/>
      <c r="N20" s="7">
        <f t="shared" si="3"/>
        <v>-8.1807970869108321E-2</v>
      </c>
      <c r="O20" s="11"/>
      <c r="P20" s="6">
        <v>-189192.6</v>
      </c>
      <c r="Q20" s="2"/>
      <c r="R20" s="7">
        <f t="shared" si="4"/>
        <v>0</v>
      </c>
      <c r="S20" s="2"/>
      <c r="T20" s="6">
        <v>206278.25</v>
      </c>
      <c r="U20" s="2"/>
      <c r="V20" s="7">
        <f t="shared" si="5"/>
        <v>0</v>
      </c>
      <c r="W20" s="2"/>
      <c r="X20" s="6">
        <f t="shared" si="6"/>
        <v>-395470.85</v>
      </c>
      <c r="Y20" s="2"/>
      <c r="Z20" s="7">
        <f t="shared" si="7"/>
        <v>-1.9171718297978579</v>
      </c>
    </row>
    <row r="21" spans="1:26" s="26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2078.09</v>
      </c>
      <c r="E21" s="1"/>
      <c r="F21" s="5">
        <f t="shared" si="0"/>
        <v>0</v>
      </c>
      <c r="G21" s="1"/>
      <c r="H21" s="1">
        <f>SUM(OSRRefH22_1x_0)</f>
        <v>13917.12</v>
      </c>
      <c r="I21" s="1"/>
      <c r="J21" s="5">
        <f t="shared" si="1"/>
        <v>0</v>
      </c>
      <c r="K21" s="1"/>
      <c r="L21" s="1">
        <f t="shared" si="2"/>
        <v>-11839.03</v>
      </c>
      <c r="M21" s="1"/>
      <c r="N21" s="5">
        <f t="shared" si="3"/>
        <v>-0.85068103170770959</v>
      </c>
      <c r="O21" s="13"/>
      <c r="P21" s="1">
        <f>SUM(OSRRefP22_1x_0)</f>
        <v>4982.67</v>
      </c>
      <c r="Q21" s="1"/>
      <c r="R21" s="5">
        <f t="shared" si="4"/>
        <v>0</v>
      </c>
      <c r="S21" s="1"/>
      <c r="T21" s="1">
        <f>SUM(OSRRefT22_1x_0)</f>
        <v>38344.32</v>
      </c>
      <c r="U21" s="1"/>
      <c r="V21" s="5">
        <f t="shared" si="5"/>
        <v>0</v>
      </c>
      <c r="W21" s="1"/>
      <c r="X21" s="1">
        <f t="shared" si="6"/>
        <v>-33361.65</v>
      </c>
      <c r="Y21" s="1"/>
      <c r="Z21" s="5">
        <f t="shared" si="7"/>
        <v>-0.87005454784437442</v>
      </c>
    </row>
    <row r="22" spans="1:26" s="24" customFormat="1" hidden="1" outlineLevel="2" x14ac:dyDescent="0.25">
      <c r="A22" s="25"/>
      <c r="B22" s="11" t="str">
        <f>CONCATENATE("          ", "6381", " - ", "BANK/CREDIT CARD FEES")</f>
        <v xml:space="preserve">          6381 - BANK/CREDIT CARD FEES</v>
      </c>
      <c r="C22" s="11"/>
      <c r="D22" s="6">
        <v>2078.09</v>
      </c>
      <c r="E22" s="2"/>
      <c r="F22" s="7">
        <f t="shared" si="0"/>
        <v>0</v>
      </c>
      <c r="G22" s="2"/>
      <c r="H22" s="6">
        <v>13917.12</v>
      </c>
      <c r="I22" s="2"/>
      <c r="J22" s="7">
        <f t="shared" si="1"/>
        <v>0</v>
      </c>
      <c r="K22" s="2"/>
      <c r="L22" s="6">
        <f t="shared" si="2"/>
        <v>-11839.03</v>
      </c>
      <c r="M22" s="2"/>
      <c r="N22" s="7">
        <f t="shared" si="3"/>
        <v>-0.85068103170770959</v>
      </c>
      <c r="O22" s="11"/>
      <c r="P22" s="6">
        <v>4982.67</v>
      </c>
      <c r="Q22" s="2"/>
      <c r="R22" s="7">
        <f t="shared" si="4"/>
        <v>0</v>
      </c>
      <c r="S22" s="2"/>
      <c r="T22" s="6">
        <v>38344.32</v>
      </c>
      <c r="U22" s="2"/>
      <c r="V22" s="7">
        <f t="shared" si="5"/>
        <v>0</v>
      </c>
      <c r="W22" s="2"/>
      <c r="X22" s="6">
        <f t="shared" si="6"/>
        <v>-33361.65</v>
      </c>
      <c r="Y22" s="2"/>
      <c r="Z22" s="7">
        <f t="shared" si="7"/>
        <v>-0.87005454784437442</v>
      </c>
    </row>
    <row r="23" spans="1:26" s="26" customFormat="1" outlineLevel="1" collapsed="1" x14ac:dyDescent="0.25">
      <c r="A23" s="27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1763</v>
      </c>
      <c r="E23" s="1"/>
      <c r="F23" s="5">
        <f t="shared" si="0"/>
        <v>0</v>
      </c>
      <c r="G23" s="1"/>
      <c r="H23" s="1">
        <f>SUM(OSRRefH22_2x_0)</f>
        <v>2282.7600000000002</v>
      </c>
      <c r="I23" s="1"/>
      <c r="J23" s="5">
        <f t="shared" si="1"/>
        <v>0</v>
      </c>
      <c r="K23" s="1"/>
      <c r="L23" s="1">
        <f t="shared" si="2"/>
        <v>-519.76000000000022</v>
      </c>
      <c r="M23" s="1"/>
      <c r="N23" s="5">
        <f t="shared" si="3"/>
        <v>-0.22768928840526387</v>
      </c>
      <c r="O23" s="13"/>
      <c r="P23" s="1">
        <f>SUM(OSRRefP22_2x_0)</f>
        <v>9599.99</v>
      </c>
      <c r="Q23" s="1"/>
      <c r="R23" s="5">
        <f t="shared" si="4"/>
        <v>0</v>
      </c>
      <c r="S23" s="1"/>
      <c r="T23" s="1">
        <f>SUM(OSRRefT22_2x_0)</f>
        <v>19080.710000000003</v>
      </c>
      <c r="U23" s="1"/>
      <c r="V23" s="5">
        <f t="shared" si="5"/>
        <v>0</v>
      </c>
      <c r="W23" s="1"/>
      <c r="X23" s="1">
        <f t="shared" si="6"/>
        <v>-9480.720000000003</v>
      </c>
      <c r="Y23" s="1"/>
      <c r="Z23" s="5">
        <f t="shared" si="7"/>
        <v>-0.49687459219284824</v>
      </c>
    </row>
    <row r="24" spans="1:26" s="24" customFormat="1" hidden="1" outlineLevel="2" x14ac:dyDescent="0.25">
      <c r="A24" s="25"/>
      <c r="B24" s="11" t="str">
        <f>CONCATENATE("          ", "6397", " - ", "BOARD EXPENSES")</f>
        <v xml:space="preserve">          6397 - BOARD EXPENSES</v>
      </c>
      <c r="C24" s="11"/>
      <c r="D24" s="6">
        <v>1763</v>
      </c>
      <c r="E24" s="2"/>
      <c r="F24" s="7">
        <f t="shared" si="0"/>
        <v>0</v>
      </c>
      <c r="G24" s="2"/>
      <c r="H24" s="6">
        <v>2282.7600000000002</v>
      </c>
      <c r="I24" s="2"/>
      <c r="J24" s="7">
        <f t="shared" si="1"/>
        <v>0</v>
      </c>
      <c r="K24" s="2"/>
      <c r="L24" s="6">
        <f t="shared" si="2"/>
        <v>-519.76000000000022</v>
      </c>
      <c r="M24" s="2"/>
      <c r="N24" s="7">
        <f t="shared" si="3"/>
        <v>-0.22768928840526387</v>
      </c>
      <c r="O24" s="11"/>
      <c r="P24" s="6">
        <v>9599.99</v>
      </c>
      <c r="Q24" s="2"/>
      <c r="R24" s="7">
        <f t="shared" si="4"/>
        <v>0</v>
      </c>
      <c r="S24" s="2"/>
      <c r="T24" s="6">
        <v>19080.710000000003</v>
      </c>
      <c r="U24" s="2"/>
      <c r="V24" s="7">
        <f t="shared" si="5"/>
        <v>0</v>
      </c>
      <c r="W24" s="2"/>
      <c r="X24" s="6">
        <f t="shared" si="6"/>
        <v>-9480.720000000003</v>
      </c>
      <c r="Y24" s="2"/>
      <c r="Z24" s="7">
        <f t="shared" si="7"/>
        <v>-0.49687459219284824</v>
      </c>
    </row>
    <row r="25" spans="1:26" s="26" customFormat="1" outlineLevel="1" collapsed="1" x14ac:dyDescent="0.25">
      <c r="A25" s="27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97500</v>
      </c>
      <c r="U25" s="1"/>
      <c r="V25" s="5">
        <f t="shared" si="5"/>
        <v>0</v>
      </c>
      <c r="W25" s="1"/>
      <c r="X25" s="1">
        <f t="shared" si="6"/>
        <v>-97500</v>
      </c>
      <c r="Y25" s="1"/>
      <c r="Z25" s="5">
        <f t="shared" si="7"/>
        <v>-1</v>
      </c>
    </row>
    <row r="26" spans="1:26" s="24" customFormat="1" hidden="1" outlineLevel="2" x14ac:dyDescent="0.25">
      <c r="A26" s="25"/>
      <c r="B26" s="11" t="str">
        <f>CONCATENATE("          ", "6399", " - ", "DONATION-ON CAMPUS")</f>
        <v xml:space="preserve">          6399 - DONATION-ON CAMPUS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/>
      <c r="Q26" s="2"/>
      <c r="R26" s="7">
        <f t="shared" si="4"/>
        <v>0</v>
      </c>
      <c r="S26" s="2"/>
      <c r="T26" s="6">
        <v>97500</v>
      </c>
      <c r="U26" s="2"/>
      <c r="V26" s="7">
        <f t="shared" si="5"/>
        <v>0</v>
      </c>
      <c r="W26" s="2"/>
      <c r="X26" s="6">
        <f t="shared" si="6"/>
        <v>-97500</v>
      </c>
      <c r="Y26" s="2"/>
      <c r="Z26" s="7">
        <f t="shared" si="7"/>
        <v>-1</v>
      </c>
    </row>
    <row r="27" spans="1:26" s="26" customFormat="1" outlineLevel="1" collapsed="1" x14ac:dyDescent="0.25">
      <c r="A27" s="27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11585.75</v>
      </c>
      <c r="E27" s="1"/>
      <c r="F27" s="5">
        <f t="shared" si="0"/>
        <v>0</v>
      </c>
      <c r="G27" s="1"/>
      <c r="H27" s="1">
        <f>SUM(OSRRefH22_4x_0)</f>
        <v>11487</v>
      </c>
      <c r="I27" s="1"/>
      <c r="J27" s="5">
        <f t="shared" si="1"/>
        <v>0</v>
      </c>
      <c r="K27" s="1"/>
      <c r="L27" s="1">
        <f t="shared" si="2"/>
        <v>98.75</v>
      </c>
      <c r="M27" s="1"/>
      <c r="N27" s="5">
        <f t="shared" si="3"/>
        <v>8.5966745016105156E-3</v>
      </c>
      <c r="O27" s="13"/>
      <c r="P27" s="1">
        <f>SUM(OSRRefP22_4x_0)</f>
        <v>34982.25</v>
      </c>
      <c r="Q27" s="1"/>
      <c r="R27" s="5">
        <f t="shared" si="4"/>
        <v>0</v>
      </c>
      <c r="S27" s="1"/>
      <c r="T27" s="1">
        <f>SUM(OSRRefT22_4x_0)</f>
        <v>49748.24</v>
      </c>
      <c r="U27" s="1"/>
      <c r="V27" s="5">
        <f t="shared" si="5"/>
        <v>0</v>
      </c>
      <c r="W27" s="1"/>
      <c r="X27" s="1">
        <f t="shared" si="6"/>
        <v>-14765.989999999998</v>
      </c>
      <c r="Y27" s="1"/>
      <c r="Z27" s="5">
        <f t="shared" si="7"/>
        <v>-0.29681431946135178</v>
      </c>
    </row>
    <row r="28" spans="1:26" s="24" customFormat="1" hidden="1" outlineLevel="2" x14ac:dyDescent="0.25">
      <c r="A28" s="25"/>
      <c r="B28" s="11" t="str">
        <f>CONCATENATE("          ", "6331", " - ", "INDIRECT COSTS-AUXILIARY ORGAN")</f>
        <v xml:space="preserve">          6331 - INDIRECT COSTS-AUXILIARY ORGAN</v>
      </c>
      <c r="C28" s="11"/>
      <c r="D28" s="6">
        <v>11585.75</v>
      </c>
      <c r="E28" s="2"/>
      <c r="F28" s="7">
        <f t="shared" si="0"/>
        <v>0</v>
      </c>
      <c r="G28" s="2"/>
      <c r="H28" s="6">
        <v>11487</v>
      </c>
      <c r="I28" s="2"/>
      <c r="J28" s="7">
        <f t="shared" si="1"/>
        <v>0</v>
      </c>
      <c r="K28" s="2"/>
      <c r="L28" s="6">
        <f t="shared" si="2"/>
        <v>98.75</v>
      </c>
      <c r="M28" s="2"/>
      <c r="N28" s="7">
        <f t="shared" si="3"/>
        <v>8.5966745016105156E-3</v>
      </c>
      <c r="O28" s="11"/>
      <c r="P28" s="6">
        <v>34982.25</v>
      </c>
      <c r="Q28" s="2"/>
      <c r="R28" s="7">
        <f t="shared" si="4"/>
        <v>0</v>
      </c>
      <c r="S28" s="2"/>
      <c r="T28" s="6">
        <v>34686</v>
      </c>
      <c r="U28" s="2"/>
      <c r="V28" s="7">
        <f t="shared" si="5"/>
        <v>0</v>
      </c>
      <c r="W28" s="2"/>
      <c r="X28" s="6">
        <f t="shared" si="6"/>
        <v>296.25</v>
      </c>
      <c r="Y28" s="2"/>
      <c r="Z28" s="7">
        <f t="shared" si="7"/>
        <v>8.5409098771838787E-3</v>
      </c>
    </row>
    <row r="29" spans="1:26" s="24" customFormat="1" hidden="1" outlineLevel="2" x14ac:dyDescent="0.25">
      <c r="A29" s="25"/>
      <c r="B29" s="11" t="str">
        <f>CONCATENATE("          ", "6332", " - ", "CONSULTANT FEES")</f>
        <v xml:space="preserve">          6332 - CONSULTANT FEES</v>
      </c>
      <c r="C29" s="11"/>
      <c r="D29" s="6"/>
      <c r="E29" s="2"/>
      <c r="F29" s="7">
        <f t="shared" si="0"/>
        <v>0</v>
      </c>
      <c r="G29" s="2"/>
      <c r="H29" s="6"/>
      <c r="I29" s="2"/>
      <c r="J29" s="7">
        <f t="shared" si="1"/>
        <v>0</v>
      </c>
      <c r="K29" s="2"/>
      <c r="L29" s="6">
        <f t="shared" si="2"/>
        <v>0</v>
      </c>
      <c r="M29" s="2"/>
      <c r="N29" s="7">
        <f t="shared" si="3"/>
        <v>0</v>
      </c>
      <c r="O29" s="11"/>
      <c r="P29" s="6"/>
      <c r="Q29" s="2"/>
      <c r="R29" s="7">
        <f t="shared" si="4"/>
        <v>0</v>
      </c>
      <c r="S29" s="2"/>
      <c r="T29" s="6">
        <v>15062.24</v>
      </c>
      <c r="U29" s="2"/>
      <c r="V29" s="7">
        <f t="shared" si="5"/>
        <v>0</v>
      </c>
      <c r="W29" s="2"/>
      <c r="X29" s="6">
        <f t="shared" si="6"/>
        <v>-15062.24</v>
      </c>
      <c r="Y29" s="2"/>
      <c r="Z29" s="7">
        <f t="shared" si="7"/>
        <v>-1</v>
      </c>
    </row>
    <row r="30" spans="1:26" s="61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8" t="s">
        <v>3</v>
      </c>
      <c r="C33" s="28"/>
      <c r="D33" s="20">
        <f>+D16-D18+D31</f>
        <v>-43572.520000000004</v>
      </c>
      <c r="E33" s="14"/>
      <c r="F33" s="22">
        <f>IF(D$12=0,0,D33/D$12)</f>
        <v>0</v>
      </c>
      <c r="G33" s="14"/>
      <c r="H33" s="20">
        <f>+H16-H18+H31</f>
        <v>-58340.25</v>
      </c>
      <c r="I33" s="14"/>
      <c r="J33" s="22">
        <f>IF(H$12=0,0,H33/H$12)</f>
        <v>0</v>
      </c>
      <c r="K33" s="15"/>
      <c r="L33" s="20">
        <f>+D33-H33</f>
        <v>14767.729999999996</v>
      </c>
      <c r="M33" s="15"/>
      <c r="N33" s="22">
        <f>IF(H33=0,0,L33/H33)</f>
        <v>-0.25313107160151005</v>
      </c>
      <c r="O33" s="29"/>
      <c r="P33" s="20">
        <f>+P16-P18+P31</f>
        <v>139627.69</v>
      </c>
      <c r="Q33" s="14"/>
      <c r="R33" s="22">
        <f>IF(P$12=0,0,P33/P$12)</f>
        <v>0</v>
      </c>
      <c r="S33" s="14"/>
      <c r="T33" s="20">
        <f>+T16-T18+T31</f>
        <v>-410951.52</v>
      </c>
      <c r="U33" s="14"/>
      <c r="V33" s="22">
        <f>IF(T$12=0,0,T33/T$12)</f>
        <v>0</v>
      </c>
      <c r="W33" s="15"/>
      <c r="X33" s="20">
        <f>+P33-T33</f>
        <v>550579.21</v>
      </c>
      <c r="Y33" s="15"/>
      <c r="Z33" s="22">
        <f>IF(T33=0,0,X33/T33)</f>
        <v>-1.3397668172635058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1"/>
      <c r="B35" s="10" t="s">
        <v>13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4</v>
      </c>
      <c r="C37" s="28"/>
      <c r="D37" s="30">
        <f>+D33-D35</f>
        <v>-43572.520000000004</v>
      </c>
      <c r="E37" s="14"/>
      <c r="F37" s="36">
        <f>IF(D$12=0,0,D37/D$12)</f>
        <v>0</v>
      </c>
      <c r="G37" s="14"/>
      <c r="H37" s="30">
        <f>+H33-H35</f>
        <v>-58340.25</v>
      </c>
      <c r="I37" s="14"/>
      <c r="J37" s="36">
        <f>IF(H$12=0,0,H37/H$12)</f>
        <v>0</v>
      </c>
      <c r="K37" s="15"/>
      <c r="L37" s="30">
        <f>D37-H37</f>
        <v>14767.729999999996</v>
      </c>
      <c r="M37" s="15"/>
      <c r="N37" s="36">
        <f>IF(H37=0,0,L37/H37)</f>
        <v>-0.25313107160151005</v>
      </c>
      <c r="O37" s="29"/>
      <c r="P37" s="30">
        <f>+P33-P35</f>
        <v>139627.69</v>
      </c>
      <c r="Q37" s="14"/>
      <c r="R37" s="36">
        <f>IF(P$12=0,0,P37/P$12)</f>
        <v>0</v>
      </c>
      <c r="S37" s="14"/>
      <c r="T37" s="30">
        <f>+T33-T35</f>
        <v>-410951.52</v>
      </c>
      <c r="U37" s="14"/>
      <c r="V37" s="36">
        <f>IF(T$12=0,0,T37/T$12)</f>
        <v>0</v>
      </c>
      <c r="W37" s="15"/>
      <c r="X37" s="30">
        <f>P37-T37</f>
        <v>550579.21</v>
      </c>
      <c r="Y37" s="15"/>
      <c r="Z37" s="36">
        <f>IF(T37=0,0,X37/T37)</f>
        <v>-1.3397668172635058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8" t="s">
        <v>5</v>
      </c>
      <c r="C40" s="28"/>
      <c r="D40" s="32">
        <f>SUM(D37:D39)</f>
        <v>-43572.520000000004</v>
      </c>
      <c r="E40" s="14"/>
      <c r="F40" s="31">
        <f>IF(D$12=0,0,D40/D$12)</f>
        <v>0</v>
      </c>
      <c r="G40" s="14"/>
      <c r="H40" s="32">
        <f>SUM(H37:H39)</f>
        <v>-58340.25</v>
      </c>
      <c r="I40" s="14"/>
      <c r="J40" s="31">
        <f>IF(H$12=0,0,H40/H$12)</f>
        <v>0</v>
      </c>
      <c r="K40" s="15"/>
      <c r="L40" s="32">
        <f>+D40-H40</f>
        <v>14767.729999999996</v>
      </c>
      <c r="M40" s="15"/>
      <c r="N40" s="31">
        <f>IF(H40=0,0,L40/H40)</f>
        <v>-0.25313107160151005</v>
      </c>
      <c r="O40" s="29"/>
      <c r="P40" s="32">
        <f>SUM(P37:P39)</f>
        <v>139627.69</v>
      </c>
      <c r="Q40" s="14"/>
      <c r="R40" s="31">
        <f>IF(P$12=0,0,P40/P$12)</f>
        <v>0</v>
      </c>
      <c r="S40" s="14"/>
      <c r="T40" s="32">
        <f>SUM(T37:T39)</f>
        <v>-410951.52</v>
      </c>
      <c r="U40" s="14"/>
      <c r="V40" s="31">
        <f>IF(T$12=0,0,T40/T$12)</f>
        <v>0</v>
      </c>
      <c r="W40" s="15"/>
      <c r="X40" s="32">
        <f>+P40-T40</f>
        <v>550579.21</v>
      </c>
      <c r="Y40" s="15"/>
      <c r="Z40" s="31">
        <f>IF(T40=0,0,X40/T40)</f>
        <v>-1.3397668172635058</v>
      </c>
    </row>
    <row r="41" spans="1:26" ht="15.75" thickTop="1" x14ac:dyDescent="0.25">
      <c r="A41" s="9"/>
      <c r="C41" s="9"/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62">
        <v>44238.496023576387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59" t="s">
        <v>313</v>
      </c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A44" s="9"/>
      <c r="B44" s="56"/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  <row r="45" spans="1:26" x14ac:dyDescent="0.25">
      <c r="D45" s="18"/>
      <c r="E45" s="18"/>
      <c r="G45" s="18"/>
      <c r="H45" s="18"/>
      <c r="I45" s="18"/>
      <c r="J45" s="42"/>
      <c r="K45" s="18"/>
      <c r="L45" s="18"/>
      <c r="M45" s="18"/>
      <c r="P45" s="18"/>
      <c r="Q45" s="18"/>
      <c r="R45" s="42"/>
      <c r="S45" s="18"/>
      <c r="T45" s="18"/>
      <c r="U45" s="18"/>
      <c r="V45" s="42"/>
      <c r="W45" s="18"/>
      <c r="X45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","201", " - ", "General Manager")</f>
        <v>Department 201 - General Manager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36488.950000000004</v>
      </c>
      <c r="E18" s="21"/>
      <c r="F18" s="35">
        <f t="shared" ref="F18:F27" si="0">IF(D$12=0,0,D18/D$12)</f>
        <v>0</v>
      </c>
      <c r="G18" s="21"/>
      <c r="H18" s="21">
        <f>SUM(OSRRefH22x_0)</f>
        <v>39380.729999999996</v>
      </c>
      <c r="I18" s="21"/>
      <c r="J18" s="35">
        <f t="shared" ref="J18:J27" si="1">IF(H$12=0,0,H18/H$12)</f>
        <v>0</v>
      </c>
      <c r="K18" s="4"/>
      <c r="L18" s="21">
        <f t="shared" ref="L18:L27" si="2">+D18-H18</f>
        <v>-2891.7799999999916</v>
      </c>
      <c r="M18" s="4"/>
      <c r="N18" s="35">
        <f t="shared" ref="N18:N27" si="3">IF(H18=0,0,L18/H18)</f>
        <v>-7.3431345736861456E-2</v>
      </c>
      <c r="O18" s="10"/>
      <c r="P18" s="21">
        <f>SUM(OSRRefP22x_0)</f>
        <v>268227.72000000003</v>
      </c>
      <c r="Q18" s="21"/>
      <c r="R18" s="35">
        <f t="shared" ref="R18:R27" si="4">IF(P$12=0,0,P18/P$12)</f>
        <v>0</v>
      </c>
      <c r="S18" s="21"/>
      <c r="T18" s="21">
        <f>SUM(OSRRefT22x_0)</f>
        <v>476355.03</v>
      </c>
      <c r="U18" s="21"/>
      <c r="V18" s="35">
        <f t="shared" ref="V18:V27" si="5">IF(T$12=0,0,T18/T$12)</f>
        <v>0</v>
      </c>
      <c r="W18" s="4"/>
      <c r="X18" s="21">
        <f t="shared" ref="X18:X27" si="6">+P18-T18</f>
        <v>-208127.31</v>
      </c>
      <c r="Y18" s="4"/>
      <c r="Z18" s="35">
        <f t="shared" ref="Z18:Z27" si="7">IF(T18=0,0,X18/T18)</f>
        <v>-0.43691636886882457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10738.44</v>
      </c>
      <c r="E19" s="1"/>
      <c r="F19" s="5">
        <f t="shared" si="0"/>
        <v>0</v>
      </c>
      <c r="G19" s="1"/>
      <c r="H19" s="1">
        <f>SUM(OSRRefH22_0x_0)</f>
        <v>11177.749999999998</v>
      </c>
      <c r="I19" s="1"/>
      <c r="J19" s="5">
        <f t="shared" si="1"/>
        <v>0</v>
      </c>
      <c r="K19" s="1"/>
      <c r="L19" s="1">
        <f t="shared" si="2"/>
        <v>-439.30999999999767</v>
      </c>
      <c r="M19" s="1"/>
      <c r="N19" s="5">
        <f t="shared" si="3"/>
        <v>-3.9302185144595089E-2</v>
      </c>
      <c r="O19" s="13"/>
      <c r="P19" s="1">
        <f>SUM(OSRRefP22_0x_0)</f>
        <v>76202.000000000015</v>
      </c>
      <c r="Q19" s="1"/>
      <c r="R19" s="5">
        <f t="shared" si="4"/>
        <v>0</v>
      </c>
      <c r="S19" s="1"/>
      <c r="T19" s="1">
        <f>SUM(OSRRefT22_0x_0)</f>
        <v>109286.36000000002</v>
      </c>
      <c r="U19" s="1"/>
      <c r="V19" s="5">
        <f t="shared" si="5"/>
        <v>0</v>
      </c>
      <c r="W19" s="1"/>
      <c r="X19" s="1">
        <f t="shared" si="6"/>
        <v>-33084.36</v>
      </c>
      <c r="Y19" s="1"/>
      <c r="Z19" s="5">
        <f t="shared" si="7"/>
        <v>-0.30273091719771794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1363.33</v>
      </c>
      <c r="E20" s="2"/>
      <c r="F20" s="7">
        <f t="shared" si="0"/>
        <v>0</v>
      </c>
      <c r="G20" s="2"/>
      <c r="H20" s="6">
        <v>1444.53</v>
      </c>
      <c r="I20" s="2"/>
      <c r="J20" s="7">
        <f t="shared" si="1"/>
        <v>0</v>
      </c>
      <c r="K20" s="2"/>
      <c r="L20" s="6">
        <f t="shared" si="2"/>
        <v>-81.200000000000045</v>
      </c>
      <c r="M20" s="2"/>
      <c r="N20" s="7">
        <f t="shared" si="3"/>
        <v>-5.6212055132119132E-2</v>
      </c>
      <c r="O20" s="11"/>
      <c r="P20" s="6">
        <v>8288.11</v>
      </c>
      <c r="Q20" s="2"/>
      <c r="R20" s="7">
        <f t="shared" si="4"/>
        <v>0</v>
      </c>
      <c r="S20" s="2"/>
      <c r="T20" s="6">
        <v>14360.14</v>
      </c>
      <c r="U20" s="2"/>
      <c r="V20" s="7">
        <f t="shared" si="5"/>
        <v>0</v>
      </c>
      <c r="W20" s="2"/>
      <c r="X20" s="6">
        <f t="shared" si="6"/>
        <v>-6072.0299999999988</v>
      </c>
      <c r="Y20" s="2"/>
      <c r="Z20" s="7">
        <f t="shared" si="7"/>
        <v>-0.42283919237556172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-68.12</v>
      </c>
      <c r="E21" s="2"/>
      <c r="F21" s="7">
        <f t="shared" si="0"/>
        <v>0</v>
      </c>
      <c r="G21" s="2"/>
      <c r="H21" s="6">
        <v>70.28</v>
      </c>
      <c r="I21" s="2"/>
      <c r="J21" s="7">
        <f t="shared" si="1"/>
        <v>0</v>
      </c>
      <c r="K21" s="2"/>
      <c r="L21" s="6">
        <f t="shared" si="2"/>
        <v>-138.4</v>
      </c>
      <c r="M21" s="2"/>
      <c r="N21" s="7">
        <f t="shared" si="3"/>
        <v>-1.9692657939669893</v>
      </c>
      <c r="O21" s="11"/>
      <c r="P21" s="6">
        <v>568.59</v>
      </c>
      <c r="Q21" s="2"/>
      <c r="R21" s="7">
        <f t="shared" si="4"/>
        <v>0</v>
      </c>
      <c r="S21" s="2"/>
      <c r="T21" s="6">
        <v>915.85</v>
      </c>
      <c r="U21" s="2"/>
      <c r="V21" s="7">
        <f t="shared" si="5"/>
        <v>0</v>
      </c>
      <c r="W21" s="2"/>
      <c r="X21" s="6">
        <f t="shared" si="6"/>
        <v>-347.26</v>
      </c>
      <c r="Y21" s="2"/>
      <c r="Z21" s="7">
        <f t="shared" si="7"/>
        <v>-0.37916689414205379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3917.15</v>
      </c>
      <c r="E22" s="2"/>
      <c r="F22" s="7">
        <f t="shared" si="0"/>
        <v>0</v>
      </c>
      <c r="G22" s="2"/>
      <c r="H22" s="6">
        <v>3965.44</v>
      </c>
      <c r="I22" s="2"/>
      <c r="J22" s="7">
        <f t="shared" si="1"/>
        <v>0</v>
      </c>
      <c r="K22" s="2"/>
      <c r="L22" s="6">
        <f t="shared" si="2"/>
        <v>-48.289999999999964</v>
      </c>
      <c r="M22" s="2"/>
      <c r="N22" s="7">
        <f t="shared" si="3"/>
        <v>-1.2177715461588112E-2</v>
      </c>
      <c r="O22" s="11"/>
      <c r="P22" s="6">
        <v>28131.070000000003</v>
      </c>
      <c r="Q22" s="2"/>
      <c r="R22" s="7">
        <f t="shared" si="4"/>
        <v>0</v>
      </c>
      <c r="S22" s="2"/>
      <c r="T22" s="6">
        <v>29105.3</v>
      </c>
      <c r="U22" s="2"/>
      <c r="V22" s="7">
        <f t="shared" si="5"/>
        <v>0</v>
      </c>
      <c r="W22" s="2"/>
      <c r="X22" s="6">
        <f t="shared" si="6"/>
        <v>-974.22999999999593</v>
      </c>
      <c r="Y22" s="2"/>
      <c r="Z22" s="7">
        <f t="shared" si="7"/>
        <v>-3.347259777428839E-2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98.77</v>
      </c>
      <c r="E23" s="2"/>
      <c r="F23" s="7">
        <f t="shared" si="0"/>
        <v>0</v>
      </c>
      <c r="G23" s="2"/>
      <c r="H23" s="6">
        <v>53.74</v>
      </c>
      <c r="I23" s="2"/>
      <c r="J23" s="7">
        <f t="shared" si="1"/>
        <v>0</v>
      </c>
      <c r="K23" s="2"/>
      <c r="L23" s="6">
        <f t="shared" si="2"/>
        <v>45.029999999999994</v>
      </c>
      <c r="M23" s="2"/>
      <c r="N23" s="7">
        <f t="shared" si="3"/>
        <v>0.83792333457387402</v>
      </c>
      <c r="O23" s="11"/>
      <c r="P23" s="6">
        <v>447.99</v>
      </c>
      <c r="Q23" s="2"/>
      <c r="R23" s="7">
        <f t="shared" si="4"/>
        <v>0</v>
      </c>
      <c r="S23" s="2"/>
      <c r="T23" s="6">
        <v>857.04</v>
      </c>
      <c r="U23" s="2"/>
      <c r="V23" s="7">
        <f t="shared" si="5"/>
        <v>0</v>
      </c>
      <c r="W23" s="2"/>
      <c r="X23" s="6">
        <f t="shared" si="6"/>
        <v>-409.04999999999995</v>
      </c>
      <c r="Y23" s="2"/>
      <c r="Z23" s="7">
        <f t="shared" si="7"/>
        <v>-0.4772822738728647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2911.53</v>
      </c>
      <c r="E24" s="2"/>
      <c r="F24" s="7">
        <f t="shared" si="0"/>
        <v>0</v>
      </c>
      <c r="G24" s="2"/>
      <c r="H24" s="6">
        <v>2847.86</v>
      </c>
      <c r="I24" s="2"/>
      <c r="J24" s="7">
        <f t="shared" si="1"/>
        <v>0</v>
      </c>
      <c r="K24" s="2"/>
      <c r="L24" s="6">
        <f t="shared" si="2"/>
        <v>63.670000000000073</v>
      </c>
      <c r="M24" s="2"/>
      <c r="N24" s="7">
        <f t="shared" si="3"/>
        <v>2.2357138342474724E-2</v>
      </c>
      <c r="O24" s="11"/>
      <c r="P24" s="6">
        <v>19567.560000000001</v>
      </c>
      <c r="Q24" s="2"/>
      <c r="R24" s="7">
        <f t="shared" si="4"/>
        <v>0</v>
      </c>
      <c r="S24" s="2"/>
      <c r="T24" s="6">
        <v>22556.43</v>
      </c>
      <c r="U24" s="2"/>
      <c r="V24" s="7">
        <f t="shared" si="5"/>
        <v>0</v>
      </c>
      <c r="W24" s="2"/>
      <c r="X24" s="6">
        <f t="shared" si="6"/>
        <v>-2988.869999999999</v>
      </c>
      <c r="Y24" s="2"/>
      <c r="Z24" s="7">
        <f t="shared" si="7"/>
        <v>-0.13250634076403042</v>
      </c>
    </row>
    <row r="25" spans="1:26" s="24" customFormat="1" hidden="1" outlineLevel="2" x14ac:dyDescent="0.25">
      <c r="A25" s="25"/>
      <c r="B25" s="11" t="str">
        <f>CONCATENATE("          ", "6118", " - ", "VACATION")</f>
        <v xml:space="preserve">          6118 - VACATION</v>
      </c>
      <c r="C25" s="11"/>
      <c r="D25" s="6">
        <v>1658.98</v>
      </c>
      <c r="E25" s="2"/>
      <c r="F25" s="7">
        <f t="shared" si="0"/>
        <v>0</v>
      </c>
      <c r="G25" s="2"/>
      <c r="H25" s="6">
        <v>1621.64</v>
      </c>
      <c r="I25" s="2"/>
      <c r="J25" s="7">
        <f t="shared" si="1"/>
        <v>0</v>
      </c>
      <c r="K25" s="2"/>
      <c r="L25" s="6">
        <f t="shared" si="2"/>
        <v>37.339999999999918</v>
      </c>
      <c r="M25" s="2"/>
      <c r="N25" s="7">
        <f t="shared" si="3"/>
        <v>2.3026072371179741E-2</v>
      </c>
      <c r="O25" s="11"/>
      <c r="P25" s="6">
        <v>12442.35</v>
      </c>
      <c r="Q25" s="2"/>
      <c r="R25" s="7">
        <f t="shared" si="4"/>
        <v>0</v>
      </c>
      <c r="S25" s="2"/>
      <c r="T25" s="6">
        <v>18130.82</v>
      </c>
      <c r="U25" s="2"/>
      <c r="V25" s="7">
        <f t="shared" si="5"/>
        <v>0</v>
      </c>
      <c r="W25" s="2"/>
      <c r="X25" s="6">
        <f t="shared" si="6"/>
        <v>-5688.4699999999993</v>
      </c>
      <c r="Y25" s="2"/>
      <c r="Z25" s="7">
        <f t="shared" si="7"/>
        <v>-0.31374587580705116</v>
      </c>
    </row>
    <row r="26" spans="1:26" s="24" customFormat="1" hidden="1" outlineLevel="2" x14ac:dyDescent="0.25">
      <c r="A26" s="25"/>
      <c r="B26" s="11" t="str">
        <f>CONCATENATE("          ", "6119", " - ", "SICK LEAVE")</f>
        <v xml:space="preserve">          6119 - SICK LEAVE</v>
      </c>
      <c r="C26" s="11"/>
      <c r="D26" s="6">
        <v>856.8</v>
      </c>
      <c r="E26" s="2"/>
      <c r="F26" s="7">
        <f t="shared" si="0"/>
        <v>0</v>
      </c>
      <c r="G26" s="2"/>
      <c r="H26" s="6">
        <v>856.8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6426</v>
      </c>
      <c r="Q26" s="2"/>
      <c r="R26" s="7">
        <f t="shared" si="4"/>
        <v>0</v>
      </c>
      <c r="S26" s="2"/>
      <c r="T26" s="6">
        <v>21256.400000000001</v>
      </c>
      <c r="U26" s="2"/>
      <c r="V26" s="7">
        <f t="shared" si="5"/>
        <v>0</v>
      </c>
      <c r="W26" s="2"/>
      <c r="X26" s="6">
        <f t="shared" si="6"/>
        <v>-14830.400000000001</v>
      </c>
      <c r="Y26" s="2"/>
      <c r="Z26" s="7">
        <f t="shared" si="7"/>
        <v>-0.69769104834308726</v>
      </c>
    </row>
    <row r="27" spans="1:26" s="24" customFormat="1" hidden="1" outlineLevel="2" x14ac:dyDescent="0.25">
      <c r="A27" s="25"/>
      <c r="B27" s="11" t="str">
        <f>CONCATENATE("          ", "6156", " - ", "EMPLOYEE MEALS")</f>
        <v xml:space="preserve">          6156 - EMPLOYEE MEALS</v>
      </c>
      <c r="C27" s="11"/>
      <c r="D27" s="6"/>
      <c r="E27" s="2"/>
      <c r="F27" s="7">
        <f t="shared" si="0"/>
        <v>0</v>
      </c>
      <c r="G27" s="2"/>
      <c r="H27" s="6">
        <v>317.45999999999998</v>
      </c>
      <c r="I27" s="2"/>
      <c r="J27" s="7">
        <f t="shared" si="1"/>
        <v>0</v>
      </c>
      <c r="K27" s="2"/>
      <c r="L27" s="6">
        <f t="shared" si="2"/>
        <v>-317.45999999999998</v>
      </c>
      <c r="M27" s="2"/>
      <c r="N27" s="7">
        <f t="shared" si="3"/>
        <v>-1</v>
      </c>
      <c r="O27" s="11"/>
      <c r="P27" s="6">
        <v>330.33</v>
      </c>
      <c r="Q27" s="2"/>
      <c r="R27" s="7">
        <f t="shared" si="4"/>
        <v>0</v>
      </c>
      <c r="S27" s="2"/>
      <c r="T27" s="6">
        <v>2104.38</v>
      </c>
      <c r="U27" s="2"/>
      <c r="V27" s="7">
        <f t="shared" si="5"/>
        <v>0</v>
      </c>
      <c r="W27" s="2"/>
      <c r="X27" s="6">
        <f t="shared" si="6"/>
        <v>-1774.0500000000002</v>
      </c>
      <c r="Y27" s="2"/>
      <c r="Z27" s="7">
        <f t="shared" si="7"/>
        <v>-0.84302739999429765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22286.959999999999</v>
      </c>
      <c r="E28" s="1"/>
      <c r="F28" s="5">
        <f t="shared" ref="F28:F31" si="8">IF(D$12=0,0,D28/D$12)</f>
        <v>0</v>
      </c>
      <c r="G28" s="1"/>
      <c r="H28" s="1">
        <f>SUM(OSRRefH22_1x_0)</f>
        <v>23563.45</v>
      </c>
      <c r="I28" s="1"/>
      <c r="J28" s="5">
        <f t="shared" ref="J28:J31" si="9">IF(H$12=0,0,H28/H$12)</f>
        <v>0</v>
      </c>
      <c r="K28" s="1"/>
      <c r="L28" s="1">
        <f t="shared" ref="L28:L31" si="10">+D28-H28</f>
        <v>-1276.4900000000016</v>
      </c>
      <c r="M28" s="1"/>
      <c r="N28" s="5">
        <f t="shared" ref="N28:N31" si="11">IF(H28=0,0,L28/H28)</f>
        <v>-5.4172457768281029E-2</v>
      </c>
      <c r="O28" s="13"/>
      <c r="P28" s="1">
        <f>SUM(OSRRefP22_1x_0)</f>
        <v>90986.709999999992</v>
      </c>
      <c r="Q28" s="1"/>
      <c r="R28" s="5">
        <f t="shared" ref="R28:R31" si="12">IF(P$12=0,0,P28/P$12)</f>
        <v>0</v>
      </c>
      <c r="S28" s="1"/>
      <c r="T28" s="1">
        <f>SUM(OSRRefT22_1x_0)</f>
        <v>103673.54999999999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-12686.839999999997</v>
      </c>
      <c r="Y28" s="1"/>
      <c r="Z28" s="5">
        <f t="shared" ref="Z28:Z31" si="15">IF(T28=0,0,X28/T28)</f>
        <v>-0.12237296783991672</v>
      </c>
    </row>
    <row r="29" spans="1:26" s="24" customFormat="1" hidden="1" outlineLevel="2" x14ac:dyDescent="0.25">
      <c r="A29" s="25"/>
      <c r="B29" s="11" t="str">
        <f>CONCATENATE("          ", "6001", " - ", "ADMINISTRATIVE SALARIES")</f>
        <v xml:space="preserve">          6001 - ADMINISTRATIVE SALARIES</v>
      </c>
      <c r="C29" s="11"/>
      <c r="D29" s="6">
        <v>17635.28</v>
      </c>
      <c r="E29" s="2"/>
      <c r="F29" s="7">
        <f t="shared" si="8"/>
        <v>0</v>
      </c>
      <c r="G29" s="2"/>
      <c r="H29" s="6">
        <v>16876.34</v>
      </c>
      <c r="I29" s="2"/>
      <c r="J29" s="7">
        <f t="shared" si="9"/>
        <v>0</v>
      </c>
      <c r="K29" s="2"/>
      <c r="L29" s="6">
        <f t="shared" si="10"/>
        <v>758.93999999999869</v>
      </c>
      <c r="M29" s="2"/>
      <c r="N29" s="7">
        <f t="shared" si="11"/>
        <v>4.4970651219399388E-2</v>
      </c>
      <c r="O29" s="11"/>
      <c r="P29" s="6">
        <v>104759.53</v>
      </c>
      <c r="Q29" s="2"/>
      <c r="R29" s="7">
        <f t="shared" si="12"/>
        <v>0</v>
      </c>
      <c r="S29" s="2"/>
      <c r="T29" s="6">
        <v>112833.48</v>
      </c>
      <c r="U29" s="2"/>
      <c r="V29" s="7">
        <f t="shared" si="13"/>
        <v>0</v>
      </c>
      <c r="W29" s="2"/>
      <c r="X29" s="6">
        <f t="shared" si="14"/>
        <v>-8073.9499999999971</v>
      </c>
      <c r="Y29" s="2"/>
      <c r="Z29" s="7">
        <f t="shared" si="15"/>
        <v>-7.1556332393541325E-2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6">
        <v>4651.68</v>
      </c>
      <c r="E30" s="2"/>
      <c r="F30" s="7">
        <f t="shared" si="8"/>
        <v>0</v>
      </c>
      <c r="G30" s="2"/>
      <c r="H30" s="6">
        <v>4896.3599999999997</v>
      </c>
      <c r="I30" s="2"/>
      <c r="J30" s="7">
        <f t="shared" si="9"/>
        <v>0</v>
      </c>
      <c r="K30" s="2"/>
      <c r="L30" s="6">
        <f t="shared" si="10"/>
        <v>-244.67999999999938</v>
      </c>
      <c r="M30" s="2"/>
      <c r="N30" s="7">
        <f t="shared" si="11"/>
        <v>-4.997181579785788E-2</v>
      </c>
      <c r="O30" s="11"/>
      <c r="P30" s="6">
        <v>31184.47</v>
      </c>
      <c r="Q30" s="2"/>
      <c r="R30" s="7">
        <f t="shared" si="12"/>
        <v>0</v>
      </c>
      <c r="S30" s="2"/>
      <c r="T30" s="6">
        <v>33540.79</v>
      </c>
      <c r="U30" s="2"/>
      <c r="V30" s="7">
        <f t="shared" si="13"/>
        <v>0</v>
      </c>
      <c r="W30" s="2"/>
      <c r="X30" s="6">
        <f t="shared" si="14"/>
        <v>-2356.3199999999997</v>
      </c>
      <c r="Y30" s="2"/>
      <c r="Z30" s="7">
        <f t="shared" si="15"/>
        <v>-7.0252370322821847E-2</v>
      </c>
    </row>
    <row r="31" spans="1:26" s="24" customFormat="1" hidden="1" outlineLevel="2" x14ac:dyDescent="0.25">
      <c r="A31" s="25"/>
      <c r="B31" s="11" t="str">
        <f>CONCATENATE("          ", "6007", " - ", "STUDENT HOURLY")</f>
        <v xml:space="preserve">          6007 - STUDENT HOURLY</v>
      </c>
      <c r="C31" s="11"/>
      <c r="D31" s="6"/>
      <c r="E31" s="2"/>
      <c r="F31" s="7">
        <f t="shared" si="8"/>
        <v>0</v>
      </c>
      <c r="G31" s="2"/>
      <c r="H31" s="6">
        <v>1790.75</v>
      </c>
      <c r="I31" s="2"/>
      <c r="J31" s="7">
        <f t="shared" si="9"/>
        <v>0</v>
      </c>
      <c r="K31" s="2"/>
      <c r="L31" s="6">
        <f t="shared" si="10"/>
        <v>-1790.75</v>
      </c>
      <c r="M31" s="2"/>
      <c r="N31" s="7">
        <f t="shared" si="11"/>
        <v>-1</v>
      </c>
      <c r="O31" s="11"/>
      <c r="P31" s="6">
        <v>-44957.29</v>
      </c>
      <c r="Q31" s="2"/>
      <c r="R31" s="7">
        <f t="shared" si="12"/>
        <v>0</v>
      </c>
      <c r="S31" s="2"/>
      <c r="T31" s="6">
        <v>-42700.72</v>
      </c>
      <c r="U31" s="2"/>
      <c r="V31" s="7">
        <f t="shared" si="13"/>
        <v>0</v>
      </c>
      <c r="W31" s="2"/>
      <c r="X31" s="6">
        <f t="shared" si="14"/>
        <v>-2256.5699999999997</v>
      </c>
      <c r="Y31" s="2"/>
      <c r="Z31" s="7">
        <f t="shared" si="15"/>
        <v>5.2846181516377232E-2</v>
      </c>
    </row>
    <row r="32" spans="1:26" s="26" customFormat="1" outlineLevel="1" collapsed="1" x14ac:dyDescent="0.25">
      <c r="A32" s="27"/>
      <c r="B32" s="13" t="str">
        <f>CONCATENATE("     ","Advertising/Promo                                 ")</f>
        <v xml:space="preserve">     Advertising/Promo                                 </v>
      </c>
      <c r="C32" s="13"/>
      <c r="D32" s="1">
        <f>SUM(OSRRefD22_2x_0)</f>
        <v>0</v>
      </c>
      <c r="E32" s="1"/>
      <c r="F32" s="5">
        <f t="shared" ref="F32:F49" si="16">IF(D$12=0,0,D32/D$12)</f>
        <v>0</v>
      </c>
      <c r="G32" s="1"/>
      <c r="H32" s="1">
        <f>SUM(OSRRefH22_2x_0)</f>
        <v>188.5</v>
      </c>
      <c r="I32" s="1"/>
      <c r="J32" s="5">
        <f t="shared" ref="J32:J49" si="17">IF(H$12=0,0,H32/H$12)</f>
        <v>0</v>
      </c>
      <c r="K32" s="1"/>
      <c r="L32" s="1">
        <f t="shared" ref="L32:L49" si="18">+D32-H32</f>
        <v>-188.5</v>
      </c>
      <c r="M32" s="1"/>
      <c r="N32" s="5">
        <f t="shared" ref="N32:N49" si="19">IF(H32=0,0,L32/H32)</f>
        <v>-1</v>
      </c>
      <c r="O32" s="13"/>
      <c r="P32" s="1">
        <f>SUM(OSRRefP22_2x_0)</f>
        <v>66.8</v>
      </c>
      <c r="Q32" s="1"/>
      <c r="R32" s="5">
        <f t="shared" ref="R32:R49" si="20">IF(P$12=0,0,P32/P$12)</f>
        <v>0</v>
      </c>
      <c r="S32" s="1"/>
      <c r="T32" s="1">
        <f>SUM(OSRRefT22_2x_0)</f>
        <v>11598.39</v>
      </c>
      <c r="U32" s="1"/>
      <c r="V32" s="5">
        <f t="shared" ref="V32:V49" si="21">IF(T$12=0,0,T32/T$12)</f>
        <v>0</v>
      </c>
      <c r="W32" s="1"/>
      <c r="X32" s="1">
        <f t="shared" ref="X32:X49" si="22">+P32-T32</f>
        <v>-11531.59</v>
      </c>
      <c r="Y32" s="1"/>
      <c r="Z32" s="5">
        <f t="shared" ref="Z32:Z49" si="23">IF(T32=0,0,X32/T32)</f>
        <v>-0.9942405799425611</v>
      </c>
    </row>
    <row r="33" spans="1:26" s="24" customFormat="1" hidden="1" outlineLevel="2" x14ac:dyDescent="0.25">
      <c r="A33" s="25"/>
      <c r="B33" s="11" t="str">
        <f>CONCATENATE("          ", "6362", " - ", "ADVERTISING EXPENSE")</f>
        <v xml:space="preserve">          6362 - ADVERTISING EXPENSE</v>
      </c>
      <c r="C33" s="11"/>
      <c r="D33" s="6"/>
      <c r="E33" s="2"/>
      <c r="F33" s="7">
        <f t="shared" si="16"/>
        <v>0</v>
      </c>
      <c r="G33" s="2"/>
      <c r="H33" s="6">
        <v>188.5</v>
      </c>
      <c r="I33" s="2"/>
      <c r="J33" s="7">
        <f t="shared" si="17"/>
        <v>0</v>
      </c>
      <c r="K33" s="2"/>
      <c r="L33" s="6">
        <f t="shared" si="18"/>
        <v>-188.5</v>
      </c>
      <c r="M33" s="2"/>
      <c r="N33" s="7">
        <f t="shared" si="19"/>
        <v>-1</v>
      </c>
      <c r="O33" s="11"/>
      <c r="P33" s="6">
        <v>66.8</v>
      </c>
      <c r="Q33" s="2"/>
      <c r="R33" s="7">
        <f t="shared" si="20"/>
        <v>0</v>
      </c>
      <c r="S33" s="2"/>
      <c r="T33" s="6">
        <v>11598.39</v>
      </c>
      <c r="U33" s="2"/>
      <c r="V33" s="7">
        <f t="shared" si="21"/>
        <v>0</v>
      </c>
      <c r="W33" s="2"/>
      <c r="X33" s="6">
        <f t="shared" si="22"/>
        <v>-11531.59</v>
      </c>
      <c r="Y33" s="2"/>
      <c r="Z33" s="7">
        <f t="shared" si="23"/>
        <v>-0.9942405799425611</v>
      </c>
    </row>
    <row r="34" spans="1:26" s="26" customFormat="1" outlineLevel="1" collapsed="1" x14ac:dyDescent="0.25">
      <c r="A34" s="27"/>
      <c r="B34" s="13" t="str">
        <f>CONCATENATE("     ","Depreciation                                      ")</f>
        <v xml:space="preserve">     Depreciation                                      </v>
      </c>
      <c r="C34" s="13"/>
      <c r="D34" s="1">
        <f>SUM(OSRRefD22_3x_0)</f>
        <v>314.87</v>
      </c>
      <c r="E34" s="1"/>
      <c r="F34" s="5">
        <f t="shared" si="16"/>
        <v>0</v>
      </c>
      <c r="G34" s="1"/>
      <c r="H34" s="1">
        <f>SUM(OSRRefH22_3x_0)</f>
        <v>345.23</v>
      </c>
      <c r="I34" s="1"/>
      <c r="J34" s="5">
        <f t="shared" si="17"/>
        <v>0</v>
      </c>
      <c r="K34" s="1"/>
      <c r="L34" s="1">
        <f t="shared" si="18"/>
        <v>-30.360000000000014</v>
      </c>
      <c r="M34" s="1"/>
      <c r="N34" s="5">
        <f t="shared" si="19"/>
        <v>-8.7941372418387773E-2</v>
      </c>
      <c r="O34" s="13"/>
      <c r="P34" s="1">
        <f>SUM(OSRRefP22_3x_0)</f>
        <v>2204.09</v>
      </c>
      <c r="Q34" s="1"/>
      <c r="R34" s="5">
        <f t="shared" si="20"/>
        <v>0</v>
      </c>
      <c r="S34" s="1"/>
      <c r="T34" s="1">
        <f>SUM(OSRRefT22_3x_0)</f>
        <v>2416.61</v>
      </c>
      <c r="U34" s="1"/>
      <c r="V34" s="5">
        <f t="shared" si="21"/>
        <v>0</v>
      </c>
      <c r="W34" s="1"/>
      <c r="X34" s="1">
        <f t="shared" si="22"/>
        <v>-212.51999999999998</v>
      </c>
      <c r="Y34" s="1"/>
      <c r="Z34" s="5">
        <f t="shared" si="23"/>
        <v>-8.7941372418387731E-2</v>
      </c>
    </row>
    <row r="35" spans="1:26" s="24" customFormat="1" hidden="1" outlineLevel="2" x14ac:dyDescent="0.25">
      <c r="A35" s="25"/>
      <c r="B35" s="11" t="str">
        <f>CONCATENATE("          ", "6322", " - ", "EQUIPMENT DEPRECIATION EXPENSE")</f>
        <v xml:space="preserve">          6322 - EQUIPMENT DEPRECIATION EXPENSE</v>
      </c>
      <c r="C35" s="11"/>
      <c r="D35" s="6">
        <v>314.87</v>
      </c>
      <c r="E35" s="2"/>
      <c r="F35" s="7">
        <f t="shared" si="16"/>
        <v>0</v>
      </c>
      <c r="G35" s="2"/>
      <c r="H35" s="6">
        <v>345.23</v>
      </c>
      <c r="I35" s="2"/>
      <c r="J35" s="7">
        <f t="shared" si="17"/>
        <v>0</v>
      </c>
      <c r="K35" s="2"/>
      <c r="L35" s="6">
        <f t="shared" si="18"/>
        <v>-30.360000000000014</v>
      </c>
      <c r="M35" s="2"/>
      <c r="N35" s="7">
        <f t="shared" si="19"/>
        <v>-8.7941372418387773E-2</v>
      </c>
      <c r="O35" s="11"/>
      <c r="P35" s="6">
        <v>2204.09</v>
      </c>
      <c r="Q35" s="2"/>
      <c r="R35" s="7">
        <f t="shared" si="20"/>
        <v>0</v>
      </c>
      <c r="S35" s="2"/>
      <c r="T35" s="6">
        <v>2416.61</v>
      </c>
      <c r="U35" s="2"/>
      <c r="V35" s="7">
        <f t="shared" si="21"/>
        <v>0</v>
      </c>
      <c r="W35" s="2"/>
      <c r="X35" s="6">
        <f t="shared" si="22"/>
        <v>-212.51999999999998</v>
      </c>
      <c r="Y35" s="2"/>
      <c r="Z35" s="7">
        <f t="shared" si="23"/>
        <v>-8.7941372418387731E-2</v>
      </c>
    </row>
    <row r="36" spans="1:26" s="26" customFormat="1" outlineLevel="1" collapsed="1" x14ac:dyDescent="0.25">
      <c r="A36" s="27"/>
      <c r="B36" s="13" t="str">
        <f>CONCATENATE("     ","Donations                                         ")</f>
        <v xml:space="preserve">     Donations                                         </v>
      </c>
      <c r="C36" s="13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0</v>
      </c>
      <c r="I36" s="1"/>
      <c r="J36" s="5">
        <f t="shared" si="17"/>
        <v>0</v>
      </c>
      <c r="K36" s="1"/>
      <c r="L36" s="1">
        <f t="shared" si="18"/>
        <v>0</v>
      </c>
      <c r="M36" s="1"/>
      <c r="N36" s="5">
        <f t="shared" si="19"/>
        <v>0</v>
      </c>
      <c r="O36" s="13"/>
      <c r="P36" s="1">
        <f>SUM(OSRRefP22_4x_0)</f>
        <v>25000</v>
      </c>
      <c r="Q36" s="1"/>
      <c r="R36" s="5">
        <f t="shared" si="20"/>
        <v>0</v>
      </c>
      <c r="S36" s="1"/>
      <c r="T36" s="1">
        <f>SUM(OSRRefT22_4x_0)</f>
        <v>145645</v>
      </c>
      <c r="U36" s="1"/>
      <c r="V36" s="5">
        <f t="shared" si="21"/>
        <v>0</v>
      </c>
      <c r="W36" s="1"/>
      <c r="X36" s="1">
        <f t="shared" si="22"/>
        <v>-120645</v>
      </c>
      <c r="Y36" s="1"/>
      <c r="Z36" s="5">
        <f t="shared" si="23"/>
        <v>-0.82834975454014903</v>
      </c>
    </row>
    <row r="37" spans="1:26" s="24" customFormat="1" hidden="1" outlineLevel="2" x14ac:dyDescent="0.25">
      <c r="A37" s="25"/>
      <c r="B37" s="11" t="str">
        <f>CONCATENATE("          ", "6399", " - ", "DONATION-ON CAMPUS")</f>
        <v xml:space="preserve">          6399 - DONATION-ON CAMPUS</v>
      </c>
      <c r="C37" s="11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>
        <v>25000</v>
      </c>
      <c r="Q37" s="2"/>
      <c r="R37" s="7">
        <f t="shared" si="20"/>
        <v>0</v>
      </c>
      <c r="S37" s="2"/>
      <c r="T37" s="6">
        <v>145645</v>
      </c>
      <c r="U37" s="2"/>
      <c r="V37" s="7">
        <f t="shared" si="21"/>
        <v>0</v>
      </c>
      <c r="W37" s="2"/>
      <c r="X37" s="6">
        <f t="shared" si="22"/>
        <v>-120645</v>
      </c>
      <c r="Y37" s="2"/>
      <c r="Z37" s="7">
        <f t="shared" si="23"/>
        <v>-0.82834975454014903</v>
      </c>
    </row>
    <row r="38" spans="1:26" s="26" customFormat="1" outlineLevel="1" collapsed="1" x14ac:dyDescent="0.25">
      <c r="A38" s="27"/>
      <c r="B38" s="13" t="str">
        <f>CONCATENATE("     ","Equipment Rental                                  ")</f>
        <v xml:space="preserve">     Equipment Rental                                  </v>
      </c>
      <c r="C38" s="13"/>
      <c r="D38" s="1">
        <f>SUM(OSRRefD22_5x_0)</f>
        <v>117.71</v>
      </c>
      <c r="E38" s="1"/>
      <c r="F38" s="5">
        <f t="shared" si="16"/>
        <v>0</v>
      </c>
      <c r="G38" s="1"/>
      <c r="H38" s="1">
        <f>SUM(OSRRefH22_5x_0)</f>
        <v>117.72</v>
      </c>
      <c r="I38" s="1"/>
      <c r="J38" s="5">
        <f t="shared" si="17"/>
        <v>0</v>
      </c>
      <c r="K38" s="1"/>
      <c r="L38" s="1">
        <f t="shared" si="18"/>
        <v>-1.0000000000005116E-2</v>
      </c>
      <c r="M38" s="1"/>
      <c r="N38" s="5">
        <f t="shared" si="19"/>
        <v>-8.4947332653798128E-5</v>
      </c>
      <c r="O38" s="13"/>
      <c r="P38" s="1">
        <f>SUM(OSRRefP22_5x_0)</f>
        <v>823.97</v>
      </c>
      <c r="Q38" s="1"/>
      <c r="R38" s="5">
        <f t="shared" si="20"/>
        <v>0</v>
      </c>
      <c r="S38" s="1"/>
      <c r="T38" s="1">
        <f>SUM(OSRRefT22_5x_0)</f>
        <v>824.04</v>
      </c>
      <c r="U38" s="1"/>
      <c r="V38" s="5">
        <f t="shared" si="21"/>
        <v>0</v>
      </c>
      <c r="W38" s="1"/>
      <c r="X38" s="1">
        <f t="shared" si="22"/>
        <v>-6.9999999999936335E-2</v>
      </c>
      <c r="Y38" s="1"/>
      <c r="Z38" s="5">
        <f t="shared" si="23"/>
        <v>-8.4947332653677416E-5</v>
      </c>
    </row>
    <row r="39" spans="1:26" s="24" customFormat="1" hidden="1" outlineLevel="2" x14ac:dyDescent="0.25">
      <c r="A39" s="25"/>
      <c r="B39" s="11" t="str">
        <f>CONCATENATE("          ", "6351", " - ", "EQUIPMENT RENTAL")</f>
        <v xml:space="preserve">          6351 - EQUIPMENT RENTAL</v>
      </c>
      <c r="C39" s="11"/>
      <c r="D39" s="6">
        <v>117.71</v>
      </c>
      <c r="E39" s="2"/>
      <c r="F39" s="7">
        <f t="shared" si="16"/>
        <v>0</v>
      </c>
      <c r="G39" s="2"/>
      <c r="H39" s="6">
        <v>117.72</v>
      </c>
      <c r="I39" s="2"/>
      <c r="J39" s="7">
        <f t="shared" si="17"/>
        <v>0</v>
      </c>
      <c r="K39" s="2"/>
      <c r="L39" s="6">
        <f t="shared" si="18"/>
        <v>-1.0000000000005116E-2</v>
      </c>
      <c r="M39" s="2"/>
      <c r="N39" s="7">
        <f t="shared" si="19"/>
        <v>-8.4947332653798128E-5</v>
      </c>
      <c r="O39" s="11"/>
      <c r="P39" s="6">
        <v>823.97</v>
      </c>
      <c r="Q39" s="2"/>
      <c r="R39" s="7">
        <f t="shared" si="20"/>
        <v>0</v>
      </c>
      <c r="S39" s="2"/>
      <c r="T39" s="6">
        <v>824.04</v>
      </c>
      <c r="U39" s="2"/>
      <c r="V39" s="7">
        <f t="shared" si="21"/>
        <v>0</v>
      </c>
      <c r="W39" s="2"/>
      <c r="X39" s="6">
        <f t="shared" si="22"/>
        <v>-6.9999999999936335E-2</v>
      </c>
      <c r="Y39" s="2"/>
      <c r="Z39" s="7">
        <f t="shared" si="23"/>
        <v>-8.4947332653677416E-5</v>
      </c>
    </row>
    <row r="40" spans="1:26" s="26" customFormat="1" outlineLevel="1" collapsed="1" x14ac:dyDescent="0.25">
      <c r="A40" s="27"/>
      <c r="B40" s="13" t="str">
        <f>CONCATENATE("     ","Freight out/Postage                               ")</f>
        <v xml:space="preserve">     Freight out/Postage                               </v>
      </c>
      <c r="C40" s="13"/>
      <c r="D40" s="1">
        <f>SUM(OSRRefD22_6x_0)</f>
        <v>0</v>
      </c>
      <c r="E40" s="1"/>
      <c r="F40" s="5">
        <f t="shared" si="16"/>
        <v>0</v>
      </c>
      <c r="G40" s="1"/>
      <c r="H40" s="1">
        <f>SUM(OSRRefH22_6x_0)</f>
        <v>0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3"/>
      <c r="P40" s="1">
        <f>SUM(OSRRefP22_6x_0)</f>
        <v>65.06</v>
      </c>
      <c r="Q40" s="1"/>
      <c r="R40" s="5">
        <f t="shared" si="20"/>
        <v>0</v>
      </c>
      <c r="S40" s="1"/>
      <c r="T40" s="1">
        <f>SUM(OSRRefT22_6x_0)</f>
        <v>132.5</v>
      </c>
      <c r="U40" s="1"/>
      <c r="V40" s="5">
        <f t="shared" si="21"/>
        <v>0</v>
      </c>
      <c r="W40" s="1"/>
      <c r="X40" s="1">
        <f t="shared" si="22"/>
        <v>-67.44</v>
      </c>
      <c r="Y40" s="1"/>
      <c r="Z40" s="5">
        <f t="shared" si="23"/>
        <v>-0.50898113207547169</v>
      </c>
    </row>
    <row r="41" spans="1:26" s="24" customFormat="1" hidden="1" outlineLevel="2" x14ac:dyDescent="0.25">
      <c r="A41" s="25"/>
      <c r="B41" s="11" t="str">
        <f>CONCATENATE("          ", "6307", " - ", "POSTAGE")</f>
        <v xml:space="preserve">          6307 - POSTAGE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65.06</v>
      </c>
      <c r="Q41" s="2"/>
      <c r="R41" s="7">
        <f t="shared" si="20"/>
        <v>0</v>
      </c>
      <c r="S41" s="2"/>
      <c r="T41" s="6">
        <v>132.5</v>
      </c>
      <c r="U41" s="2"/>
      <c r="V41" s="7">
        <f t="shared" si="21"/>
        <v>0</v>
      </c>
      <c r="W41" s="2"/>
      <c r="X41" s="6">
        <f t="shared" si="22"/>
        <v>-67.44</v>
      </c>
      <c r="Y41" s="2"/>
      <c r="Z41" s="7">
        <f t="shared" si="23"/>
        <v>-0.50898113207547169</v>
      </c>
    </row>
    <row r="42" spans="1:26" s="26" customFormat="1" outlineLevel="1" collapsed="1" x14ac:dyDescent="0.25">
      <c r="A42" s="27"/>
      <c r="B42" s="13" t="str">
        <f>CONCATENATE("     ","General                                           ")</f>
        <v xml:space="preserve">     General                                           </v>
      </c>
      <c r="C42" s="13"/>
      <c r="D42" s="1">
        <f>SUM(OSRRefD22_7x_0)</f>
        <v>0</v>
      </c>
      <c r="E42" s="1"/>
      <c r="F42" s="5">
        <f t="shared" si="16"/>
        <v>0</v>
      </c>
      <c r="G42" s="1"/>
      <c r="H42" s="1">
        <f>SUM(OSRRefH22_7x_0)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SUM(OSRRefP22_7x_0)</f>
        <v>0</v>
      </c>
      <c r="Q42" s="1"/>
      <c r="R42" s="5">
        <f t="shared" si="20"/>
        <v>0</v>
      </c>
      <c r="S42" s="1"/>
      <c r="T42" s="1">
        <f>SUM(OSRRefT22_7x_0)</f>
        <v>11700.62</v>
      </c>
      <c r="U42" s="1"/>
      <c r="V42" s="5">
        <f t="shared" si="21"/>
        <v>0</v>
      </c>
      <c r="W42" s="1"/>
      <c r="X42" s="1">
        <f t="shared" si="22"/>
        <v>-11700.62</v>
      </c>
      <c r="Y42" s="1"/>
      <c r="Z42" s="5">
        <f t="shared" si="23"/>
        <v>-1</v>
      </c>
    </row>
    <row r="43" spans="1:26" s="24" customFormat="1" hidden="1" outlineLevel="2" x14ac:dyDescent="0.25">
      <c r="A43" s="25"/>
      <c r="B43" s="11" t="str">
        <f>CONCATENATE("          ", "6279", " - ", "GENERAL EXPENSE")</f>
        <v xml:space="preserve">          6279 - GENERAL EXPENSE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/>
      <c r="Q43" s="2"/>
      <c r="R43" s="7">
        <f t="shared" si="20"/>
        <v>0</v>
      </c>
      <c r="S43" s="2"/>
      <c r="T43" s="6">
        <v>11700.62</v>
      </c>
      <c r="U43" s="2"/>
      <c r="V43" s="7">
        <f t="shared" si="21"/>
        <v>0</v>
      </c>
      <c r="W43" s="2"/>
      <c r="X43" s="6">
        <f t="shared" si="22"/>
        <v>-11700.62</v>
      </c>
      <c r="Y43" s="2"/>
      <c r="Z43" s="7">
        <f t="shared" si="23"/>
        <v>-1</v>
      </c>
    </row>
    <row r="44" spans="1:26" s="26" customFormat="1" outlineLevel="1" collapsed="1" x14ac:dyDescent="0.25">
      <c r="A44" s="27"/>
      <c r="B44" s="13" t="str">
        <f>CONCATENATE("     ","Insurance                                         ")</f>
        <v xml:space="preserve">     Insurance                                         </v>
      </c>
      <c r="C44" s="13"/>
      <c r="D44" s="1">
        <f>SUM(OSRRefD22_8x_0)</f>
        <v>115.13</v>
      </c>
      <c r="E44" s="1"/>
      <c r="F44" s="5">
        <f t="shared" si="16"/>
        <v>0</v>
      </c>
      <c r="G44" s="1"/>
      <c r="H44" s="1">
        <f>SUM(OSRRefH22_8x_0)</f>
        <v>115.13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SUM(OSRRefP22_8x_0)</f>
        <v>805.91</v>
      </c>
      <c r="Q44" s="1"/>
      <c r="R44" s="5">
        <f t="shared" si="20"/>
        <v>0</v>
      </c>
      <c r="S44" s="1"/>
      <c r="T44" s="1">
        <f>SUM(OSRRefT22_8x_0)</f>
        <v>805.91</v>
      </c>
      <c r="U44" s="1"/>
      <c r="V44" s="5">
        <f t="shared" si="21"/>
        <v>0</v>
      </c>
      <c r="W44" s="1"/>
      <c r="X44" s="1">
        <f t="shared" si="22"/>
        <v>0</v>
      </c>
      <c r="Y44" s="1"/>
      <c r="Z44" s="5">
        <f t="shared" si="23"/>
        <v>0</v>
      </c>
    </row>
    <row r="45" spans="1:26" s="24" customFormat="1" hidden="1" outlineLevel="2" x14ac:dyDescent="0.25">
      <c r="A45" s="25"/>
      <c r="B45" s="11" t="str">
        <f>CONCATENATE("          ", "6314", " - ", "LIABILITY INSURANCE")</f>
        <v xml:space="preserve">          6314 - LIABILITY INSURANCE</v>
      </c>
      <c r="C45" s="11"/>
      <c r="D45" s="6">
        <v>115.13</v>
      </c>
      <c r="E45" s="2"/>
      <c r="F45" s="7">
        <f t="shared" si="16"/>
        <v>0</v>
      </c>
      <c r="G45" s="2"/>
      <c r="H45" s="6">
        <v>115.13</v>
      </c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>
        <v>805.91</v>
      </c>
      <c r="Q45" s="2"/>
      <c r="R45" s="7">
        <f t="shared" si="20"/>
        <v>0</v>
      </c>
      <c r="S45" s="2"/>
      <c r="T45" s="6">
        <v>805.91</v>
      </c>
      <c r="U45" s="2"/>
      <c r="V45" s="7">
        <f t="shared" si="21"/>
        <v>0</v>
      </c>
      <c r="W45" s="2"/>
      <c r="X45" s="6">
        <f t="shared" si="22"/>
        <v>0</v>
      </c>
      <c r="Y45" s="2"/>
      <c r="Z45" s="7">
        <f t="shared" si="23"/>
        <v>0</v>
      </c>
    </row>
    <row r="46" spans="1:26" s="26" customFormat="1" outlineLevel="1" collapsed="1" x14ac:dyDescent="0.25">
      <c r="A46" s="27"/>
      <c r="B46" s="13" t="str">
        <f>CONCATENATE("     ","Professional Services                             ")</f>
        <v xml:space="preserve">     Professional Services                             </v>
      </c>
      <c r="C46" s="13"/>
      <c r="D46" s="1">
        <f>SUM(OSRRefD22_9x_0)</f>
        <v>0</v>
      </c>
      <c r="E46" s="1"/>
      <c r="F46" s="5">
        <f t="shared" si="16"/>
        <v>0</v>
      </c>
      <c r="G46" s="1"/>
      <c r="H46" s="1">
        <f>SUM(OSRRefH22_9x_0)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3"/>
      <c r="P46" s="1">
        <f>SUM(OSRRefP22_9x_0)</f>
        <v>49654.239999999998</v>
      </c>
      <c r="Q46" s="1"/>
      <c r="R46" s="5">
        <f t="shared" si="20"/>
        <v>0</v>
      </c>
      <c r="S46" s="1"/>
      <c r="T46" s="1">
        <f>SUM(OSRRefT22_9x_0)</f>
        <v>50860</v>
      </c>
      <c r="U46" s="1"/>
      <c r="V46" s="5">
        <f t="shared" si="21"/>
        <v>0</v>
      </c>
      <c r="W46" s="1"/>
      <c r="X46" s="1">
        <f t="shared" si="22"/>
        <v>-1205.760000000002</v>
      </c>
      <c r="Y46" s="1"/>
      <c r="Z46" s="5">
        <f t="shared" si="23"/>
        <v>-2.3707432166732247E-2</v>
      </c>
    </row>
    <row r="47" spans="1:26" s="24" customFormat="1" hidden="1" outlineLevel="2" x14ac:dyDescent="0.25">
      <c r="A47" s="25"/>
      <c r="B47" s="11" t="str">
        <f>CONCATENATE("          ", "6331", " - ", "INDIRECT COSTS-AUXILIARY ORGAN")</f>
        <v xml:space="preserve">          6331 - INDIRECT COSTS-AUXILIARY ORGAN</v>
      </c>
      <c r="C47" s="11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1"/>
      <c r="P47" s="6">
        <v>45850</v>
      </c>
      <c r="Q47" s="2"/>
      <c r="R47" s="7">
        <f t="shared" si="20"/>
        <v>0</v>
      </c>
      <c r="S47" s="2"/>
      <c r="T47" s="6">
        <v>45550</v>
      </c>
      <c r="U47" s="2"/>
      <c r="V47" s="7">
        <f t="shared" si="21"/>
        <v>0</v>
      </c>
      <c r="W47" s="2"/>
      <c r="X47" s="6">
        <f t="shared" si="22"/>
        <v>300</v>
      </c>
      <c r="Y47" s="2"/>
      <c r="Z47" s="7">
        <f t="shared" si="23"/>
        <v>6.5861690450054883E-3</v>
      </c>
    </row>
    <row r="48" spans="1:26" s="24" customFormat="1" hidden="1" outlineLevel="2" x14ac:dyDescent="0.25">
      <c r="A48" s="25"/>
      <c r="B48" s="11" t="str">
        <f>CONCATENATE("          ", "6334", " - ", "LEGAL COUNCIL EXPENSE")</f>
        <v xml:space="preserve">          6334 - LEGAL COUNCIL EXPENSE</v>
      </c>
      <c r="C48" s="11"/>
      <c r="D48" s="6"/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0</v>
      </c>
      <c r="M48" s="2"/>
      <c r="N48" s="7">
        <f t="shared" si="19"/>
        <v>0</v>
      </c>
      <c r="O48" s="11"/>
      <c r="P48" s="6">
        <v>3804.24</v>
      </c>
      <c r="Q48" s="2"/>
      <c r="R48" s="7">
        <f t="shared" si="20"/>
        <v>0</v>
      </c>
      <c r="S48" s="2"/>
      <c r="T48" s="6">
        <v>290</v>
      </c>
      <c r="U48" s="2"/>
      <c r="V48" s="7">
        <f t="shared" si="21"/>
        <v>0</v>
      </c>
      <c r="W48" s="2"/>
      <c r="X48" s="6">
        <f t="shared" si="22"/>
        <v>3514.24</v>
      </c>
      <c r="Y48" s="2"/>
      <c r="Z48" s="7">
        <f t="shared" si="23"/>
        <v>12.11806896551724</v>
      </c>
    </row>
    <row r="49" spans="1:26" s="24" customFormat="1" hidden="1" outlineLevel="2" x14ac:dyDescent="0.25">
      <c r="A49" s="25"/>
      <c r="B49" s="11" t="str">
        <f>CONCATENATE("          ", "6336", " - ", "PROFESSIONAL SERVICES")</f>
        <v xml:space="preserve">          6336 - PROFESSIONAL SERVICES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/>
      <c r="Q49" s="2"/>
      <c r="R49" s="7">
        <f t="shared" si="20"/>
        <v>0</v>
      </c>
      <c r="S49" s="2"/>
      <c r="T49" s="6">
        <v>5020</v>
      </c>
      <c r="U49" s="2"/>
      <c r="V49" s="7">
        <f t="shared" si="21"/>
        <v>0</v>
      </c>
      <c r="W49" s="2"/>
      <c r="X49" s="6">
        <f t="shared" si="22"/>
        <v>-5020</v>
      </c>
      <c r="Y49" s="2"/>
      <c r="Z49" s="7">
        <f t="shared" si="23"/>
        <v>-1</v>
      </c>
    </row>
    <row r="50" spans="1:26" s="26" customFormat="1" outlineLevel="1" collapsed="1" x14ac:dyDescent="0.25">
      <c r="A50" s="27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SUM(OSRRefD22_10x_0)</f>
        <v>2591.4699999999998</v>
      </c>
      <c r="E50" s="1"/>
      <c r="F50" s="5">
        <f t="shared" ref="F50:F53" si="24">IF(D$12=0,0,D50/D$12)</f>
        <v>0</v>
      </c>
      <c r="G50" s="1"/>
      <c r="H50" s="1">
        <f>SUM(OSRRefH22_10x_0)</f>
        <v>2565</v>
      </c>
      <c r="I50" s="1"/>
      <c r="J50" s="5">
        <f t="shared" ref="J50:J53" si="25">IF(H$12=0,0,H50/H$12)</f>
        <v>0</v>
      </c>
      <c r="K50" s="1"/>
      <c r="L50" s="1">
        <f t="shared" ref="L50:L53" si="26">+D50-H50</f>
        <v>26.4699999999998</v>
      </c>
      <c r="M50" s="1"/>
      <c r="N50" s="5">
        <f t="shared" ref="N50:N53" si="27">IF(H50=0,0,L50/H50)</f>
        <v>1.0319688109161715E-2</v>
      </c>
      <c r="O50" s="13"/>
      <c r="P50" s="1">
        <f>SUM(OSRRefP22_10x_0)</f>
        <v>15852.470000000001</v>
      </c>
      <c r="Q50" s="1"/>
      <c r="R50" s="5">
        <f t="shared" ref="R50:R53" si="28">IF(P$12=0,0,P50/P$12)</f>
        <v>0</v>
      </c>
      <c r="S50" s="1"/>
      <c r="T50" s="1">
        <f>SUM(OSRRefT22_10x_0)</f>
        <v>22860.83</v>
      </c>
      <c r="U50" s="1"/>
      <c r="V50" s="5">
        <f t="shared" ref="V50:V53" si="29">IF(T$12=0,0,T50/T$12)</f>
        <v>0</v>
      </c>
      <c r="W50" s="1"/>
      <c r="X50" s="1">
        <f t="shared" ref="X50:X53" si="30">+P50-T50</f>
        <v>-7008.3600000000006</v>
      </c>
      <c r="Y50" s="1"/>
      <c r="Z50" s="5">
        <f t="shared" ref="Z50:Z53" si="31">IF(T50=0,0,X50/T50)</f>
        <v>-0.30656629702421129</v>
      </c>
    </row>
    <row r="51" spans="1:26" s="24" customFormat="1" hidden="1" outlineLevel="2" x14ac:dyDescent="0.25">
      <c r="A51" s="25"/>
      <c r="B51" s="11" t="str">
        <f>CONCATENATE("          ", "6371", " - ", "COMPUTER SOFTWARE MAINTENANCE")</f>
        <v xml:space="preserve">          6371 - COMPUTER SOFTWARE MAINTENANCE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/>
      <c r="Q51" s="2"/>
      <c r="R51" s="7">
        <f t="shared" si="28"/>
        <v>0</v>
      </c>
      <c r="S51" s="2"/>
      <c r="T51" s="6">
        <v>31.58</v>
      </c>
      <c r="U51" s="2"/>
      <c r="V51" s="7">
        <f t="shared" si="29"/>
        <v>0</v>
      </c>
      <c r="W51" s="2"/>
      <c r="X51" s="6">
        <f t="shared" si="30"/>
        <v>-31.58</v>
      </c>
      <c r="Y51" s="2"/>
      <c r="Z51" s="7">
        <f t="shared" si="31"/>
        <v>-1</v>
      </c>
    </row>
    <row r="52" spans="1:26" s="24" customFormat="1" hidden="1" outlineLevel="2" x14ac:dyDescent="0.25">
      <c r="A52" s="25"/>
      <c r="B52" s="11" t="str">
        <f>CONCATENATE("          ", "6373", " - ", "MAINTENANCE CONTRACTS")</f>
        <v xml:space="preserve">          6373 - MAINTENANCE CONTRACTS</v>
      </c>
      <c r="C52" s="11"/>
      <c r="D52" s="6">
        <v>2591.4699999999998</v>
      </c>
      <c r="E52" s="2"/>
      <c r="F52" s="7">
        <f t="shared" si="24"/>
        <v>0</v>
      </c>
      <c r="G52" s="2"/>
      <c r="H52" s="6">
        <v>2565</v>
      </c>
      <c r="I52" s="2"/>
      <c r="J52" s="7">
        <f t="shared" si="25"/>
        <v>0</v>
      </c>
      <c r="K52" s="2"/>
      <c r="L52" s="6">
        <f t="shared" si="26"/>
        <v>26.4699999999998</v>
      </c>
      <c r="M52" s="2"/>
      <c r="N52" s="7">
        <f t="shared" si="27"/>
        <v>1.0319688109161715E-2</v>
      </c>
      <c r="O52" s="11"/>
      <c r="P52" s="6">
        <v>15852.470000000001</v>
      </c>
      <c r="Q52" s="2"/>
      <c r="R52" s="7">
        <f t="shared" si="28"/>
        <v>0</v>
      </c>
      <c r="S52" s="2"/>
      <c r="T52" s="6">
        <v>22304.26</v>
      </c>
      <c r="U52" s="2"/>
      <c r="V52" s="7">
        <f t="shared" si="29"/>
        <v>0</v>
      </c>
      <c r="W52" s="2"/>
      <c r="X52" s="6">
        <f t="shared" si="30"/>
        <v>-6451.7899999999972</v>
      </c>
      <c r="Y52" s="2"/>
      <c r="Z52" s="7">
        <f t="shared" si="31"/>
        <v>-0.28926267896805352</v>
      </c>
    </row>
    <row r="53" spans="1:26" s="24" customFormat="1" hidden="1" outlineLevel="2" x14ac:dyDescent="0.25">
      <c r="A53" s="25"/>
      <c r="B53" s="11" t="str">
        <f>CONCATENATE("          ", "6375", " - ", "OUTSIDE REPAIRS &amp; MAINTENANCE")</f>
        <v xml:space="preserve">          6375 - OUTSIDE REPAIRS &amp; MAINTENANCE</v>
      </c>
      <c r="C53" s="11"/>
      <c r="D53" s="6"/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1"/>
      <c r="P53" s="6"/>
      <c r="Q53" s="2"/>
      <c r="R53" s="7">
        <f t="shared" si="28"/>
        <v>0</v>
      </c>
      <c r="S53" s="2"/>
      <c r="T53" s="6">
        <v>524.99</v>
      </c>
      <c r="U53" s="2"/>
      <c r="V53" s="7">
        <f t="shared" si="29"/>
        <v>0</v>
      </c>
      <c r="W53" s="2"/>
      <c r="X53" s="6">
        <f t="shared" si="30"/>
        <v>-524.99</v>
      </c>
      <c r="Y53" s="2"/>
      <c r="Z53" s="7">
        <f t="shared" si="31"/>
        <v>-1</v>
      </c>
    </row>
    <row r="54" spans="1:26" s="26" customFormat="1" outlineLevel="1" collapsed="1" x14ac:dyDescent="0.25">
      <c r="A54" s="27"/>
      <c r="B54" s="13" t="str">
        <f>CONCATENATE("     ","Subscriptions &amp; Dues                              ")</f>
        <v xml:space="preserve">     Subscriptions &amp; Dues                              </v>
      </c>
      <c r="C54" s="13"/>
      <c r="D54" s="1">
        <f>SUM(OSRRefD22_11x_0)</f>
        <v>0</v>
      </c>
      <c r="E54" s="1"/>
      <c r="F54" s="5">
        <f t="shared" ref="F54:F60" si="32">IF(D$12=0,0,D54/D$12)</f>
        <v>0</v>
      </c>
      <c r="G54" s="1"/>
      <c r="H54" s="1">
        <f>SUM(OSRRefH22_11x_0)</f>
        <v>0</v>
      </c>
      <c r="I54" s="1"/>
      <c r="J54" s="5">
        <f t="shared" ref="J54:J60" si="33">IF(H$12=0,0,H54/H$12)</f>
        <v>0</v>
      </c>
      <c r="K54" s="1"/>
      <c r="L54" s="1">
        <f t="shared" ref="L54:L60" si="34">+D54-H54</f>
        <v>0</v>
      </c>
      <c r="M54" s="1"/>
      <c r="N54" s="5">
        <f t="shared" ref="N54:N60" si="35">IF(H54=0,0,L54/H54)</f>
        <v>0</v>
      </c>
      <c r="O54" s="13"/>
      <c r="P54" s="1">
        <f>SUM(OSRRefP22_11x_0)</f>
        <v>1725</v>
      </c>
      <c r="Q54" s="1"/>
      <c r="R54" s="5">
        <f t="shared" ref="R54:R60" si="36">IF(P$12=0,0,P54/P$12)</f>
        <v>0</v>
      </c>
      <c r="S54" s="1"/>
      <c r="T54" s="1">
        <f>SUM(OSRRefT22_11x_0)</f>
        <v>1795</v>
      </c>
      <c r="U54" s="1"/>
      <c r="V54" s="5">
        <f t="shared" ref="V54:V60" si="37">IF(T$12=0,0,T54/T$12)</f>
        <v>0</v>
      </c>
      <c r="W54" s="1"/>
      <c r="X54" s="1">
        <f t="shared" ref="X54:X60" si="38">+P54-T54</f>
        <v>-70</v>
      </c>
      <c r="Y54" s="1"/>
      <c r="Z54" s="5">
        <f t="shared" ref="Z54:Z60" si="39">IF(T54=0,0,X54/T54)</f>
        <v>-3.8997214484679667E-2</v>
      </c>
    </row>
    <row r="55" spans="1:26" s="24" customFormat="1" hidden="1" outlineLevel="2" x14ac:dyDescent="0.25">
      <c r="A55" s="25"/>
      <c r="B55" s="11" t="str">
        <f>CONCATENATE("          ", "6258", " - ", "MEMBERSHIP DUES")</f>
        <v xml:space="preserve">          6258 - MEMBERSHIP DUES</v>
      </c>
      <c r="C55" s="11"/>
      <c r="D55" s="6"/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0</v>
      </c>
      <c r="M55" s="2"/>
      <c r="N55" s="7">
        <f t="shared" si="35"/>
        <v>0</v>
      </c>
      <c r="O55" s="11"/>
      <c r="P55" s="6">
        <v>1725</v>
      </c>
      <c r="Q55" s="2"/>
      <c r="R55" s="7">
        <f t="shared" si="36"/>
        <v>0</v>
      </c>
      <c r="S55" s="2"/>
      <c r="T55" s="6">
        <v>1795</v>
      </c>
      <c r="U55" s="2"/>
      <c r="V55" s="7">
        <f t="shared" si="37"/>
        <v>0</v>
      </c>
      <c r="W55" s="2"/>
      <c r="X55" s="6">
        <f t="shared" si="38"/>
        <v>-70</v>
      </c>
      <c r="Y55" s="2"/>
      <c r="Z55" s="7">
        <f t="shared" si="39"/>
        <v>-3.8997214484679667E-2</v>
      </c>
    </row>
    <row r="56" spans="1:26" s="26" customFormat="1" outlineLevel="1" collapsed="1" x14ac:dyDescent="0.25">
      <c r="A56" s="27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SUM(OSRRefD22_12x_0)</f>
        <v>0</v>
      </c>
      <c r="E56" s="1"/>
      <c r="F56" s="5">
        <f t="shared" si="32"/>
        <v>0</v>
      </c>
      <c r="G56" s="1"/>
      <c r="H56" s="1">
        <f>SUM(OSRRefH22_12x_0)</f>
        <v>125</v>
      </c>
      <c r="I56" s="1"/>
      <c r="J56" s="5">
        <f t="shared" si="33"/>
        <v>0</v>
      </c>
      <c r="K56" s="1"/>
      <c r="L56" s="1">
        <f t="shared" si="34"/>
        <v>-125</v>
      </c>
      <c r="M56" s="1"/>
      <c r="N56" s="5">
        <f t="shared" si="35"/>
        <v>-1</v>
      </c>
      <c r="O56" s="13"/>
      <c r="P56" s="1">
        <f>SUM(OSRRefP22_12x_0)</f>
        <v>550.81999999999994</v>
      </c>
      <c r="Q56" s="1"/>
      <c r="R56" s="5">
        <f t="shared" si="36"/>
        <v>0</v>
      </c>
      <c r="S56" s="1"/>
      <c r="T56" s="1">
        <f>SUM(OSRRefT22_12x_0)</f>
        <v>3927.7200000000003</v>
      </c>
      <c r="U56" s="1"/>
      <c r="V56" s="5">
        <f t="shared" si="37"/>
        <v>0</v>
      </c>
      <c r="W56" s="1"/>
      <c r="X56" s="1">
        <f t="shared" si="38"/>
        <v>-3376.9000000000005</v>
      </c>
      <c r="Y56" s="1"/>
      <c r="Z56" s="5">
        <f t="shared" si="39"/>
        <v>-0.85976087908506726</v>
      </c>
    </row>
    <row r="57" spans="1:26" s="24" customFormat="1" hidden="1" outlineLevel="2" x14ac:dyDescent="0.25">
      <c r="A57" s="25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/>
      <c r="Q57" s="2"/>
      <c r="R57" s="7">
        <f t="shared" si="36"/>
        <v>0</v>
      </c>
      <c r="S57" s="2"/>
      <c r="T57" s="6">
        <v>217.02</v>
      </c>
      <c r="U57" s="2"/>
      <c r="V57" s="7">
        <f t="shared" si="37"/>
        <v>0</v>
      </c>
      <c r="W57" s="2"/>
      <c r="X57" s="6">
        <f t="shared" si="38"/>
        <v>-217.02</v>
      </c>
      <c r="Y57" s="2"/>
      <c r="Z57" s="7">
        <f t="shared" si="39"/>
        <v>-1</v>
      </c>
    </row>
    <row r="58" spans="1:26" s="24" customFormat="1" hidden="1" outlineLevel="2" x14ac:dyDescent="0.25">
      <c r="A58" s="25"/>
      <c r="B58" s="11" t="str">
        <f>CONCATENATE("          ", "6235", " - ", "COVID-19 EXPENSES")</f>
        <v xml:space="preserve">          6235 - COVID-19 EXPENSES</v>
      </c>
      <c r="C58" s="11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1"/>
      <c r="P58" s="6">
        <v>106.94</v>
      </c>
      <c r="Q58" s="2"/>
      <c r="R58" s="7">
        <f t="shared" si="36"/>
        <v>0</v>
      </c>
      <c r="S58" s="2"/>
      <c r="T58" s="6"/>
      <c r="U58" s="2"/>
      <c r="V58" s="7">
        <f t="shared" si="37"/>
        <v>0</v>
      </c>
      <c r="W58" s="2"/>
      <c r="X58" s="6">
        <f t="shared" si="38"/>
        <v>106.94</v>
      </c>
      <c r="Y58" s="2"/>
      <c r="Z58" s="7">
        <f t="shared" si="39"/>
        <v>0</v>
      </c>
    </row>
    <row r="59" spans="1:26" s="24" customFormat="1" hidden="1" outlineLevel="2" x14ac:dyDescent="0.25">
      <c r="A59" s="25"/>
      <c r="B59" s="11" t="str">
        <f>CONCATENATE("          ", "6241", " - ", "OFFICE EXPENSE")</f>
        <v xml:space="preserve">          6241 - OFFICE EXPENSE</v>
      </c>
      <c r="C59" s="11"/>
      <c r="D59" s="6"/>
      <c r="E59" s="2"/>
      <c r="F59" s="7">
        <f t="shared" si="32"/>
        <v>0</v>
      </c>
      <c r="G59" s="2"/>
      <c r="H59" s="6">
        <v>125</v>
      </c>
      <c r="I59" s="2"/>
      <c r="J59" s="7">
        <f t="shared" si="33"/>
        <v>0</v>
      </c>
      <c r="K59" s="2"/>
      <c r="L59" s="6">
        <f t="shared" si="34"/>
        <v>-125</v>
      </c>
      <c r="M59" s="2"/>
      <c r="N59" s="7">
        <f t="shared" si="35"/>
        <v>-1</v>
      </c>
      <c r="O59" s="11"/>
      <c r="P59" s="6">
        <v>443.88</v>
      </c>
      <c r="Q59" s="2"/>
      <c r="R59" s="7">
        <f t="shared" si="36"/>
        <v>0</v>
      </c>
      <c r="S59" s="2"/>
      <c r="T59" s="6">
        <v>3678.84</v>
      </c>
      <c r="U59" s="2"/>
      <c r="V59" s="7">
        <f t="shared" si="37"/>
        <v>0</v>
      </c>
      <c r="W59" s="2"/>
      <c r="X59" s="6">
        <f t="shared" si="38"/>
        <v>-3234.96</v>
      </c>
      <c r="Y59" s="2"/>
      <c r="Z59" s="7">
        <f t="shared" si="39"/>
        <v>-0.87934240140913977</v>
      </c>
    </row>
    <row r="60" spans="1:26" s="24" customFormat="1" hidden="1" outlineLevel="2" x14ac:dyDescent="0.25">
      <c r="A60" s="25"/>
      <c r="B60" s="11" t="str">
        <f>CONCATENATE("          ", "6245", " - ", "PRINTING")</f>
        <v xml:space="preserve">          6245 - PRINTING</v>
      </c>
      <c r="C60" s="11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1"/>
      <c r="P60" s="6"/>
      <c r="Q60" s="2"/>
      <c r="R60" s="7">
        <f t="shared" si="36"/>
        <v>0</v>
      </c>
      <c r="S60" s="2"/>
      <c r="T60" s="6">
        <v>31.86</v>
      </c>
      <c r="U60" s="2"/>
      <c r="V60" s="7">
        <f t="shared" si="37"/>
        <v>0</v>
      </c>
      <c r="W60" s="2"/>
      <c r="X60" s="6">
        <f t="shared" si="38"/>
        <v>-31.86</v>
      </c>
      <c r="Y60" s="2"/>
      <c r="Z60" s="7">
        <f t="shared" si="39"/>
        <v>-1</v>
      </c>
    </row>
    <row r="61" spans="1:26" s="26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SUM(OSRRefD22_13x_0)</f>
        <v>324.37</v>
      </c>
      <c r="E61" s="1"/>
      <c r="F61" s="5">
        <f t="shared" ref="F61:F66" si="40">IF(D$12=0,0,D61/D$12)</f>
        <v>0</v>
      </c>
      <c r="G61" s="1"/>
      <c r="H61" s="1">
        <f>SUM(OSRRefH22_13x_0)</f>
        <v>263.81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60.56</v>
      </c>
      <c r="M61" s="1"/>
      <c r="N61" s="5">
        <f t="shared" ref="N61:N66" si="43">IF(H61=0,0,L61/H61)</f>
        <v>0.2295591524203025</v>
      </c>
      <c r="O61" s="13"/>
      <c r="P61" s="1">
        <f>SUM(OSRRefP22_13x_0)</f>
        <v>3164.15</v>
      </c>
      <c r="Q61" s="1"/>
      <c r="R61" s="5">
        <f t="shared" ref="R61:R66" si="44">IF(P$12=0,0,P61/P$12)</f>
        <v>0</v>
      </c>
      <c r="S61" s="1"/>
      <c r="T61" s="1">
        <f>SUM(OSRRefT22_13x_0)</f>
        <v>2920.14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244.01000000000022</v>
      </c>
      <c r="Y61" s="1"/>
      <c r="Z61" s="5">
        <f t="shared" ref="Z61:Z66" si="47">IF(T61=0,0,X61/T61)</f>
        <v>8.3561062140856332E-2</v>
      </c>
    </row>
    <row r="62" spans="1:26" s="24" customFormat="1" hidden="1" outlineLevel="2" x14ac:dyDescent="0.25">
      <c r="A62" s="25"/>
      <c r="B62" s="11" t="str">
        <f>CONCATENATE("          ", "6309", " - ", "TELEPHONE")</f>
        <v xml:space="preserve">          6309 - TELEPHONE</v>
      </c>
      <c r="C62" s="11"/>
      <c r="D62" s="6">
        <v>324.37</v>
      </c>
      <c r="E62" s="2"/>
      <c r="F62" s="7">
        <f t="shared" si="40"/>
        <v>0</v>
      </c>
      <c r="G62" s="2"/>
      <c r="H62" s="6">
        <v>263.81</v>
      </c>
      <c r="I62" s="2"/>
      <c r="J62" s="7">
        <f t="shared" si="41"/>
        <v>0</v>
      </c>
      <c r="K62" s="2"/>
      <c r="L62" s="6">
        <f t="shared" si="42"/>
        <v>60.56</v>
      </c>
      <c r="M62" s="2"/>
      <c r="N62" s="7">
        <f t="shared" si="43"/>
        <v>0.2295591524203025</v>
      </c>
      <c r="O62" s="11"/>
      <c r="P62" s="6">
        <v>3164.15</v>
      </c>
      <c r="Q62" s="2"/>
      <c r="R62" s="7">
        <f t="shared" si="44"/>
        <v>0</v>
      </c>
      <c r="S62" s="2"/>
      <c r="T62" s="6">
        <v>2920.14</v>
      </c>
      <c r="U62" s="2"/>
      <c r="V62" s="7">
        <f t="shared" si="45"/>
        <v>0</v>
      </c>
      <c r="W62" s="2"/>
      <c r="X62" s="6">
        <f t="shared" si="46"/>
        <v>244.01000000000022</v>
      </c>
      <c r="Y62" s="2"/>
      <c r="Z62" s="7">
        <f t="shared" si="47"/>
        <v>8.3561062140856332E-2</v>
      </c>
    </row>
    <row r="63" spans="1:26" s="26" customFormat="1" outlineLevel="1" collapsed="1" x14ac:dyDescent="0.25">
      <c r="A63" s="27"/>
      <c r="B63" s="13" t="str">
        <f>CONCATENATE("     ","Training                                          ")</f>
        <v xml:space="preserve">     Training                                          </v>
      </c>
      <c r="C63" s="13"/>
      <c r="D63" s="1">
        <f>SUM(OSRRefD22_14x_0)</f>
        <v>0</v>
      </c>
      <c r="E63" s="1"/>
      <c r="F63" s="5">
        <f t="shared" si="40"/>
        <v>0</v>
      </c>
      <c r="G63" s="1"/>
      <c r="H63" s="1">
        <f>SUM(OSRRefH22_14x_0)</f>
        <v>878.37</v>
      </c>
      <c r="I63" s="1"/>
      <c r="J63" s="5">
        <f t="shared" si="41"/>
        <v>0</v>
      </c>
      <c r="K63" s="1"/>
      <c r="L63" s="1">
        <f t="shared" si="42"/>
        <v>-878.37</v>
      </c>
      <c r="M63" s="1"/>
      <c r="N63" s="5">
        <f t="shared" si="43"/>
        <v>-1</v>
      </c>
      <c r="O63" s="13"/>
      <c r="P63" s="1">
        <f>SUM(OSRRefP22_14x_0)</f>
        <v>1126.5</v>
      </c>
      <c r="Q63" s="1"/>
      <c r="R63" s="5">
        <f t="shared" si="44"/>
        <v>0</v>
      </c>
      <c r="S63" s="1"/>
      <c r="T63" s="1">
        <f>SUM(OSRRefT22_14x_0)</f>
        <v>4192.29</v>
      </c>
      <c r="U63" s="1"/>
      <c r="V63" s="5">
        <f t="shared" si="45"/>
        <v>0</v>
      </c>
      <c r="W63" s="1"/>
      <c r="X63" s="1">
        <f t="shared" si="46"/>
        <v>-3065.79</v>
      </c>
      <c r="Y63" s="1"/>
      <c r="Z63" s="5">
        <f t="shared" si="47"/>
        <v>-0.73129244398646087</v>
      </c>
    </row>
    <row r="64" spans="1:26" s="24" customFormat="1" hidden="1" outlineLevel="2" x14ac:dyDescent="0.25">
      <c r="A64" s="25"/>
      <c r="B64" s="11" t="str">
        <f>CONCATENATE("          ", "6376", " - ", "TRAINING")</f>
        <v xml:space="preserve">          6376 - TRAINING</v>
      </c>
      <c r="C64" s="11"/>
      <c r="D64" s="6"/>
      <c r="E64" s="2"/>
      <c r="F64" s="7">
        <f t="shared" si="40"/>
        <v>0</v>
      </c>
      <c r="G64" s="2"/>
      <c r="H64" s="6">
        <v>878.37</v>
      </c>
      <c r="I64" s="2"/>
      <c r="J64" s="7">
        <f t="shared" si="41"/>
        <v>0</v>
      </c>
      <c r="K64" s="2"/>
      <c r="L64" s="6">
        <f t="shared" si="42"/>
        <v>-878.37</v>
      </c>
      <c r="M64" s="2"/>
      <c r="N64" s="7">
        <f t="shared" si="43"/>
        <v>-1</v>
      </c>
      <c r="O64" s="11"/>
      <c r="P64" s="6">
        <v>1126.5</v>
      </c>
      <c r="Q64" s="2"/>
      <c r="R64" s="7">
        <f t="shared" si="44"/>
        <v>0</v>
      </c>
      <c r="S64" s="2"/>
      <c r="T64" s="6">
        <v>4192.29</v>
      </c>
      <c r="U64" s="2"/>
      <c r="V64" s="7">
        <f t="shared" si="45"/>
        <v>0</v>
      </c>
      <c r="W64" s="2"/>
      <c r="X64" s="6">
        <f t="shared" si="46"/>
        <v>-3065.79</v>
      </c>
      <c r="Y64" s="2"/>
      <c r="Z64" s="7">
        <f t="shared" si="47"/>
        <v>-0.73129244398646087</v>
      </c>
    </row>
    <row r="65" spans="1:26" s="26" customFormat="1" outlineLevel="1" collapsed="1" x14ac:dyDescent="0.25">
      <c r="A65" s="27"/>
      <c r="B65" s="13" t="str">
        <f>CONCATENATE("     ","Travel                                            ")</f>
        <v xml:space="preserve">     Travel                                            </v>
      </c>
      <c r="C65" s="13"/>
      <c r="D65" s="1">
        <f>SUM(OSRRefD22_15x_0)</f>
        <v>0</v>
      </c>
      <c r="E65" s="1"/>
      <c r="F65" s="5">
        <f t="shared" si="40"/>
        <v>0</v>
      </c>
      <c r="G65" s="1"/>
      <c r="H65" s="1">
        <f>SUM(OSRRefH22_15x_0)</f>
        <v>40.770000000000003</v>
      </c>
      <c r="I65" s="1"/>
      <c r="J65" s="5">
        <f t="shared" si="41"/>
        <v>0</v>
      </c>
      <c r="K65" s="1"/>
      <c r="L65" s="1">
        <f t="shared" si="42"/>
        <v>-40.770000000000003</v>
      </c>
      <c r="M65" s="1"/>
      <c r="N65" s="5">
        <f t="shared" si="43"/>
        <v>-1</v>
      </c>
      <c r="O65" s="13"/>
      <c r="P65" s="1">
        <f>SUM(OSRRefP22_15x_0)</f>
        <v>0</v>
      </c>
      <c r="Q65" s="1"/>
      <c r="R65" s="5">
        <f t="shared" si="44"/>
        <v>0</v>
      </c>
      <c r="S65" s="1"/>
      <c r="T65" s="1">
        <f>SUM(OSRRefT22_15x_0)</f>
        <v>3716.07</v>
      </c>
      <c r="U65" s="1"/>
      <c r="V65" s="5">
        <f t="shared" si="45"/>
        <v>0</v>
      </c>
      <c r="W65" s="1"/>
      <c r="X65" s="1">
        <f t="shared" si="46"/>
        <v>-3716.07</v>
      </c>
      <c r="Y65" s="1"/>
      <c r="Z65" s="5">
        <f t="shared" si="47"/>
        <v>-1</v>
      </c>
    </row>
    <row r="66" spans="1:26" s="24" customFormat="1" hidden="1" outlineLevel="2" x14ac:dyDescent="0.25">
      <c r="A66" s="25"/>
      <c r="B66" s="11" t="str">
        <f>CONCATENATE("          ", "6292", " - ", "TRAVEL/CONFERENCE")</f>
        <v xml:space="preserve">          6292 - TRAVEL/CONFERENCE</v>
      </c>
      <c r="C66" s="11"/>
      <c r="D66" s="6"/>
      <c r="E66" s="2"/>
      <c r="F66" s="7">
        <f t="shared" si="40"/>
        <v>0</v>
      </c>
      <c r="G66" s="2"/>
      <c r="H66" s="6">
        <v>40.770000000000003</v>
      </c>
      <c r="I66" s="2"/>
      <c r="J66" s="7">
        <f t="shared" si="41"/>
        <v>0</v>
      </c>
      <c r="K66" s="2"/>
      <c r="L66" s="6">
        <f t="shared" si="42"/>
        <v>-40.770000000000003</v>
      </c>
      <c r="M66" s="2"/>
      <c r="N66" s="7">
        <f t="shared" si="43"/>
        <v>-1</v>
      </c>
      <c r="O66" s="11"/>
      <c r="P66" s="6"/>
      <c r="Q66" s="2"/>
      <c r="R66" s="7">
        <f t="shared" si="44"/>
        <v>0</v>
      </c>
      <c r="S66" s="2"/>
      <c r="T66" s="6">
        <v>3716.07</v>
      </c>
      <c r="U66" s="2"/>
      <c r="V66" s="7">
        <f t="shared" si="45"/>
        <v>0</v>
      </c>
      <c r="W66" s="2"/>
      <c r="X66" s="6">
        <f t="shared" si="46"/>
        <v>-3716.07</v>
      </c>
      <c r="Y66" s="2"/>
      <c r="Z66" s="7">
        <f t="shared" si="47"/>
        <v>-1</v>
      </c>
    </row>
    <row r="67" spans="1:26" s="61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9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8" t="s">
        <v>3</v>
      </c>
      <c r="C70" s="28"/>
      <c r="D70" s="20">
        <f>+D16-D18+D68</f>
        <v>-36488.950000000004</v>
      </c>
      <c r="E70" s="14"/>
      <c r="F70" s="22">
        <f>IF(D$12=0,0,D70/D$12)</f>
        <v>0</v>
      </c>
      <c r="G70" s="14"/>
      <c r="H70" s="20">
        <f>+H16-H18+H68</f>
        <v>-39380.729999999996</v>
      </c>
      <c r="I70" s="14"/>
      <c r="J70" s="22">
        <f>IF(H$12=0,0,H70/H$12)</f>
        <v>0</v>
      </c>
      <c r="K70" s="15"/>
      <c r="L70" s="20">
        <f>+D70-H70</f>
        <v>2891.7799999999916</v>
      </c>
      <c r="M70" s="15"/>
      <c r="N70" s="22">
        <f>IF(H70=0,0,L70/H70)</f>
        <v>-7.3431345736861456E-2</v>
      </c>
      <c r="O70" s="29"/>
      <c r="P70" s="20">
        <f>+P16-P18+P68</f>
        <v>-268227.72000000003</v>
      </c>
      <c r="Q70" s="14"/>
      <c r="R70" s="22">
        <f>IF(P$12=0,0,P70/P$12)</f>
        <v>0</v>
      </c>
      <c r="S70" s="14"/>
      <c r="T70" s="20">
        <f>+T16-T18+T68</f>
        <v>-476355.03</v>
      </c>
      <c r="U70" s="14"/>
      <c r="V70" s="22">
        <f>IF(T$12=0,0,T70/T$12)</f>
        <v>0</v>
      </c>
      <c r="W70" s="15"/>
      <c r="X70" s="20">
        <f>+P70-T70</f>
        <v>208127.31</v>
      </c>
      <c r="Y70" s="15"/>
      <c r="Z70" s="22">
        <f>IF(T70=0,0,X70/T70)</f>
        <v>-0.43691636886882457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4</v>
      </c>
      <c r="C74" s="28"/>
      <c r="D74" s="30">
        <f>+D70-D72</f>
        <v>-36488.950000000004</v>
      </c>
      <c r="E74" s="14"/>
      <c r="F74" s="36">
        <f>IF(D$12=0,0,D74/D$12)</f>
        <v>0</v>
      </c>
      <c r="G74" s="14"/>
      <c r="H74" s="30">
        <f>+H70-H72</f>
        <v>-39380.729999999996</v>
      </c>
      <c r="I74" s="14"/>
      <c r="J74" s="36">
        <f>IF(H$12=0,0,H74/H$12)</f>
        <v>0</v>
      </c>
      <c r="K74" s="15"/>
      <c r="L74" s="30">
        <f>D74-H74</f>
        <v>2891.7799999999916</v>
      </c>
      <c r="M74" s="15"/>
      <c r="N74" s="36">
        <f>IF(H74=0,0,L74/H74)</f>
        <v>-7.3431345736861456E-2</v>
      </c>
      <c r="O74" s="29"/>
      <c r="P74" s="30">
        <f>+P70-P72</f>
        <v>-268227.72000000003</v>
      </c>
      <c r="Q74" s="14"/>
      <c r="R74" s="36">
        <f>IF(P$12=0,0,P74/P$12)</f>
        <v>0</v>
      </c>
      <c r="S74" s="14"/>
      <c r="T74" s="30">
        <f>+T70-T72</f>
        <v>-476355.03</v>
      </c>
      <c r="U74" s="14"/>
      <c r="V74" s="36">
        <f>IF(T$12=0,0,T74/T$12)</f>
        <v>0</v>
      </c>
      <c r="W74" s="15"/>
      <c r="X74" s="30">
        <f>P74-T74</f>
        <v>208127.31</v>
      </c>
      <c r="Y74" s="15"/>
      <c r="Z74" s="36">
        <f>IF(T74=0,0,X74/T74)</f>
        <v>-0.43691636886882457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5</v>
      </c>
      <c r="C77" s="28"/>
      <c r="D77" s="32">
        <f>SUM(D74:D76)</f>
        <v>-36488.950000000004</v>
      </c>
      <c r="E77" s="14"/>
      <c r="F77" s="31">
        <f>IF(D$12=0,0,D77/D$12)</f>
        <v>0</v>
      </c>
      <c r="G77" s="14"/>
      <c r="H77" s="32">
        <f>SUM(H74:H76)</f>
        <v>-39380.729999999996</v>
      </c>
      <c r="I77" s="14"/>
      <c r="J77" s="31">
        <f>IF(H$12=0,0,H77/H$12)</f>
        <v>0</v>
      </c>
      <c r="K77" s="15"/>
      <c r="L77" s="32">
        <f>+D77-H77</f>
        <v>2891.7799999999916</v>
      </c>
      <c r="M77" s="15"/>
      <c r="N77" s="31">
        <f>IF(H77=0,0,L77/H77)</f>
        <v>-7.3431345736861456E-2</v>
      </c>
      <c r="O77" s="29"/>
      <c r="P77" s="32">
        <f>SUM(P74:P76)</f>
        <v>-268227.72000000003</v>
      </c>
      <c r="Q77" s="14"/>
      <c r="R77" s="31">
        <f>IF(P$12=0,0,P77/P$12)</f>
        <v>0</v>
      </c>
      <c r="S77" s="14"/>
      <c r="T77" s="32">
        <f>SUM(T74:T76)</f>
        <v>-476355.03</v>
      </c>
      <c r="U77" s="14"/>
      <c r="V77" s="31">
        <f>IF(T$12=0,0,T77/T$12)</f>
        <v>0</v>
      </c>
      <c r="W77" s="15"/>
      <c r="X77" s="32">
        <f>+P77-T77</f>
        <v>208127.31</v>
      </c>
      <c r="Y77" s="15"/>
      <c r="Z77" s="31">
        <f>IF(T77=0,0,X77/T77)</f>
        <v>-0.43691636886882457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62">
        <v>44238.496034918979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9" t="s">
        <v>313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6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","202", " - ", "Accounting")</f>
        <v>Department 202 - Accounting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46973.339999999989</v>
      </c>
      <c r="E18" s="21"/>
      <c r="F18" s="35">
        <f t="shared" ref="F18:F27" si="0">IF(D$12=0,0,D18/D$12)</f>
        <v>0</v>
      </c>
      <c r="G18" s="21"/>
      <c r="H18" s="21">
        <f>SUM(OSRRefH22x_0)</f>
        <v>62425.07</v>
      </c>
      <c r="I18" s="21"/>
      <c r="J18" s="35">
        <f t="shared" ref="J18:J27" si="1">IF(H$12=0,0,H18/H$12)</f>
        <v>0</v>
      </c>
      <c r="K18" s="4"/>
      <c r="L18" s="21">
        <f t="shared" ref="L18:L27" si="2">+D18-H18</f>
        <v>-15451.73000000001</v>
      </c>
      <c r="M18" s="4"/>
      <c r="N18" s="35">
        <f t="shared" ref="N18:N27" si="3">IF(H18=0,0,L18/H18)</f>
        <v>-0.24752443209114561</v>
      </c>
      <c r="O18" s="10"/>
      <c r="P18" s="21">
        <f>SUM(OSRRefP22x_0)</f>
        <v>271970.69</v>
      </c>
      <c r="Q18" s="21"/>
      <c r="R18" s="35">
        <f t="shared" ref="R18:R27" si="4">IF(P$12=0,0,P18/P$12)</f>
        <v>0</v>
      </c>
      <c r="S18" s="21"/>
      <c r="T18" s="21">
        <f>SUM(OSRRefT22x_0)</f>
        <v>368582.25999999995</v>
      </c>
      <c r="U18" s="21"/>
      <c r="V18" s="35">
        <f t="shared" ref="V18:V27" si="5">IF(T$12=0,0,T18/T$12)</f>
        <v>0</v>
      </c>
      <c r="W18" s="4"/>
      <c r="X18" s="21">
        <f t="shared" ref="X18:X27" si="6">+P18-T18</f>
        <v>-96611.569999999949</v>
      </c>
      <c r="Y18" s="4"/>
      <c r="Z18" s="35">
        <f t="shared" ref="Z18:Z27" si="7">IF(T18=0,0,X18/T18)</f>
        <v>-0.26211671174841666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13584.88</v>
      </c>
      <c r="E19" s="1"/>
      <c r="F19" s="5">
        <f t="shared" si="0"/>
        <v>0</v>
      </c>
      <c r="G19" s="1"/>
      <c r="H19" s="1">
        <f>SUM(OSRRefH22_0x_0)</f>
        <v>15757.270000000002</v>
      </c>
      <c r="I19" s="1"/>
      <c r="J19" s="5">
        <f t="shared" si="1"/>
        <v>0</v>
      </c>
      <c r="K19" s="1"/>
      <c r="L19" s="1">
        <f t="shared" si="2"/>
        <v>-2172.3900000000031</v>
      </c>
      <c r="M19" s="1"/>
      <c r="N19" s="5">
        <f t="shared" si="3"/>
        <v>-0.13786588666691646</v>
      </c>
      <c r="O19" s="13"/>
      <c r="P19" s="1">
        <f>SUM(OSRRefP22_0x_0)</f>
        <v>93498.680000000008</v>
      </c>
      <c r="Q19" s="1"/>
      <c r="R19" s="5">
        <f t="shared" si="4"/>
        <v>0</v>
      </c>
      <c r="S19" s="1"/>
      <c r="T19" s="1">
        <f>SUM(OSRRefT22_0x_0)</f>
        <v>110542.91999999997</v>
      </c>
      <c r="U19" s="1"/>
      <c r="V19" s="5">
        <f t="shared" si="5"/>
        <v>0</v>
      </c>
      <c r="W19" s="1"/>
      <c r="X19" s="1">
        <f t="shared" si="6"/>
        <v>-17044.239999999962</v>
      </c>
      <c r="Y19" s="1"/>
      <c r="Z19" s="5">
        <f t="shared" si="7"/>
        <v>-0.15418662723944659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1630.13</v>
      </c>
      <c r="E20" s="2"/>
      <c r="F20" s="7">
        <f t="shared" si="0"/>
        <v>0</v>
      </c>
      <c r="G20" s="2"/>
      <c r="H20" s="6">
        <v>2047.74</v>
      </c>
      <c r="I20" s="2"/>
      <c r="J20" s="7">
        <f t="shared" si="1"/>
        <v>0</v>
      </c>
      <c r="K20" s="2"/>
      <c r="L20" s="6">
        <f t="shared" si="2"/>
        <v>-417.6099999999999</v>
      </c>
      <c r="M20" s="2"/>
      <c r="N20" s="7">
        <f t="shared" si="3"/>
        <v>-0.20393702325490537</v>
      </c>
      <c r="O20" s="11"/>
      <c r="P20" s="6">
        <v>13431.51</v>
      </c>
      <c r="Q20" s="2"/>
      <c r="R20" s="7">
        <f t="shared" si="4"/>
        <v>0</v>
      </c>
      <c r="S20" s="2"/>
      <c r="T20" s="6">
        <v>17482.16</v>
      </c>
      <c r="U20" s="2"/>
      <c r="V20" s="7">
        <f t="shared" si="5"/>
        <v>0</v>
      </c>
      <c r="W20" s="2"/>
      <c r="X20" s="6">
        <f t="shared" si="6"/>
        <v>-4050.6499999999996</v>
      </c>
      <c r="Y20" s="2"/>
      <c r="Z20" s="7">
        <f t="shared" si="7"/>
        <v>-0.23170191784081598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-16.73</v>
      </c>
      <c r="E21" s="2"/>
      <c r="F21" s="7">
        <f t="shared" si="0"/>
        <v>0</v>
      </c>
      <c r="G21" s="2"/>
      <c r="H21" s="6">
        <v>102.89</v>
      </c>
      <c r="I21" s="2"/>
      <c r="J21" s="7">
        <f t="shared" si="1"/>
        <v>0</v>
      </c>
      <c r="K21" s="2"/>
      <c r="L21" s="6">
        <f t="shared" si="2"/>
        <v>-119.62</v>
      </c>
      <c r="M21" s="2"/>
      <c r="N21" s="7">
        <f t="shared" si="3"/>
        <v>-1.1626008358441053</v>
      </c>
      <c r="O21" s="11"/>
      <c r="P21" s="6">
        <v>577.57000000000005</v>
      </c>
      <c r="Q21" s="2"/>
      <c r="R21" s="7">
        <f t="shared" si="4"/>
        <v>0</v>
      </c>
      <c r="S21" s="2"/>
      <c r="T21" s="6">
        <v>678.44</v>
      </c>
      <c r="U21" s="2"/>
      <c r="V21" s="7">
        <f t="shared" si="5"/>
        <v>0</v>
      </c>
      <c r="W21" s="2"/>
      <c r="X21" s="6">
        <f t="shared" si="6"/>
        <v>-100.87</v>
      </c>
      <c r="Y21" s="2"/>
      <c r="Z21" s="7">
        <f t="shared" si="7"/>
        <v>-0.14867932315311597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6236.66</v>
      </c>
      <c r="E22" s="2"/>
      <c r="F22" s="7">
        <f t="shared" si="0"/>
        <v>0</v>
      </c>
      <c r="G22" s="2"/>
      <c r="H22" s="6">
        <v>6259.57</v>
      </c>
      <c r="I22" s="2"/>
      <c r="J22" s="7">
        <f t="shared" si="1"/>
        <v>0</v>
      </c>
      <c r="K22" s="2"/>
      <c r="L22" s="6">
        <f t="shared" si="2"/>
        <v>-22.909999999999854</v>
      </c>
      <c r="M22" s="2"/>
      <c r="N22" s="7">
        <f t="shared" si="3"/>
        <v>-3.659995814408954E-3</v>
      </c>
      <c r="O22" s="11"/>
      <c r="P22" s="6">
        <v>41677.939999999995</v>
      </c>
      <c r="Q22" s="2"/>
      <c r="R22" s="7">
        <f t="shared" si="4"/>
        <v>0</v>
      </c>
      <c r="S22" s="2"/>
      <c r="T22" s="6">
        <v>41911.689999999995</v>
      </c>
      <c r="U22" s="2"/>
      <c r="V22" s="7">
        <f t="shared" si="5"/>
        <v>0</v>
      </c>
      <c r="W22" s="2"/>
      <c r="X22" s="6">
        <f t="shared" si="6"/>
        <v>-233.75</v>
      </c>
      <c r="Y22" s="2"/>
      <c r="Z22" s="7">
        <f t="shared" si="7"/>
        <v>-5.5772029235757383E-3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110.59</v>
      </c>
      <c r="E23" s="2"/>
      <c r="F23" s="7">
        <f t="shared" si="0"/>
        <v>0</v>
      </c>
      <c r="G23" s="2"/>
      <c r="H23" s="6">
        <v>78.680000000000007</v>
      </c>
      <c r="I23" s="2"/>
      <c r="J23" s="7">
        <f t="shared" si="1"/>
        <v>0</v>
      </c>
      <c r="K23" s="2"/>
      <c r="L23" s="6">
        <f t="shared" si="2"/>
        <v>31.909999999999997</v>
      </c>
      <c r="M23" s="2"/>
      <c r="N23" s="7">
        <f t="shared" si="3"/>
        <v>0.4055668530757498</v>
      </c>
      <c r="O23" s="11"/>
      <c r="P23" s="6">
        <v>455.03</v>
      </c>
      <c r="Q23" s="2"/>
      <c r="R23" s="7">
        <f t="shared" si="4"/>
        <v>0</v>
      </c>
      <c r="S23" s="2"/>
      <c r="T23" s="6">
        <v>659.56</v>
      </c>
      <c r="U23" s="2"/>
      <c r="V23" s="7">
        <f t="shared" si="5"/>
        <v>0</v>
      </c>
      <c r="W23" s="2"/>
      <c r="X23" s="6">
        <f t="shared" si="6"/>
        <v>-204.52999999999997</v>
      </c>
      <c r="Y23" s="2"/>
      <c r="Z23" s="7">
        <f t="shared" si="7"/>
        <v>-0.31010067317605677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2968.15</v>
      </c>
      <c r="E24" s="2"/>
      <c r="F24" s="7">
        <f t="shared" si="0"/>
        <v>0</v>
      </c>
      <c r="G24" s="2"/>
      <c r="H24" s="6">
        <v>3295.2</v>
      </c>
      <c r="I24" s="2"/>
      <c r="J24" s="7">
        <f t="shared" si="1"/>
        <v>0</v>
      </c>
      <c r="K24" s="2"/>
      <c r="L24" s="6">
        <f t="shared" si="2"/>
        <v>-327.04999999999973</v>
      </c>
      <c r="M24" s="2"/>
      <c r="N24" s="7">
        <f t="shared" si="3"/>
        <v>-9.9250424860402933E-2</v>
      </c>
      <c r="O24" s="11"/>
      <c r="P24" s="6">
        <v>16681.390000000003</v>
      </c>
      <c r="Q24" s="2"/>
      <c r="R24" s="7">
        <f t="shared" si="4"/>
        <v>0</v>
      </c>
      <c r="S24" s="2"/>
      <c r="T24" s="6">
        <v>17703.73</v>
      </c>
      <c r="U24" s="2"/>
      <c r="V24" s="7">
        <f t="shared" si="5"/>
        <v>0</v>
      </c>
      <c r="W24" s="2"/>
      <c r="X24" s="6">
        <f t="shared" si="6"/>
        <v>-1022.3399999999965</v>
      </c>
      <c r="Y24" s="2"/>
      <c r="Z24" s="7">
        <f t="shared" si="7"/>
        <v>-5.7747152718664173E-2</v>
      </c>
    </row>
    <row r="25" spans="1:26" s="24" customFormat="1" hidden="1" outlineLevel="2" x14ac:dyDescent="0.25">
      <c r="A25" s="25"/>
      <c r="B25" s="11" t="str">
        <f>CONCATENATE("          ", "6118", " - ", "VACATION")</f>
        <v xml:space="preserve">          6118 - VACATION</v>
      </c>
      <c r="C25" s="11"/>
      <c r="D25" s="6">
        <v>1606.1</v>
      </c>
      <c r="E25" s="2"/>
      <c r="F25" s="7">
        <f t="shared" si="0"/>
        <v>0</v>
      </c>
      <c r="G25" s="2"/>
      <c r="H25" s="6">
        <v>1866.76</v>
      </c>
      <c r="I25" s="2"/>
      <c r="J25" s="7">
        <f t="shared" si="1"/>
        <v>0</v>
      </c>
      <c r="K25" s="2"/>
      <c r="L25" s="6">
        <f t="shared" si="2"/>
        <v>-260.66000000000008</v>
      </c>
      <c r="M25" s="2"/>
      <c r="N25" s="7">
        <f t="shared" si="3"/>
        <v>-0.13963230409908081</v>
      </c>
      <c r="O25" s="11"/>
      <c r="P25" s="6">
        <v>11703.77</v>
      </c>
      <c r="Q25" s="2"/>
      <c r="R25" s="7">
        <f t="shared" si="4"/>
        <v>0</v>
      </c>
      <c r="S25" s="2"/>
      <c r="T25" s="6">
        <v>14875.12</v>
      </c>
      <c r="U25" s="2"/>
      <c r="V25" s="7">
        <f t="shared" si="5"/>
        <v>0</v>
      </c>
      <c r="W25" s="2"/>
      <c r="X25" s="6">
        <f t="shared" si="6"/>
        <v>-3171.3500000000004</v>
      </c>
      <c r="Y25" s="2"/>
      <c r="Z25" s="7">
        <f t="shared" si="7"/>
        <v>-0.21319828008110189</v>
      </c>
    </row>
    <row r="26" spans="1:26" s="24" customFormat="1" hidden="1" outlineLevel="2" x14ac:dyDescent="0.25">
      <c r="A26" s="25"/>
      <c r="B26" s="11" t="str">
        <f>CONCATENATE("          ", "6119", " - ", "SICK LEAVE")</f>
        <v xml:space="preserve">          6119 - SICK LEAVE</v>
      </c>
      <c r="C26" s="11"/>
      <c r="D26" s="6">
        <v>979.42</v>
      </c>
      <c r="E26" s="2"/>
      <c r="F26" s="7">
        <f t="shared" si="0"/>
        <v>0</v>
      </c>
      <c r="G26" s="2"/>
      <c r="H26" s="6">
        <v>1152.2</v>
      </c>
      <c r="I26" s="2"/>
      <c r="J26" s="7">
        <f t="shared" si="1"/>
        <v>0</v>
      </c>
      <c r="K26" s="2"/>
      <c r="L26" s="6">
        <f t="shared" si="2"/>
        <v>-172.78000000000009</v>
      </c>
      <c r="M26" s="2"/>
      <c r="N26" s="7">
        <f t="shared" si="3"/>
        <v>-0.1499566047561188</v>
      </c>
      <c r="O26" s="11"/>
      <c r="P26" s="6">
        <v>7345.65</v>
      </c>
      <c r="Q26" s="2"/>
      <c r="R26" s="7">
        <f t="shared" si="4"/>
        <v>0</v>
      </c>
      <c r="S26" s="2"/>
      <c r="T26" s="6">
        <v>11424.21</v>
      </c>
      <c r="U26" s="2"/>
      <c r="V26" s="7">
        <f t="shared" si="5"/>
        <v>0</v>
      </c>
      <c r="W26" s="2"/>
      <c r="X26" s="6">
        <f t="shared" si="6"/>
        <v>-4078.5599999999995</v>
      </c>
      <c r="Y26" s="2"/>
      <c r="Z26" s="7">
        <f t="shared" si="7"/>
        <v>-0.35701024403437959</v>
      </c>
    </row>
    <row r="27" spans="1:26" s="24" customFormat="1" hidden="1" outlineLevel="2" x14ac:dyDescent="0.25">
      <c r="A27" s="25"/>
      <c r="B27" s="11" t="str">
        <f>CONCATENATE("          ", "6156", " - ", "EMPLOYEE MEALS")</f>
        <v xml:space="preserve">          6156 - EMPLOYEE MEALS</v>
      </c>
      <c r="C27" s="11"/>
      <c r="D27" s="6">
        <v>70.56</v>
      </c>
      <c r="E27" s="2"/>
      <c r="F27" s="7">
        <f t="shared" si="0"/>
        <v>0</v>
      </c>
      <c r="G27" s="2"/>
      <c r="H27" s="6">
        <v>954.23</v>
      </c>
      <c r="I27" s="2"/>
      <c r="J27" s="7">
        <f t="shared" si="1"/>
        <v>0</v>
      </c>
      <c r="K27" s="2"/>
      <c r="L27" s="6">
        <f t="shared" si="2"/>
        <v>-883.67000000000007</v>
      </c>
      <c r="M27" s="2"/>
      <c r="N27" s="7">
        <f t="shared" si="3"/>
        <v>-0.92605556312419446</v>
      </c>
      <c r="O27" s="11"/>
      <c r="P27" s="6">
        <v>1625.82</v>
      </c>
      <c r="Q27" s="2"/>
      <c r="R27" s="7">
        <f t="shared" si="4"/>
        <v>0</v>
      </c>
      <c r="S27" s="2"/>
      <c r="T27" s="6">
        <v>5808.01</v>
      </c>
      <c r="U27" s="2"/>
      <c r="V27" s="7">
        <f t="shared" si="5"/>
        <v>0</v>
      </c>
      <c r="W27" s="2"/>
      <c r="X27" s="6">
        <f t="shared" si="6"/>
        <v>-4182.1900000000005</v>
      </c>
      <c r="Y27" s="2"/>
      <c r="Z27" s="7">
        <f t="shared" si="7"/>
        <v>-0.7200727960179133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25816.6</v>
      </c>
      <c r="E28" s="1"/>
      <c r="F28" s="5">
        <f t="shared" ref="F28:F32" si="8">IF(D$12=0,0,D28/D$12)</f>
        <v>0</v>
      </c>
      <c r="G28" s="1"/>
      <c r="H28" s="1">
        <f>SUM(OSRRefH22_1x_0)</f>
        <v>37117.58</v>
      </c>
      <c r="I28" s="1"/>
      <c r="J28" s="5">
        <f t="shared" ref="J28:J32" si="9">IF(H$12=0,0,H28/H$12)</f>
        <v>0</v>
      </c>
      <c r="K28" s="1"/>
      <c r="L28" s="1">
        <f t="shared" ref="L28:L32" si="10">+D28-H28</f>
        <v>-11300.980000000003</v>
      </c>
      <c r="M28" s="1"/>
      <c r="N28" s="5">
        <f t="shared" ref="N28:N32" si="11">IF(H28=0,0,L28/H28)</f>
        <v>-0.30446435354891138</v>
      </c>
      <c r="O28" s="13"/>
      <c r="P28" s="1">
        <f>SUM(OSRRefP22_1x_0)</f>
        <v>151676.12000000002</v>
      </c>
      <c r="Q28" s="1"/>
      <c r="R28" s="5">
        <f t="shared" ref="R28:R32" si="12">IF(P$12=0,0,P28/P$12)</f>
        <v>0</v>
      </c>
      <c r="S28" s="1"/>
      <c r="T28" s="1">
        <f>SUM(OSRRefT22_1x_0)</f>
        <v>222021.05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-70344.929999999964</v>
      </c>
      <c r="Y28" s="1"/>
      <c r="Z28" s="5">
        <f t="shared" ref="Z28:Z32" si="15">IF(T28=0,0,X28/T28)</f>
        <v>-0.31683901143607762</v>
      </c>
    </row>
    <row r="29" spans="1:26" s="24" customFormat="1" hidden="1" outlineLevel="2" x14ac:dyDescent="0.25">
      <c r="A29" s="25"/>
      <c r="B29" s="11" t="str">
        <f>CONCATENATE("          ", "6002", " - ", "STAFF SALARIES")</f>
        <v xml:space="preserve">          6002 - STAFF SALARIES</v>
      </c>
      <c r="C29" s="11"/>
      <c r="D29" s="6">
        <v>25816.6</v>
      </c>
      <c r="E29" s="2"/>
      <c r="F29" s="7">
        <f t="shared" si="8"/>
        <v>0</v>
      </c>
      <c r="G29" s="2"/>
      <c r="H29" s="6">
        <v>29234.27</v>
      </c>
      <c r="I29" s="2"/>
      <c r="J29" s="7">
        <f t="shared" si="9"/>
        <v>0</v>
      </c>
      <c r="K29" s="2"/>
      <c r="L29" s="6">
        <f t="shared" si="10"/>
        <v>-3417.6700000000019</v>
      </c>
      <c r="M29" s="2"/>
      <c r="N29" s="7">
        <f t="shared" si="11"/>
        <v>-0.11690628840740686</v>
      </c>
      <c r="O29" s="11"/>
      <c r="P29" s="6">
        <v>151294.36000000002</v>
      </c>
      <c r="Q29" s="2"/>
      <c r="R29" s="7">
        <f t="shared" si="12"/>
        <v>0</v>
      </c>
      <c r="S29" s="2"/>
      <c r="T29" s="6">
        <v>178672.18</v>
      </c>
      <c r="U29" s="2"/>
      <c r="V29" s="7">
        <f t="shared" si="13"/>
        <v>0</v>
      </c>
      <c r="W29" s="2"/>
      <c r="X29" s="6">
        <f t="shared" si="14"/>
        <v>-27377.819999999978</v>
      </c>
      <c r="Y29" s="2"/>
      <c r="Z29" s="7">
        <f t="shared" si="15"/>
        <v>-0.1532293387812248</v>
      </c>
    </row>
    <row r="30" spans="1:26" s="24" customFormat="1" hidden="1" outlineLevel="2" x14ac:dyDescent="0.25">
      <c r="A30" s="25"/>
      <c r="B30" s="11" t="str">
        <f>CONCATENATE("          ", "6005", " - ", "TEMPORARY WAGES-HOURLY")</f>
        <v xml:space="preserve">          6005 - TEMPORARY WAGES-HOURLY</v>
      </c>
      <c r="C30" s="11"/>
      <c r="D30" s="6"/>
      <c r="E30" s="2"/>
      <c r="F30" s="7">
        <f t="shared" si="8"/>
        <v>0</v>
      </c>
      <c r="G30" s="2"/>
      <c r="H30" s="6">
        <v>1793.09</v>
      </c>
      <c r="I30" s="2"/>
      <c r="J30" s="7">
        <f t="shared" si="9"/>
        <v>0</v>
      </c>
      <c r="K30" s="2"/>
      <c r="L30" s="6">
        <f t="shared" si="10"/>
        <v>-1793.09</v>
      </c>
      <c r="M30" s="2"/>
      <c r="N30" s="7">
        <f t="shared" si="11"/>
        <v>-1</v>
      </c>
      <c r="O30" s="11"/>
      <c r="P30" s="6">
        <v>265.48</v>
      </c>
      <c r="Q30" s="2"/>
      <c r="R30" s="7">
        <f t="shared" si="12"/>
        <v>0</v>
      </c>
      <c r="S30" s="2"/>
      <c r="T30" s="6">
        <v>15527.769999999999</v>
      </c>
      <c r="U30" s="2"/>
      <c r="V30" s="7">
        <f t="shared" si="13"/>
        <v>0</v>
      </c>
      <c r="W30" s="2"/>
      <c r="X30" s="6">
        <f t="shared" si="14"/>
        <v>-15262.289999999999</v>
      </c>
      <c r="Y30" s="2"/>
      <c r="Z30" s="7">
        <f t="shared" si="15"/>
        <v>-0.98290288946835258</v>
      </c>
    </row>
    <row r="31" spans="1:26" s="24" customFormat="1" hidden="1" outlineLevel="2" x14ac:dyDescent="0.25">
      <c r="A31" s="25"/>
      <c r="B31" s="11" t="str">
        <f>CONCATENATE("          ", "6007", " - ", "STUDENT HOURLY")</f>
        <v xml:space="preserve">          6007 - STUDENT HOURLY</v>
      </c>
      <c r="C31" s="11"/>
      <c r="D31" s="6"/>
      <c r="E31" s="2"/>
      <c r="F31" s="7">
        <f t="shared" si="8"/>
        <v>0</v>
      </c>
      <c r="G31" s="2"/>
      <c r="H31" s="6">
        <v>5680.72</v>
      </c>
      <c r="I31" s="2"/>
      <c r="J31" s="7">
        <f t="shared" si="9"/>
        <v>0</v>
      </c>
      <c r="K31" s="2"/>
      <c r="L31" s="6">
        <f t="shared" si="10"/>
        <v>-5680.72</v>
      </c>
      <c r="M31" s="2"/>
      <c r="N31" s="7">
        <f t="shared" si="11"/>
        <v>-1</v>
      </c>
      <c r="O31" s="11"/>
      <c r="P31" s="6">
        <v>116.28</v>
      </c>
      <c r="Q31" s="2"/>
      <c r="R31" s="7">
        <f t="shared" si="12"/>
        <v>0</v>
      </c>
      <c r="S31" s="2"/>
      <c r="T31" s="6">
        <v>24567.599999999999</v>
      </c>
      <c r="U31" s="2"/>
      <c r="V31" s="7">
        <f t="shared" si="13"/>
        <v>0</v>
      </c>
      <c r="W31" s="2"/>
      <c r="X31" s="6">
        <f t="shared" si="14"/>
        <v>-24451.32</v>
      </c>
      <c r="Y31" s="2"/>
      <c r="Z31" s="7">
        <f t="shared" si="15"/>
        <v>-0.99526693694133739</v>
      </c>
    </row>
    <row r="32" spans="1:26" s="24" customFormat="1" hidden="1" outlineLevel="2" x14ac:dyDescent="0.25">
      <c r="A32" s="25"/>
      <c r="B32" s="11" t="str">
        <f>CONCATENATE("          ", "6008", " - ", "STUDENT HOURLY-FICA EXEMPT")</f>
        <v xml:space="preserve">          6008 - STUDENT HOURLY-FICA EXEMPT</v>
      </c>
      <c r="C32" s="11"/>
      <c r="D32" s="6"/>
      <c r="E32" s="2"/>
      <c r="F32" s="7">
        <f t="shared" si="8"/>
        <v>0</v>
      </c>
      <c r="G32" s="2"/>
      <c r="H32" s="6">
        <v>409.5</v>
      </c>
      <c r="I32" s="2"/>
      <c r="J32" s="7">
        <f t="shared" si="9"/>
        <v>0</v>
      </c>
      <c r="K32" s="2"/>
      <c r="L32" s="6">
        <f t="shared" si="10"/>
        <v>-409.5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3253.5</v>
      </c>
      <c r="U32" s="2"/>
      <c r="V32" s="7">
        <f t="shared" si="13"/>
        <v>0</v>
      </c>
      <c r="W32" s="2"/>
      <c r="X32" s="6">
        <f t="shared" si="14"/>
        <v>-3253.5</v>
      </c>
      <c r="Y32" s="2"/>
      <c r="Z32" s="7">
        <f t="shared" si="15"/>
        <v>-1</v>
      </c>
    </row>
    <row r="33" spans="1:26" s="26" customFormat="1" outlineLevel="1" collapsed="1" x14ac:dyDescent="0.25">
      <c r="A33" s="27"/>
      <c r="B33" s="13" t="str">
        <f>CONCATENATE("     ","Advertising/Promo                                 ")</f>
        <v xml:space="preserve">     Advertising/Promo                                 </v>
      </c>
      <c r="C33" s="13"/>
      <c r="D33" s="1">
        <f>SUM(OSRRefD22_2x_0)</f>
        <v>0</v>
      </c>
      <c r="E33" s="1"/>
      <c r="F33" s="5">
        <f t="shared" ref="F33:F41" si="16">IF(D$12=0,0,D33/D$12)</f>
        <v>0</v>
      </c>
      <c r="G33" s="1"/>
      <c r="H33" s="1">
        <f>SUM(OSRRefH22_2x_0)</f>
        <v>18</v>
      </c>
      <c r="I33" s="1"/>
      <c r="J33" s="5">
        <f t="shared" ref="J33:J41" si="17">IF(H$12=0,0,H33/H$12)</f>
        <v>0</v>
      </c>
      <c r="K33" s="1"/>
      <c r="L33" s="1">
        <f t="shared" ref="L33:L41" si="18">+D33-H33</f>
        <v>-18</v>
      </c>
      <c r="M33" s="1"/>
      <c r="N33" s="5">
        <f t="shared" ref="N33:N41" si="19">IF(H33=0,0,L33/H33)</f>
        <v>-1</v>
      </c>
      <c r="O33" s="13"/>
      <c r="P33" s="1">
        <f>SUM(OSRRefP22_2x_0)</f>
        <v>0</v>
      </c>
      <c r="Q33" s="1"/>
      <c r="R33" s="5">
        <f t="shared" ref="R33:R41" si="20">IF(P$12=0,0,P33/P$12)</f>
        <v>0</v>
      </c>
      <c r="S33" s="1"/>
      <c r="T33" s="1">
        <f>SUM(OSRRefT22_2x_0)</f>
        <v>18</v>
      </c>
      <c r="U33" s="1"/>
      <c r="V33" s="5">
        <f t="shared" ref="V33:V41" si="21">IF(T$12=0,0,T33/T$12)</f>
        <v>0</v>
      </c>
      <c r="W33" s="1"/>
      <c r="X33" s="1">
        <f t="shared" ref="X33:X41" si="22">+P33-T33</f>
        <v>-18</v>
      </c>
      <c r="Y33" s="1"/>
      <c r="Z33" s="5">
        <f t="shared" ref="Z33:Z41" si="23">IF(T33=0,0,X33/T33)</f>
        <v>-1</v>
      </c>
    </row>
    <row r="34" spans="1:26" s="24" customFormat="1" hidden="1" outlineLevel="2" x14ac:dyDescent="0.25">
      <c r="A34" s="25"/>
      <c r="B34" s="11" t="str">
        <f>CONCATENATE("          ", "6362", " - ", "ADVERTISING EXPENSE")</f>
        <v xml:space="preserve">          6362 - ADVERTISING EXPENSE</v>
      </c>
      <c r="C34" s="11"/>
      <c r="D34" s="6"/>
      <c r="E34" s="2"/>
      <c r="F34" s="7">
        <f t="shared" si="16"/>
        <v>0</v>
      </c>
      <c r="G34" s="2"/>
      <c r="H34" s="6">
        <v>18</v>
      </c>
      <c r="I34" s="2"/>
      <c r="J34" s="7">
        <f t="shared" si="17"/>
        <v>0</v>
      </c>
      <c r="K34" s="2"/>
      <c r="L34" s="6">
        <f t="shared" si="18"/>
        <v>-18</v>
      </c>
      <c r="M34" s="2"/>
      <c r="N34" s="7">
        <f t="shared" si="19"/>
        <v>-1</v>
      </c>
      <c r="O34" s="11"/>
      <c r="P34" s="6"/>
      <c r="Q34" s="2"/>
      <c r="R34" s="7">
        <f t="shared" si="20"/>
        <v>0</v>
      </c>
      <c r="S34" s="2"/>
      <c r="T34" s="6">
        <v>18</v>
      </c>
      <c r="U34" s="2"/>
      <c r="V34" s="7">
        <f t="shared" si="21"/>
        <v>0</v>
      </c>
      <c r="W34" s="2"/>
      <c r="X34" s="6">
        <f t="shared" si="22"/>
        <v>-18</v>
      </c>
      <c r="Y34" s="2"/>
      <c r="Z34" s="7">
        <f t="shared" si="23"/>
        <v>-1</v>
      </c>
    </row>
    <row r="35" spans="1:26" s="26" customFormat="1" outlineLevel="1" collapsed="1" x14ac:dyDescent="0.25">
      <c r="A35" s="27"/>
      <c r="B35" s="13" t="str">
        <f>CONCATENATE("     ","Depreciation                                      ")</f>
        <v xml:space="preserve">     Depreciation                                      </v>
      </c>
      <c r="C35" s="13"/>
      <c r="D35" s="1">
        <f>SUM(OSRRefD22_3x_0)</f>
        <v>1558.88</v>
      </c>
      <c r="E35" s="1"/>
      <c r="F35" s="5">
        <f t="shared" si="16"/>
        <v>0</v>
      </c>
      <c r="G35" s="1"/>
      <c r="H35" s="1">
        <f>SUM(OSRRefH22_3x_0)</f>
        <v>1558.88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3"/>
      <c r="P35" s="1">
        <f>SUM(OSRRefP22_3x_0)</f>
        <v>10912.16</v>
      </c>
      <c r="Q35" s="1"/>
      <c r="R35" s="5">
        <f t="shared" si="20"/>
        <v>0</v>
      </c>
      <c r="S35" s="1"/>
      <c r="T35" s="1">
        <f>SUM(OSRRefT22_3x_0)</f>
        <v>10912.16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5"/>
      <c r="B36" s="11" t="str">
        <f>CONCATENATE("          ", "6322", " - ", "EQUIPMENT DEPRECIATION EXPENSE")</f>
        <v xml:space="preserve">          6322 - EQUIPMENT DEPRECIATION EXPENSE</v>
      </c>
      <c r="C36" s="11"/>
      <c r="D36" s="6">
        <v>1558.88</v>
      </c>
      <c r="E36" s="2"/>
      <c r="F36" s="7">
        <f t="shared" si="16"/>
        <v>0</v>
      </c>
      <c r="G36" s="2"/>
      <c r="H36" s="6">
        <v>1558.88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10912.16</v>
      </c>
      <c r="Q36" s="2"/>
      <c r="R36" s="7">
        <f t="shared" si="20"/>
        <v>0</v>
      </c>
      <c r="S36" s="2"/>
      <c r="T36" s="6">
        <v>10912.16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6" customFormat="1" outlineLevel="1" collapsed="1" x14ac:dyDescent="0.25">
      <c r="A37" s="27"/>
      <c r="B37" s="13" t="str">
        <f>CONCATENATE("     ","Equipment Rental                                  ")</f>
        <v xml:space="preserve">     Equipment Rental                                  </v>
      </c>
      <c r="C37" s="13"/>
      <c r="D37" s="1">
        <f>SUM(OSRRefD22_4x_0)</f>
        <v>91.26</v>
      </c>
      <c r="E37" s="1"/>
      <c r="F37" s="5">
        <f t="shared" si="16"/>
        <v>0</v>
      </c>
      <c r="G37" s="1"/>
      <c r="H37" s="1">
        <f>SUM(OSRRefH22_4x_0)</f>
        <v>91.26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3"/>
      <c r="P37" s="1">
        <f>SUM(OSRRefP22_4x_0)</f>
        <v>638.82000000000005</v>
      </c>
      <c r="Q37" s="1"/>
      <c r="R37" s="5">
        <f t="shared" si="20"/>
        <v>0</v>
      </c>
      <c r="S37" s="1"/>
      <c r="T37" s="1">
        <f>SUM(OSRRefT22_4x_0)</f>
        <v>638.82000000000005</v>
      </c>
      <c r="U37" s="1"/>
      <c r="V37" s="5">
        <f t="shared" si="21"/>
        <v>0</v>
      </c>
      <c r="W37" s="1"/>
      <c r="X37" s="1">
        <f t="shared" si="22"/>
        <v>0</v>
      </c>
      <c r="Y37" s="1"/>
      <c r="Z37" s="5">
        <f t="shared" si="23"/>
        <v>0</v>
      </c>
    </row>
    <row r="38" spans="1:26" s="24" customFormat="1" hidden="1" outlineLevel="2" x14ac:dyDescent="0.25">
      <c r="A38" s="25"/>
      <c r="B38" s="11" t="str">
        <f>CONCATENATE("          ", "6351", " - ", "EQUIPMENT RENTAL")</f>
        <v xml:space="preserve">          6351 - EQUIPMENT RENTAL</v>
      </c>
      <c r="C38" s="11"/>
      <c r="D38" s="6">
        <v>91.26</v>
      </c>
      <c r="E38" s="2"/>
      <c r="F38" s="7">
        <f t="shared" si="16"/>
        <v>0</v>
      </c>
      <c r="G38" s="2"/>
      <c r="H38" s="6">
        <v>91.26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>
        <v>638.82000000000005</v>
      </c>
      <c r="Q38" s="2"/>
      <c r="R38" s="7">
        <f t="shared" si="20"/>
        <v>0</v>
      </c>
      <c r="S38" s="2"/>
      <c r="T38" s="6">
        <v>638.82000000000005</v>
      </c>
      <c r="U38" s="2"/>
      <c r="V38" s="7">
        <f t="shared" si="21"/>
        <v>0</v>
      </c>
      <c r="W38" s="2"/>
      <c r="X38" s="6">
        <f t="shared" si="22"/>
        <v>0</v>
      </c>
      <c r="Y38" s="2"/>
      <c r="Z38" s="7">
        <f t="shared" si="23"/>
        <v>0</v>
      </c>
    </row>
    <row r="39" spans="1:26" s="26" customFormat="1" outlineLevel="1" collapsed="1" x14ac:dyDescent="0.25">
      <c r="A39" s="27"/>
      <c r="B39" s="13" t="str">
        <f>CONCATENATE("     ","Freight out/Postage                               ")</f>
        <v xml:space="preserve">     Freight out/Postage                               </v>
      </c>
      <c r="C39" s="13"/>
      <c r="D39" s="1">
        <f>SUM(OSRRefD22_5x_0)</f>
        <v>113.28</v>
      </c>
      <c r="E39" s="1"/>
      <c r="F39" s="5">
        <f t="shared" si="16"/>
        <v>0</v>
      </c>
      <c r="G39" s="1"/>
      <c r="H39" s="1">
        <f>SUM(OSRRefH22_5x_0)</f>
        <v>118.3</v>
      </c>
      <c r="I39" s="1"/>
      <c r="J39" s="5">
        <f t="shared" si="17"/>
        <v>0</v>
      </c>
      <c r="K39" s="1"/>
      <c r="L39" s="1">
        <f t="shared" si="18"/>
        <v>-5.019999999999996</v>
      </c>
      <c r="M39" s="1"/>
      <c r="N39" s="5">
        <f t="shared" si="19"/>
        <v>-4.2434488588334707E-2</v>
      </c>
      <c r="O39" s="13"/>
      <c r="P39" s="1">
        <f>SUM(OSRRefP22_5x_0)</f>
        <v>718.14</v>
      </c>
      <c r="Q39" s="1"/>
      <c r="R39" s="5">
        <f t="shared" si="20"/>
        <v>0</v>
      </c>
      <c r="S39" s="1"/>
      <c r="T39" s="1">
        <f>SUM(OSRRefT22_5x_0)</f>
        <v>867.2</v>
      </c>
      <c r="U39" s="1"/>
      <c r="V39" s="5">
        <f t="shared" si="21"/>
        <v>0</v>
      </c>
      <c r="W39" s="1"/>
      <c r="X39" s="1">
        <f t="shared" si="22"/>
        <v>-149.06000000000006</v>
      </c>
      <c r="Y39" s="1"/>
      <c r="Z39" s="5">
        <f t="shared" si="23"/>
        <v>-0.17188653136531371</v>
      </c>
    </row>
    <row r="40" spans="1:26" s="24" customFormat="1" hidden="1" outlineLevel="2" x14ac:dyDescent="0.25">
      <c r="A40" s="25"/>
      <c r="B40" s="11" t="str">
        <f>CONCATENATE("          ", "6305", " - ", "FREIGHT OUT")</f>
        <v xml:space="preserve">          6305 - FREIGHT OUT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5.41</v>
      </c>
      <c r="Q40" s="2"/>
      <c r="R40" s="7">
        <f t="shared" si="20"/>
        <v>0</v>
      </c>
      <c r="S40" s="2"/>
      <c r="T40" s="6"/>
      <c r="U40" s="2"/>
      <c r="V40" s="7">
        <f t="shared" si="21"/>
        <v>0</v>
      </c>
      <c r="W40" s="2"/>
      <c r="X40" s="6">
        <f t="shared" si="22"/>
        <v>5.41</v>
      </c>
      <c r="Y40" s="2"/>
      <c r="Z40" s="7">
        <f t="shared" si="23"/>
        <v>0</v>
      </c>
    </row>
    <row r="41" spans="1:26" s="24" customFormat="1" hidden="1" outlineLevel="2" x14ac:dyDescent="0.25">
      <c r="A41" s="25"/>
      <c r="B41" s="11" t="str">
        <f>CONCATENATE("          ", "6307", " - ", "POSTAGE")</f>
        <v xml:space="preserve">          6307 - POSTAGE</v>
      </c>
      <c r="C41" s="11"/>
      <c r="D41" s="6">
        <v>113.28</v>
      </c>
      <c r="E41" s="2"/>
      <c r="F41" s="7">
        <f t="shared" si="16"/>
        <v>0</v>
      </c>
      <c r="G41" s="2"/>
      <c r="H41" s="6">
        <v>118.3</v>
      </c>
      <c r="I41" s="2"/>
      <c r="J41" s="7">
        <f t="shared" si="17"/>
        <v>0</v>
      </c>
      <c r="K41" s="2"/>
      <c r="L41" s="6">
        <f t="shared" si="18"/>
        <v>-5.019999999999996</v>
      </c>
      <c r="M41" s="2"/>
      <c r="N41" s="7">
        <f t="shared" si="19"/>
        <v>-4.2434488588334707E-2</v>
      </c>
      <c r="O41" s="11"/>
      <c r="P41" s="6">
        <v>712.73</v>
      </c>
      <c r="Q41" s="2"/>
      <c r="R41" s="7">
        <f t="shared" si="20"/>
        <v>0</v>
      </c>
      <c r="S41" s="2"/>
      <c r="T41" s="6">
        <v>867.2</v>
      </c>
      <c r="U41" s="2"/>
      <c r="V41" s="7">
        <f t="shared" si="21"/>
        <v>0</v>
      </c>
      <c r="W41" s="2"/>
      <c r="X41" s="6">
        <f t="shared" si="22"/>
        <v>-154.47000000000003</v>
      </c>
      <c r="Y41" s="2"/>
      <c r="Z41" s="7">
        <f t="shared" si="23"/>
        <v>-0.17812500000000003</v>
      </c>
    </row>
    <row r="42" spans="1:26" s="26" customFormat="1" outlineLevel="1" collapsed="1" x14ac:dyDescent="0.25">
      <c r="A42" s="27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SUM(OSRRefD22_6x_0)</f>
        <v>132.16999999999999</v>
      </c>
      <c r="E42" s="1"/>
      <c r="F42" s="5">
        <f t="shared" ref="F42:F49" si="24">IF(D$12=0,0,D42/D$12)</f>
        <v>0</v>
      </c>
      <c r="G42" s="1"/>
      <c r="H42" s="1">
        <f>SUM(OSRRefH22_6x_0)</f>
        <v>132.16999999999999</v>
      </c>
      <c r="I42" s="1"/>
      <c r="J42" s="5">
        <f t="shared" ref="J42:J49" si="25">IF(H$12=0,0,H42/H$12)</f>
        <v>0</v>
      </c>
      <c r="K42" s="1"/>
      <c r="L42" s="1">
        <f t="shared" ref="L42:L49" si="26">+D42-H42</f>
        <v>0</v>
      </c>
      <c r="M42" s="1"/>
      <c r="N42" s="5">
        <f t="shared" ref="N42:N49" si="27">IF(H42=0,0,L42/H42)</f>
        <v>0</v>
      </c>
      <c r="O42" s="13"/>
      <c r="P42" s="1">
        <f>SUM(OSRRefP22_6x_0)</f>
        <v>925.19</v>
      </c>
      <c r="Q42" s="1"/>
      <c r="R42" s="5">
        <f t="shared" ref="R42:R49" si="28">IF(P$12=0,0,P42/P$12)</f>
        <v>0</v>
      </c>
      <c r="S42" s="1"/>
      <c r="T42" s="1">
        <f>SUM(OSRRefT22_6x_0)</f>
        <v>925.19</v>
      </c>
      <c r="U42" s="1"/>
      <c r="V42" s="5">
        <f t="shared" ref="V42:V49" si="29">IF(T$12=0,0,T42/T$12)</f>
        <v>0</v>
      </c>
      <c r="W42" s="1"/>
      <c r="X42" s="1">
        <f t="shared" ref="X42:X49" si="30">+P42-T42</f>
        <v>0</v>
      </c>
      <c r="Y42" s="1"/>
      <c r="Z42" s="5">
        <f t="shared" ref="Z42:Z49" si="31">IF(T42=0,0,X42/T42)</f>
        <v>0</v>
      </c>
    </row>
    <row r="43" spans="1:26" s="24" customFormat="1" hidden="1" outlineLevel="2" x14ac:dyDescent="0.25">
      <c r="A43" s="25"/>
      <c r="B43" s="11" t="str">
        <f>CONCATENATE("          ", "6314", " - ", "LIABILITY INSURANCE")</f>
        <v xml:space="preserve">          6314 - LIABILITY INSURANCE</v>
      </c>
      <c r="C43" s="11"/>
      <c r="D43" s="6">
        <v>132.16999999999999</v>
      </c>
      <c r="E43" s="2"/>
      <c r="F43" s="7">
        <f t="shared" si="24"/>
        <v>0</v>
      </c>
      <c r="G43" s="2"/>
      <c r="H43" s="6">
        <v>132.16999999999999</v>
      </c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1"/>
      <c r="P43" s="6">
        <v>925.19</v>
      </c>
      <c r="Q43" s="2"/>
      <c r="R43" s="7">
        <f t="shared" si="28"/>
        <v>0</v>
      </c>
      <c r="S43" s="2"/>
      <c r="T43" s="6">
        <v>925.19</v>
      </c>
      <c r="U43" s="2"/>
      <c r="V43" s="7">
        <f t="shared" si="29"/>
        <v>0</v>
      </c>
      <c r="W43" s="2"/>
      <c r="X43" s="6">
        <f t="shared" si="30"/>
        <v>0</v>
      </c>
      <c r="Y43" s="2"/>
      <c r="Z43" s="7">
        <f t="shared" si="31"/>
        <v>0</v>
      </c>
    </row>
    <row r="44" spans="1:26" s="26" customFormat="1" outlineLevel="1" collapsed="1" x14ac:dyDescent="0.25">
      <c r="A44" s="27"/>
      <c r="B44" s="13" t="str">
        <f>CONCATENATE("     ","Professional Services                             ")</f>
        <v xml:space="preserve">     Professional Services                             </v>
      </c>
      <c r="C44" s="13"/>
      <c r="D44" s="1">
        <f>SUM(OSRRefD22_7x_0)</f>
        <v>0</v>
      </c>
      <c r="E44" s="1"/>
      <c r="F44" s="5">
        <f t="shared" si="24"/>
        <v>0</v>
      </c>
      <c r="G44" s="1"/>
      <c r="H44" s="1">
        <f>SUM(OSRRefH22_7x_0)</f>
        <v>0</v>
      </c>
      <c r="I44" s="1"/>
      <c r="J44" s="5">
        <f t="shared" si="25"/>
        <v>0</v>
      </c>
      <c r="K44" s="1"/>
      <c r="L44" s="1">
        <f t="shared" si="26"/>
        <v>0</v>
      </c>
      <c r="M44" s="1"/>
      <c r="N44" s="5">
        <f t="shared" si="27"/>
        <v>0</v>
      </c>
      <c r="O44" s="13"/>
      <c r="P44" s="1">
        <f>SUM(OSRRefP22_7x_0)</f>
        <v>0</v>
      </c>
      <c r="Q44" s="1"/>
      <c r="R44" s="5">
        <f t="shared" si="28"/>
        <v>0</v>
      </c>
      <c r="S44" s="1"/>
      <c r="T44" s="1">
        <f>SUM(OSRRefT22_7x_0)</f>
        <v>82.5</v>
      </c>
      <c r="U44" s="1"/>
      <c r="V44" s="5">
        <f t="shared" si="29"/>
        <v>0</v>
      </c>
      <c r="W44" s="1"/>
      <c r="X44" s="1">
        <f t="shared" si="30"/>
        <v>-82.5</v>
      </c>
      <c r="Y44" s="1"/>
      <c r="Z44" s="5">
        <f t="shared" si="31"/>
        <v>-1</v>
      </c>
    </row>
    <row r="45" spans="1:26" s="24" customFormat="1" hidden="1" outlineLevel="2" x14ac:dyDescent="0.25">
      <c r="A45" s="25"/>
      <c r="B45" s="11" t="str">
        <f>CONCATENATE("          ", "6332", " - ", "CONSULTANT FEES")</f>
        <v xml:space="preserve">          6332 - CONSULTANT FEES</v>
      </c>
      <c r="C45" s="11"/>
      <c r="D45" s="6"/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1"/>
      <c r="P45" s="6"/>
      <c r="Q45" s="2"/>
      <c r="R45" s="7">
        <f t="shared" si="28"/>
        <v>0</v>
      </c>
      <c r="S45" s="2"/>
      <c r="T45" s="6">
        <v>82.5</v>
      </c>
      <c r="U45" s="2"/>
      <c r="V45" s="7">
        <f t="shared" si="29"/>
        <v>0</v>
      </c>
      <c r="W45" s="2"/>
      <c r="X45" s="6">
        <f t="shared" si="30"/>
        <v>-82.5</v>
      </c>
      <c r="Y45" s="2"/>
      <c r="Z45" s="7">
        <f t="shared" si="31"/>
        <v>-1</v>
      </c>
    </row>
    <row r="46" spans="1:26" s="26" customFormat="1" outlineLevel="1" collapsed="1" x14ac:dyDescent="0.25">
      <c r="A46" s="27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SUM(OSRRefD22_8x_0)</f>
        <v>4664.16</v>
      </c>
      <c r="E46" s="1"/>
      <c r="F46" s="5">
        <f t="shared" si="24"/>
        <v>0</v>
      </c>
      <c r="G46" s="1"/>
      <c r="H46" s="1">
        <f>SUM(OSRRefH22_8x_0)</f>
        <v>4436.8900000000003</v>
      </c>
      <c r="I46" s="1"/>
      <c r="J46" s="5">
        <f t="shared" si="25"/>
        <v>0</v>
      </c>
      <c r="K46" s="1"/>
      <c r="L46" s="1">
        <f t="shared" si="26"/>
        <v>227.26999999999953</v>
      </c>
      <c r="M46" s="1"/>
      <c r="N46" s="5">
        <f t="shared" si="27"/>
        <v>5.1222815981464387E-2</v>
      </c>
      <c r="O46" s="13"/>
      <c r="P46" s="1">
        <f>SUM(OSRRefP22_8x_0)</f>
        <v>5617.03</v>
      </c>
      <c r="Q46" s="1"/>
      <c r="R46" s="5">
        <f t="shared" si="28"/>
        <v>0</v>
      </c>
      <c r="S46" s="1"/>
      <c r="T46" s="1">
        <f>SUM(OSRRefT22_8x_0)</f>
        <v>5401.08</v>
      </c>
      <c r="U46" s="1"/>
      <c r="V46" s="5">
        <f t="shared" si="29"/>
        <v>0</v>
      </c>
      <c r="W46" s="1"/>
      <c r="X46" s="1">
        <f t="shared" si="30"/>
        <v>215.94999999999982</v>
      </c>
      <c r="Y46" s="1"/>
      <c r="Z46" s="5">
        <f t="shared" si="31"/>
        <v>3.9982744191902328E-2</v>
      </c>
    </row>
    <row r="47" spans="1:26" s="24" customFormat="1" hidden="1" outlineLevel="2" x14ac:dyDescent="0.25">
      <c r="A47" s="25"/>
      <c r="B47" s="11" t="str">
        <f>CONCATENATE("          ", "6371", " - ", "COMPUTER SOFTWARE MAINTENANCE")</f>
        <v xml:space="preserve">          6371 - COMPUTER SOFTWARE MAINTENANCE</v>
      </c>
      <c r="C47" s="11"/>
      <c r="D47" s="6">
        <v>59.95</v>
      </c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59.95</v>
      </c>
      <c r="M47" s="2"/>
      <c r="N47" s="7">
        <f t="shared" si="27"/>
        <v>0</v>
      </c>
      <c r="O47" s="11"/>
      <c r="P47" s="6">
        <v>955.9</v>
      </c>
      <c r="Q47" s="2"/>
      <c r="R47" s="7">
        <f t="shared" si="28"/>
        <v>0</v>
      </c>
      <c r="S47" s="2"/>
      <c r="T47" s="6">
        <v>375</v>
      </c>
      <c r="U47" s="2"/>
      <c r="V47" s="7">
        <f t="shared" si="29"/>
        <v>0</v>
      </c>
      <c r="W47" s="2"/>
      <c r="X47" s="6">
        <f t="shared" si="30"/>
        <v>580.9</v>
      </c>
      <c r="Y47" s="2"/>
      <c r="Z47" s="7">
        <f t="shared" si="31"/>
        <v>1.5490666666666666</v>
      </c>
    </row>
    <row r="48" spans="1:26" s="24" customFormat="1" hidden="1" outlineLevel="2" x14ac:dyDescent="0.25">
      <c r="A48" s="25"/>
      <c r="B48" s="11" t="str">
        <f>CONCATENATE("          ", "6373", " - ", "MAINTENANCE CONTRACTS")</f>
        <v xml:space="preserve">          6373 - MAINTENANCE CONTRACTS</v>
      </c>
      <c r="C48" s="11"/>
      <c r="D48" s="6">
        <v>4604.21</v>
      </c>
      <c r="E48" s="2"/>
      <c r="F48" s="7">
        <f t="shared" si="24"/>
        <v>0</v>
      </c>
      <c r="G48" s="2"/>
      <c r="H48" s="6">
        <v>4436.8900000000003</v>
      </c>
      <c r="I48" s="2"/>
      <c r="J48" s="7">
        <f t="shared" si="25"/>
        <v>0</v>
      </c>
      <c r="K48" s="2"/>
      <c r="L48" s="6">
        <f t="shared" si="26"/>
        <v>167.31999999999971</v>
      </c>
      <c r="M48" s="2"/>
      <c r="N48" s="7">
        <f t="shared" si="27"/>
        <v>3.7711099441275236E-2</v>
      </c>
      <c r="O48" s="11"/>
      <c r="P48" s="6">
        <v>4661.13</v>
      </c>
      <c r="Q48" s="2"/>
      <c r="R48" s="7">
        <f t="shared" si="28"/>
        <v>0</v>
      </c>
      <c r="S48" s="2"/>
      <c r="T48" s="6">
        <v>4561.5</v>
      </c>
      <c r="U48" s="2"/>
      <c r="V48" s="7">
        <f t="shared" si="29"/>
        <v>0</v>
      </c>
      <c r="W48" s="2"/>
      <c r="X48" s="6">
        <f t="shared" si="30"/>
        <v>99.630000000000109</v>
      </c>
      <c r="Y48" s="2"/>
      <c r="Z48" s="7">
        <f t="shared" si="31"/>
        <v>2.1841499506741229E-2</v>
      </c>
    </row>
    <row r="49" spans="1:26" s="24" customFormat="1" hidden="1" outlineLevel="2" x14ac:dyDescent="0.25">
      <c r="A49" s="25"/>
      <c r="B49" s="11" t="str">
        <f>CONCATENATE("          ", "6375", " - ", "OUTSIDE REPAIRS &amp; MAINTENANCE")</f>
        <v xml:space="preserve">          6375 - OUTSIDE REPAIRS &amp; MAINTENANCE</v>
      </c>
      <c r="C49" s="11"/>
      <c r="D49" s="6"/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/>
      <c r="Q49" s="2"/>
      <c r="R49" s="7">
        <f t="shared" si="28"/>
        <v>0</v>
      </c>
      <c r="S49" s="2"/>
      <c r="T49" s="6">
        <v>464.58</v>
      </c>
      <c r="U49" s="2"/>
      <c r="V49" s="7">
        <f t="shared" si="29"/>
        <v>0</v>
      </c>
      <c r="W49" s="2"/>
      <c r="X49" s="6">
        <f t="shared" si="30"/>
        <v>-464.58</v>
      </c>
      <c r="Y49" s="2"/>
      <c r="Z49" s="7">
        <f t="shared" si="31"/>
        <v>-1</v>
      </c>
    </row>
    <row r="50" spans="1:26" s="26" customFormat="1" outlineLevel="1" collapsed="1" x14ac:dyDescent="0.25">
      <c r="A50" s="27"/>
      <c r="B50" s="13" t="str">
        <f>CONCATENATE("     ","Services                                          ")</f>
        <v xml:space="preserve">     Services                                          </v>
      </c>
      <c r="C50" s="13"/>
      <c r="D50" s="1">
        <f>SUM(OSRRefD22_9x_0)</f>
        <v>632.79999999999995</v>
      </c>
      <c r="E50" s="1"/>
      <c r="F50" s="5">
        <f t="shared" ref="F50:F57" si="32">IF(D$12=0,0,D50/D$12)</f>
        <v>0</v>
      </c>
      <c r="G50" s="1"/>
      <c r="H50" s="1">
        <f>SUM(OSRRefH22_9x_0)</f>
        <v>599.61</v>
      </c>
      <c r="I50" s="1"/>
      <c r="J50" s="5">
        <f t="shared" ref="J50:J57" si="33">IF(H$12=0,0,H50/H$12)</f>
        <v>0</v>
      </c>
      <c r="K50" s="1"/>
      <c r="L50" s="1">
        <f t="shared" ref="L50:L57" si="34">+D50-H50</f>
        <v>33.189999999999941</v>
      </c>
      <c r="M50" s="1"/>
      <c r="N50" s="5">
        <f t="shared" ref="N50:N57" si="35">IF(H50=0,0,L50/H50)</f>
        <v>5.5352645886492788E-2</v>
      </c>
      <c r="O50" s="13"/>
      <c r="P50" s="1">
        <f>SUM(OSRRefP22_9x_0)</f>
        <v>3707.68</v>
      </c>
      <c r="Q50" s="1"/>
      <c r="R50" s="5">
        <f t="shared" ref="R50:R57" si="36">IF(P$12=0,0,P50/P$12)</f>
        <v>0</v>
      </c>
      <c r="S50" s="1"/>
      <c r="T50" s="1">
        <f>SUM(OSRRefT22_9x_0)</f>
        <v>8699.01</v>
      </c>
      <c r="U50" s="1"/>
      <c r="V50" s="5">
        <f t="shared" ref="V50:V57" si="37">IF(T$12=0,0,T50/T$12)</f>
        <v>0</v>
      </c>
      <c r="W50" s="1"/>
      <c r="X50" s="1">
        <f t="shared" ref="X50:X57" si="38">+P50-T50</f>
        <v>-4991.33</v>
      </c>
      <c r="Y50" s="1"/>
      <c r="Z50" s="5">
        <f t="shared" ref="Z50:Z57" si="39">IF(T50=0,0,X50/T50)</f>
        <v>-0.57378138431844539</v>
      </c>
    </row>
    <row r="51" spans="1:26" s="24" customFormat="1" hidden="1" outlineLevel="2" x14ac:dyDescent="0.25">
      <c r="A51" s="25"/>
      <c r="B51" s="11" t="str">
        <f>CONCATENATE("          ", "6281", " - ", "STORAGE FEE")</f>
        <v xml:space="preserve">          6281 - STORAGE FEE</v>
      </c>
      <c r="C51" s="11"/>
      <c r="D51" s="6">
        <v>632.79999999999995</v>
      </c>
      <c r="E51" s="2"/>
      <c r="F51" s="7">
        <f t="shared" si="32"/>
        <v>0</v>
      </c>
      <c r="G51" s="2"/>
      <c r="H51" s="6">
        <v>599.61</v>
      </c>
      <c r="I51" s="2"/>
      <c r="J51" s="7">
        <f t="shared" si="33"/>
        <v>0</v>
      </c>
      <c r="K51" s="2"/>
      <c r="L51" s="6">
        <f t="shared" si="34"/>
        <v>33.189999999999941</v>
      </c>
      <c r="M51" s="2"/>
      <c r="N51" s="7">
        <f t="shared" si="35"/>
        <v>5.5352645886492788E-2</v>
      </c>
      <c r="O51" s="11"/>
      <c r="P51" s="6">
        <v>3707.68</v>
      </c>
      <c r="Q51" s="2"/>
      <c r="R51" s="7">
        <f t="shared" si="36"/>
        <v>0</v>
      </c>
      <c r="S51" s="2"/>
      <c r="T51" s="6">
        <v>8699.01</v>
      </c>
      <c r="U51" s="2"/>
      <c r="V51" s="7">
        <f t="shared" si="37"/>
        <v>0</v>
      </c>
      <c r="W51" s="2"/>
      <c r="X51" s="6">
        <f t="shared" si="38"/>
        <v>-4991.33</v>
      </c>
      <c r="Y51" s="2"/>
      <c r="Z51" s="7">
        <f t="shared" si="39"/>
        <v>-0.57378138431844539</v>
      </c>
    </row>
    <row r="52" spans="1:26" s="26" customFormat="1" outlineLevel="1" collapsed="1" x14ac:dyDescent="0.25">
      <c r="A52" s="27"/>
      <c r="B52" s="13" t="str">
        <f>CONCATENATE("     ","Subscriptions &amp; Dues                              ")</f>
        <v xml:space="preserve">     Subscriptions &amp; Dues                              </v>
      </c>
      <c r="C52" s="13"/>
      <c r="D52" s="1">
        <f>SUM(OSRRefD22_10x_0)</f>
        <v>0</v>
      </c>
      <c r="E52" s="1"/>
      <c r="F52" s="5">
        <f t="shared" si="32"/>
        <v>0</v>
      </c>
      <c r="G52" s="1"/>
      <c r="H52" s="1">
        <f>SUM(OSRRefH22_10x_0)</f>
        <v>0</v>
      </c>
      <c r="I52" s="1"/>
      <c r="J52" s="5">
        <f t="shared" si="33"/>
        <v>0</v>
      </c>
      <c r="K52" s="1"/>
      <c r="L52" s="1">
        <f t="shared" si="34"/>
        <v>0</v>
      </c>
      <c r="M52" s="1"/>
      <c r="N52" s="5">
        <f t="shared" si="35"/>
        <v>0</v>
      </c>
      <c r="O52" s="13"/>
      <c r="P52" s="1">
        <f>SUM(OSRRefP22_10x_0)</f>
        <v>0</v>
      </c>
      <c r="Q52" s="1"/>
      <c r="R52" s="5">
        <f t="shared" si="36"/>
        <v>0</v>
      </c>
      <c r="S52" s="1"/>
      <c r="T52" s="1">
        <f>SUM(OSRRefT22_10x_0)</f>
        <v>39</v>
      </c>
      <c r="U52" s="1"/>
      <c r="V52" s="5">
        <f t="shared" si="37"/>
        <v>0</v>
      </c>
      <c r="W52" s="1"/>
      <c r="X52" s="1">
        <f t="shared" si="38"/>
        <v>-39</v>
      </c>
      <c r="Y52" s="1"/>
      <c r="Z52" s="5">
        <f t="shared" si="39"/>
        <v>-1</v>
      </c>
    </row>
    <row r="53" spans="1:26" s="24" customFormat="1" hidden="1" outlineLevel="2" x14ac:dyDescent="0.25">
      <c r="A53" s="25"/>
      <c r="B53" s="11" t="str">
        <f>CONCATENATE("          ", "6258", " - ", "MEMBERSHIP DUES")</f>
        <v xml:space="preserve">          6258 - MEMBERSHIP DUES</v>
      </c>
      <c r="C53" s="11"/>
      <c r="D53" s="6"/>
      <c r="E53" s="2"/>
      <c r="F53" s="7">
        <f t="shared" si="32"/>
        <v>0</v>
      </c>
      <c r="G53" s="2"/>
      <c r="H53" s="6"/>
      <c r="I53" s="2"/>
      <c r="J53" s="7">
        <f t="shared" si="33"/>
        <v>0</v>
      </c>
      <c r="K53" s="2"/>
      <c r="L53" s="6">
        <f t="shared" si="34"/>
        <v>0</v>
      </c>
      <c r="M53" s="2"/>
      <c r="N53" s="7">
        <f t="shared" si="35"/>
        <v>0</v>
      </c>
      <c r="O53" s="11"/>
      <c r="P53" s="6"/>
      <c r="Q53" s="2"/>
      <c r="R53" s="7">
        <f t="shared" si="36"/>
        <v>0</v>
      </c>
      <c r="S53" s="2"/>
      <c r="T53" s="6">
        <v>39</v>
      </c>
      <c r="U53" s="2"/>
      <c r="V53" s="7">
        <f t="shared" si="37"/>
        <v>0</v>
      </c>
      <c r="W53" s="2"/>
      <c r="X53" s="6">
        <f t="shared" si="38"/>
        <v>-39</v>
      </c>
      <c r="Y53" s="2"/>
      <c r="Z53" s="7">
        <f t="shared" si="39"/>
        <v>-1</v>
      </c>
    </row>
    <row r="54" spans="1:26" s="26" customFormat="1" outlineLevel="1" collapsed="1" x14ac:dyDescent="0.25">
      <c r="A54" s="27"/>
      <c r="B54" s="13" t="str">
        <f>CONCATENATE("     ","Supplies                                          ")</f>
        <v xml:space="preserve">     Supplies                                          </v>
      </c>
      <c r="C54" s="13"/>
      <c r="D54" s="1">
        <f>SUM(OSRRefD22_11x_0)</f>
        <v>0</v>
      </c>
      <c r="E54" s="1"/>
      <c r="F54" s="5">
        <f t="shared" si="32"/>
        <v>0</v>
      </c>
      <c r="G54" s="1"/>
      <c r="H54" s="1">
        <f>SUM(OSRRefH22_11x_0)</f>
        <v>2175.7600000000002</v>
      </c>
      <c r="I54" s="1"/>
      <c r="J54" s="5">
        <f t="shared" si="33"/>
        <v>0</v>
      </c>
      <c r="K54" s="1"/>
      <c r="L54" s="1">
        <f t="shared" si="34"/>
        <v>-2175.7600000000002</v>
      </c>
      <c r="M54" s="1"/>
      <c r="N54" s="5">
        <f t="shared" si="35"/>
        <v>-1</v>
      </c>
      <c r="O54" s="13"/>
      <c r="P54" s="1">
        <f>SUM(OSRRefP22_11x_0)</f>
        <v>782.8900000000001</v>
      </c>
      <c r="Q54" s="1"/>
      <c r="R54" s="5">
        <f t="shared" si="36"/>
        <v>0</v>
      </c>
      <c r="S54" s="1"/>
      <c r="T54" s="1">
        <f>SUM(OSRRefT22_11x_0)</f>
        <v>5238.01</v>
      </c>
      <c r="U54" s="1"/>
      <c r="V54" s="5">
        <f t="shared" si="37"/>
        <v>0</v>
      </c>
      <c r="W54" s="1"/>
      <c r="X54" s="1">
        <f t="shared" si="38"/>
        <v>-4455.12</v>
      </c>
      <c r="Y54" s="1"/>
      <c r="Z54" s="5">
        <f t="shared" si="39"/>
        <v>-0.85053674964347137</v>
      </c>
    </row>
    <row r="55" spans="1:26" s="24" customFormat="1" hidden="1" outlineLevel="2" x14ac:dyDescent="0.25">
      <c r="A55" s="25"/>
      <c r="B55" s="11" t="str">
        <f>CONCATENATE("          ", "6235", " - ", "COVID-19 EXPENSES")</f>
        <v xml:space="preserve">          6235 - COVID-19 EXPENSES</v>
      </c>
      <c r="C55" s="11"/>
      <c r="D55" s="6"/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0</v>
      </c>
      <c r="M55" s="2"/>
      <c r="N55" s="7">
        <f t="shared" si="35"/>
        <v>0</v>
      </c>
      <c r="O55" s="11"/>
      <c r="P55" s="6">
        <v>426.66</v>
      </c>
      <c r="Q55" s="2"/>
      <c r="R55" s="7">
        <f t="shared" si="36"/>
        <v>0</v>
      </c>
      <c r="S55" s="2"/>
      <c r="T55" s="6"/>
      <c r="U55" s="2"/>
      <c r="V55" s="7">
        <f t="shared" si="37"/>
        <v>0</v>
      </c>
      <c r="W55" s="2"/>
      <c r="X55" s="6">
        <f t="shared" si="38"/>
        <v>426.66</v>
      </c>
      <c r="Y55" s="2"/>
      <c r="Z55" s="7">
        <f t="shared" si="39"/>
        <v>0</v>
      </c>
    </row>
    <row r="56" spans="1:26" s="24" customFormat="1" hidden="1" outlineLevel="2" x14ac:dyDescent="0.25">
      <c r="A56" s="25"/>
      <c r="B56" s="11" t="str">
        <f>CONCATENATE("          ", "6241", " - ", "OFFICE EXPENSE")</f>
        <v xml:space="preserve">          6241 - OFFICE EXPENSE</v>
      </c>
      <c r="C56" s="11"/>
      <c r="D56" s="6"/>
      <c r="E56" s="2"/>
      <c r="F56" s="7">
        <f t="shared" si="32"/>
        <v>0</v>
      </c>
      <c r="G56" s="2"/>
      <c r="H56" s="6">
        <v>2175.7600000000002</v>
      </c>
      <c r="I56" s="2"/>
      <c r="J56" s="7">
        <f t="shared" si="33"/>
        <v>0</v>
      </c>
      <c r="K56" s="2"/>
      <c r="L56" s="6">
        <f t="shared" si="34"/>
        <v>-2175.7600000000002</v>
      </c>
      <c r="M56" s="2"/>
      <c r="N56" s="7">
        <f t="shared" si="35"/>
        <v>-1</v>
      </c>
      <c r="O56" s="11"/>
      <c r="P56" s="6">
        <v>356.23</v>
      </c>
      <c r="Q56" s="2"/>
      <c r="R56" s="7">
        <f t="shared" si="36"/>
        <v>0</v>
      </c>
      <c r="S56" s="2"/>
      <c r="T56" s="6">
        <v>4575.1000000000004</v>
      </c>
      <c r="U56" s="2"/>
      <c r="V56" s="7">
        <f t="shared" si="37"/>
        <v>0</v>
      </c>
      <c r="W56" s="2"/>
      <c r="X56" s="6">
        <f t="shared" si="38"/>
        <v>-4218.8700000000008</v>
      </c>
      <c r="Y56" s="2"/>
      <c r="Z56" s="7">
        <f t="shared" si="39"/>
        <v>-0.92213722104434881</v>
      </c>
    </row>
    <row r="57" spans="1:26" s="24" customFormat="1" hidden="1" outlineLevel="2" x14ac:dyDescent="0.25">
      <c r="A57" s="25"/>
      <c r="B57" s="11" t="str">
        <f>CONCATENATE("          ", "6245", " - ", "PRINTING")</f>
        <v xml:space="preserve">          6245 - PRINTING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/>
      <c r="Q57" s="2"/>
      <c r="R57" s="7">
        <f t="shared" si="36"/>
        <v>0</v>
      </c>
      <c r="S57" s="2"/>
      <c r="T57" s="6">
        <v>662.91</v>
      </c>
      <c r="U57" s="2"/>
      <c r="V57" s="7">
        <f t="shared" si="37"/>
        <v>0</v>
      </c>
      <c r="W57" s="2"/>
      <c r="X57" s="6">
        <f t="shared" si="38"/>
        <v>-662.91</v>
      </c>
      <c r="Y57" s="2"/>
      <c r="Z57" s="7">
        <f t="shared" si="39"/>
        <v>-1</v>
      </c>
    </row>
    <row r="58" spans="1:26" s="26" customFormat="1" outlineLevel="1" collapsed="1" x14ac:dyDescent="0.25">
      <c r="A58" s="27"/>
      <c r="B58" s="13" t="str">
        <f>CONCATENATE("     ","Telephone/Data Lines                              ")</f>
        <v xml:space="preserve">     Telephone/Data Lines                              </v>
      </c>
      <c r="C58" s="13"/>
      <c r="D58" s="1">
        <f>SUM(OSRRefD22_12x_0)</f>
        <v>358.11</v>
      </c>
      <c r="E58" s="1"/>
      <c r="F58" s="5">
        <f t="shared" ref="F58:F63" si="40">IF(D$12=0,0,D58/D$12)</f>
        <v>0</v>
      </c>
      <c r="G58" s="1"/>
      <c r="H58" s="1">
        <f>SUM(OSRRefH22_12x_0)</f>
        <v>419.35</v>
      </c>
      <c r="I58" s="1"/>
      <c r="J58" s="5">
        <f t="shared" ref="J58:J63" si="41">IF(H$12=0,0,H58/H$12)</f>
        <v>0</v>
      </c>
      <c r="K58" s="1"/>
      <c r="L58" s="1">
        <f t="shared" ref="L58:L63" si="42">+D58-H58</f>
        <v>-61.240000000000009</v>
      </c>
      <c r="M58" s="1"/>
      <c r="N58" s="5">
        <f t="shared" ref="N58:N63" si="43">IF(H58=0,0,L58/H58)</f>
        <v>-0.14603553117920592</v>
      </c>
      <c r="O58" s="13"/>
      <c r="P58" s="1">
        <f>SUM(OSRRefP22_12x_0)</f>
        <v>2878.16</v>
      </c>
      <c r="Q58" s="1"/>
      <c r="R58" s="5">
        <f t="shared" ref="R58:R63" si="44">IF(P$12=0,0,P58/P$12)</f>
        <v>0</v>
      </c>
      <c r="S58" s="1"/>
      <c r="T58" s="1">
        <f>SUM(OSRRefT22_12x_0)</f>
        <v>2858.79</v>
      </c>
      <c r="U58" s="1"/>
      <c r="V58" s="5">
        <f t="shared" ref="V58:V63" si="45">IF(T$12=0,0,T58/T$12)</f>
        <v>0</v>
      </c>
      <c r="W58" s="1"/>
      <c r="X58" s="1">
        <f t="shared" ref="X58:X63" si="46">+P58-T58</f>
        <v>19.369999999999891</v>
      </c>
      <c r="Y58" s="1"/>
      <c r="Z58" s="5">
        <f t="shared" ref="Z58:Z63" si="47">IF(T58=0,0,X58/T58)</f>
        <v>6.7755938701338295E-3</v>
      </c>
    </row>
    <row r="59" spans="1:26" s="24" customFormat="1" hidden="1" outlineLevel="2" x14ac:dyDescent="0.25">
      <c r="A59" s="25"/>
      <c r="B59" s="11" t="str">
        <f>CONCATENATE("          ", "6309", " - ", "TELEPHONE")</f>
        <v xml:space="preserve">          6309 - TELEPHONE</v>
      </c>
      <c r="C59" s="11"/>
      <c r="D59" s="6">
        <v>358.11</v>
      </c>
      <c r="E59" s="2"/>
      <c r="F59" s="7">
        <f t="shared" si="40"/>
        <v>0</v>
      </c>
      <c r="G59" s="2"/>
      <c r="H59" s="6">
        <v>419.35</v>
      </c>
      <c r="I59" s="2"/>
      <c r="J59" s="7">
        <f t="shared" si="41"/>
        <v>0</v>
      </c>
      <c r="K59" s="2"/>
      <c r="L59" s="6">
        <f t="shared" si="42"/>
        <v>-61.240000000000009</v>
      </c>
      <c r="M59" s="2"/>
      <c r="N59" s="7">
        <f t="shared" si="43"/>
        <v>-0.14603553117920592</v>
      </c>
      <c r="O59" s="11"/>
      <c r="P59" s="6">
        <v>2878.16</v>
      </c>
      <c r="Q59" s="2"/>
      <c r="R59" s="7">
        <f t="shared" si="44"/>
        <v>0</v>
      </c>
      <c r="S59" s="2"/>
      <c r="T59" s="6">
        <v>2858.79</v>
      </c>
      <c r="U59" s="2"/>
      <c r="V59" s="7">
        <f t="shared" si="45"/>
        <v>0</v>
      </c>
      <c r="W59" s="2"/>
      <c r="X59" s="6">
        <f t="shared" si="46"/>
        <v>19.369999999999891</v>
      </c>
      <c r="Y59" s="2"/>
      <c r="Z59" s="7">
        <f t="shared" si="47"/>
        <v>6.7755938701338295E-3</v>
      </c>
    </row>
    <row r="60" spans="1:26" s="26" customFormat="1" outlineLevel="1" collapsed="1" x14ac:dyDescent="0.25">
      <c r="A60" s="27"/>
      <c r="B60" s="13" t="str">
        <f>CONCATENATE("     ","Training                                          ")</f>
        <v xml:space="preserve">     Training                                          </v>
      </c>
      <c r="C60" s="13"/>
      <c r="D60" s="1">
        <f>SUM(OSRRefD22_13x_0)</f>
        <v>0</v>
      </c>
      <c r="E60" s="1"/>
      <c r="F60" s="5">
        <f t="shared" si="40"/>
        <v>0</v>
      </c>
      <c r="G60" s="1"/>
      <c r="H60" s="1">
        <f>SUM(OSRRefH22_13x_0)</f>
        <v>0</v>
      </c>
      <c r="I60" s="1"/>
      <c r="J60" s="5">
        <f t="shared" si="41"/>
        <v>0</v>
      </c>
      <c r="K60" s="1"/>
      <c r="L60" s="1">
        <f t="shared" si="42"/>
        <v>0</v>
      </c>
      <c r="M60" s="1"/>
      <c r="N60" s="5">
        <f t="shared" si="43"/>
        <v>0</v>
      </c>
      <c r="O60" s="13"/>
      <c r="P60" s="1">
        <f>SUM(OSRRefP22_13x_0)</f>
        <v>548</v>
      </c>
      <c r="Q60" s="1"/>
      <c r="R60" s="5">
        <f t="shared" si="44"/>
        <v>0</v>
      </c>
      <c r="S60" s="1"/>
      <c r="T60" s="1">
        <f>SUM(OSRRefT22_13x_0)</f>
        <v>338.53</v>
      </c>
      <c r="U60" s="1"/>
      <c r="V60" s="5">
        <f t="shared" si="45"/>
        <v>0</v>
      </c>
      <c r="W60" s="1"/>
      <c r="X60" s="1">
        <f t="shared" si="46"/>
        <v>209.47000000000003</v>
      </c>
      <c r="Y60" s="1"/>
      <c r="Z60" s="5">
        <f t="shared" si="47"/>
        <v>0.61876347738752857</v>
      </c>
    </row>
    <row r="61" spans="1:26" s="24" customFormat="1" hidden="1" outlineLevel="2" x14ac:dyDescent="0.25">
      <c r="A61" s="25"/>
      <c r="B61" s="11" t="str">
        <f>CONCATENATE("          ", "6376", " - ", "TRAINING")</f>
        <v xml:space="preserve">          6376 - TRAINING</v>
      </c>
      <c r="C61" s="11"/>
      <c r="D61" s="6"/>
      <c r="E61" s="2"/>
      <c r="F61" s="7">
        <f t="shared" si="40"/>
        <v>0</v>
      </c>
      <c r="G61" s="2"/>
      <c r="H61" s="6"/>
      <c r="I61" s="2"/>
      <c r="J61" s="7">
        <f t="shared" si="41"/>
        <v>0</v>
      </c>
      <c r="K61" s="2"/>
      <c r="L61" s="6">
        <f t="shared" si="42"/>
        <v>0</v>
      </c>
      <c r="M61" s="2"/>
      <c r="N61" s="7">
        <f t="shared" si="43"/>
        <v>0</v>
      </c>
      <c r="O61" s="11"/>
      <c r="P61" s="6">
        <v>548</v>
      </c>
      <c r="Q61" s="2"/>
      <c r="R61" s="7">
        <f t="shared" si="44"/>
        <v>0</v>
      </c>
      <c r="S61" s="2"/>
      <c r="T61" s="6">
        <v>338.53</v>
      </c>
      <c r="U61" s="2"/>
      <c r="V61" s="7">
        <f t="shared" si="45"/>
        <v>0</v>
      </c>
      <c r="W61" s="2"/>
      <c r="X61" s="6">
        <f t="shared" si="46"/>
        <v>209.47000000000003</v>
      </c>
      <c r="Y61" s="2"/>
      <c r="Z61" s="7">
        <f t="shared" si="47"/>
        <v>0.61876347738752857</v>
      </c>
    </row>
    <row r="62" spans="1:26" s="26" customFormat="1" outlineLevel="1" collapsed="1" x14ac:dyDescent="0.25">
      <c r="A62" s="27"/>
      <c r="B62" s="13" t="str">
        <f>CONCATENATE("     ","Travel                                            ")</f>
        <v xml:space="preserve">     Travel                                            </v>
      </c>
      <c r="C62" s="13"/>
      <c r="D62" s="1">
        <f>SUM(OSRRefD22_14x_0)</f>
        <v>21.2</v>
      </c>
      <c r="E62" s="1"/>
      <c r="F62" s="5">
        <f t="shared" si="40"/>
        <v>0</v>
      </c>
      <c r="G62" s="1"/>
      <c r="H62" s="1">
        <f>SUM(OSRRefH22_14x_0)</f>
        <v>0</v>
      </c>
      <c r="I62" s="1"/>
      <c r="J62" s="5">
        <f t="shared" si="41"/>
        <v>0</v>
      </c>
      <c r="K62" s="1"/>
      <c r="L62" s="1">
        <f t="shared" si="42"/>
        <v>21.2</v>
      </c>
      <c r="M62" s="1"/>
      <c r="N62" s="5">
        <f t="shared" si="43"/>
        <v>0</v>
      </c>
      <c r="O62" s="13"/>
      <c r="P62" s="1">
        <f>SUM(OSRRefP22_14x_0)</f>
        <v>67.819999999999993</v>
      </c>
      <c r="Q62" s="1"/>
      <c r="R62" s="5">
        <f t="shared" si="44"/>
        <v>0</v>
      </c>
      <c r="S62" s="1"/>
      <c r="T62" s="1">
        <f>SUM(OSRRefT22_14x_0)</f>
        <v>0</v>
      </c>
      <c r="U62" s="1"/>
      <c r="V62" s="5">
        <f t="shared" si="45"/>
        <v>0</v>
      </c>
      <c r="W62" s="1"/>
      <c r="X62" s="1">
        <f t="shared" si="46"/>
        <v>67.819999999999993</v>
      </c>
      <c r="Y62" s="1"/>
      <c r="Z62" s="5">
        <f t="shared" si="47"/>
        <v>0</v>
      </c>
    </row>
    <row r="63" spans="1:26" s="24" customFormat="1" hidden="1" outlineLevel="2" x14ac:dyDescent="0.25">
      <c r="A63" s="25"/>
      <c r="B63" s="11" t="str">
        <f>CONCATENATE("          ", "6294", " - ", "TRAVEL OPERATIONAL")</f>
        <v xml:space="preserve">          6294 - TRAVEL OPERATIONAL</v>
      </c>
      <c r="C63" s="11"/>
      <c r="D63" s="6">
        <v>21.2</v>
      </c>
      <c r="E63" s="2"/>
      <c r="F63" s="7">
        <f t="shared" si="40"/>
        <v>0</v>
      </c>
      <c r="G63" s="2"/>
      <c r="H63" s="6"/>
      <c r="I63" s="2"/>
      <c r="J63" s="7">
        <f t="shared" si="41"/>
        <v>0</v>
      </c>
      <c r="K63" s="2"/>
      <c r="L63" s="6">
        <f t="shared" si="42"/>
        <v>21.2</v>
      </c>
      <c r="M63" s="2"/>
      <c r="N63" s="7">
        <f t="shared" si="43"/>
        <v>0</v>
      </c>
      <c r="O63" s="11"/>
      <c r="P63" s="6">
        <v>67.819999999999993</v>
      </c>
      <c r="Q63" s="2"/>
      <c r="R63" s="7">
        <f t="shared" si="44"/>
        <v>0</v>
      </c>
      <c r="S63" s="2"/>
      <c r="T63" s="6"/>
      <c r="U63" s="2"/>
      <c r="V63" s="7">
        <f t="shared" si="45"/>
        <v>0</v>
      </c>
      <c r="W63" s="2"/>
      <c r="X63" s="6">
        <f t="shared" si="46"/>
        <v>67.819999999999993</v>
      </c>
      <c r="Y63" s="2"/>
      <c r="Z63" s="7">
        <f t="shared" si="47"/>
        <v>0</v>
      </c>
    </row>
    <row r="64" spans="1:26" s="61" customFormat="1" x14ac:dyDescent="0.25">
      <c r="A64" s="37"/>
      <c r="B64" s="37"/>
      <c r="C64" s="37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25">
      <c r="A65" s="10"/>
      <c r="B65" s="29" t="s">
        <v>0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8" t="s">
        <v>3</v>
      </c>
      <c r="C67" s="28"/>
      <c r="D67" s="20">
        <f>+D16-D18+D65</f>
        <v>-46973.339999999989</v>
      </c>
      <c r="E67" s="14"/>
      <c r="F67" s="22">
        <f>IF(D$12=0,0,D67/D$12)</f>
        <v>0</v>
      </c>
      <c r="G67" s="14"/>
      <c r="H67" s="20">
        <f>+H16-H18+H65</f>
        <v>-62425.07</v>
      </c>
      <c r="I67" s="14"/>
      <c r="J67" s="22">
        <f>IF(H$12=0,0,H67/H$12)</f>
        <v>0</v>
      </c>
      <c r="K67" s="15"/>
      <c r="L67" s="20">
        <f>+D67-H67</f>
        <v>15451.73000000001</v>
      </c>
      <c r="M67" s="15"/>
      <c r="N67" s="22">
        <f>IF(H67=0,0,L67/H67)</f>
        <v>-0.24752443209114561</v>
      </c>
      <c r="O67" s="29"/>
      <c r="P67" s="20">
        <f>+P16-P18+P65</f>
        <v>-271970.69</v>
      </c>
      <c r="Q67" s="14"/>
      <c r="R67" s="22">
        <f>IF(P$12=0,0,P67/P$12)</f>
        <v>0</v>
      </c>
      <c r="S67" s="14"/>
      <c r="T67" s="20">
        <f>+T16-T18+T65</f>
        <v>-368582.25999999995</v>
      </c>
      <c r="U67" s="14"/>
      <c r="V67" s="22">
        <f>IF(T$12=0,0,T67/T$12)</f>
        <v>0</v>
      </c>
      <c r="W67" s="15"/>
      <c r="X67" s="20">
        <f>+P67-T67</f>
        <v>96611.569999999949</v>
      </c>
      <c r="Y67" s="15"/>
      <c r="Z67" s="22">
        <f>IF(T67=0,0,X67/T67)</f>
        <v>-0.26211671174841666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1"/>
      <c r="B69" s="10" t="s">
        <v>13</v>
      </c>
      <c r="C69" s="10"/>
      <c r="D69" s="4"/>
      <c r="E69" s="4"/>
      <c r="F69" s="12">
        <f>IF(D$12=0,0,D69/D$12)</f>
        <v>0</v>
      </c>
      <c r="G69" s="4"/>
      <c r="H69" s="4"/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/>
      <c r="Q69" s="4"/>
      <c r="R69" s="12">
        <f>IF(P$12=0,0,P69/P$12)</f>
        <v>0</v>
      </c>
      <c r="S69" s="4"/>
      <c r="T69" s="4"/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8" t="s">
        <v>4</v>
      </c>
      <c r="C71" s="28"/>
      <c r="D71" s="30">
        <f>+D67-D69</f>
        <v>-46973.339999999989</v>
      </c>
      <c r="E71" s="14"/>
      <c r="F71" s="36">
        <f>IF(D$12=0,0,D71/D$12)</f>
        <v>0</v>
      </c>
      <c r="G71" s="14"/>
      <c r="H71" s="30">
        <f>+H67-H69</f>
        <v>-62425.07</v>
      </c>
      <c r="I71" s="14"/>
      <c r="J71" s="36">
        <f>IF(H$12=0,0,H71/H$12)</f>
        <v>0</v>
      </c>
      <c r="K71" s="15"/>
      <c r="L71" s="30">
        <f>D71-H71</f>
        <v>15451.73000000001</v>
      </c>
      <c r="M71" s="15"/>
      <c r="N71" s="36">
        <f>IF(H71=0,0,L71/H71)</f>
        <v>-0.24752443209114561</v>
      </c>
      <c r="O71" s="29"/>
      <c r="P71" s="30">
        <f>+P67-P69</f>
        <v>-271970.69</v>
      </c>
      <c r="Q71" s="14"/>
      <c r="R71" s="36">
        <f>IF(P$12=0,0,P71/P$12)</f>
        <v>0</v>
      </c>
      <c r="S71" s="14"/>
      <c r="T71" s="30">
        <f>+T67-T69</f>
        <v>-368582.25999999995</v>
      </c>
      <c r="U71" s="14"/>
      <c r="V71" s="36">
        <f>IF(T$12=0,0,T71/T$12)</f>
        <v>0</v>
      </c>
      <c r="W71" s="15"/>
      <c r="X71" s="30">
        <f>P71-T71</f>
        <v>96611.569999999949</v>
      </c>
      <c r="Y71" s="15"/>
      <c r="Z71" s="36">
        <f>IF(T71=0,0,X71/T71)</f>
        <v>-0.26211671174841666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5</v>
      </c>
      <c r="C74" s="28"/>
      <c r="D74" s="32">
        <f>SUM(D71:D73)</f>
        <v>-46973.339999999989</v>
      </c>
      <c r="E74" s="14"/>
      <c r="F74" s="31">
        <f>IF(D$12=0,0,D74/D$12)</f>
        <v>0</v>
      </c>
      <c r="G74" s="14"/>
      <c r="H74" s="32">
        <f>SUM(H71:H73)</f>
        <v>-62425.07</v>
      </c>
      <c r="I74" s="14"/>
      <c r="J74" s="31">
        <f>IF(H$12=0,0,H74/H$12)</f>
        <v>0</v>
      </c>
      <c r="K74" s="15"/>
      <c r="L74" s="32">
        <f>+D74-H74</f>
        <v>15451.73000000001</v>
      </c>
      <c r="M74" s="15"/>
      <c r="N74" s="31">
        <f>IF(H74=0,0,L74/H74)</f>
        <v>-0.24752443209114561</v>
      </c>
      <c r="O74" s="29"/>
      <c r="P74" s="32">
        <f>SUM(P71:P73)</f>
        <v>-271970.69</v>
      </c>
      <c r="Q74" s="14"/>
      <c r="R74" s="31">
        <f>IF(P$12=0,0,P74/P$12)</f>
        <v>0</v>
      </c>
      <c r="S74" s="14"/>
      <c r="T74" s="32">
        <f>SUM(T71:T73)</f>
        <v>-368582.25999999995</v>
      </c>
      <c r="U74" s="14"/>
      <c r="V74" s="31">
        <f>IF(T$12=0,0,T74/T$12)</f>
        <v>0</v>
      </c>
      <c r="W74" s="15"/>
      <c r="X74" s="32">
        <f>+P74-T74</f>
        <v>96611.569999999949</v>
      </c>
      <c r="Y74" s="15"/>
      <c r="Z74" s="31">
        <f>IF(T74=0,0,X74/T74)</f>
        <v>-0.26211671174841666</v>
      </c>
    </row>
    <row r="75" spans="1:26" ht="15.75" thickTop="1" x14ac:dyDescent="0.25">
      <c r="A75" s="9"/>
      <c r="C75" s="9"/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62">
        <v>44238.496047766203</v>
      </c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9" t="s">
        <v>313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6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","203", " - ", "Human Resources")</f>
        <v>Department 203 - Human Resources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51218.010000000009</v>
      </c>
      <c r="E18" s="21"/>
      <c r="F18" s="35">
        <f t="shared" ref="F18:F29" si="0">IF(D$12=0,0,D18/D$12)</f>
        <v>0</v>
      </c>
      <c r="G18" s="21"/>
      <c r="H18" s="21">
        <f>SUM(OSRRefH22x_0)</f>
        <v>71552.580000000016</v>
      </c>
      <c r="I18" s="21"/>
      <c r="J18" s="35">
        <f t="shared" ref="J18:J29" si="1">IF(H$12=0,0,H18/H$12)</f>
        <v>0</v>
      </c>
      <c r="K18" s="4"/>
      <c r="L18" s="21">
        <f t="shared" ref="L18:L29" si="2">+D18-H18</f>
        <v>-20334.570000000007</v>
      </c>
      <c r="M18" s="4"/>
      <c r="N18" s="35">
        <f t="shared" ref="N18:N29" si="3">IF(H18=0,0,L18/H18)</f>
        <v>-0.28419059103109912</v>
      </c>
      <c r="O18" s="10"/>
      <c r="P18" s="21">
        <f>SUM(OSRRefP22x_0)</f>
        <v>322847.12000000005</v>
      </c>
      <c r="Q18" s="21"/>
      <c r="R18" s="35">
        <f t="shared" ref="R18:R29" si="4">IF(P$12=0,0,P18/P$12)</f>
        <v>0</v>
      </c>
      <c r="S18" s="21"/>
      <c r="T18" s="21">
        <f>SUM(OSRRefT22x_0)</f>
        <v>474151.29</v>
      </c>
      <c r="U18" s="21"/>
      <c r="V18" s="35">
        <f t="shared" ref="V18:V29" si="5">IF(T$12=0,0,T18/T$12)</f>
        <v>0</v>
      </c>
      <c r="W18" s="4"/>
      <c r="X18" s="21">
        <f t="shared" ref="X18:X29" si="6">+P18-T18</f>
        <v>-151304.16999999993</v>
      </c>
      <c r="Y18" s="4"/>
      <c r="Z18" s="35">
        <f t="shared" ref="Z18:Z29" si="7">IF(T18=0,0,X18/T18)</f>
        <v>-0.31910525857685618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11558.580000000002</v>
      </c>
      <c r="E19" s="1"/>
      <c r="F19" s="5">
        <f t="shared" si="0"/>
        <v>0</v>
      </c>
      <c r="G19" s="1"/>
      <c r="H19" s="1">
        <f>SUM(OSRRefH22_0x_0)</f>
        <v>15464.15</v>
      </c>
      <c r="I19" s="1"/>
      <c r="J19" s="5">
        <f t="shared" si="1"/>
        <v>0</v>
      </c>
      <c r="K19" s="1"/>
      <c r="L19" s="1">
        <f t="shared" si="2"/>
        <v>-3905.5699999999979</v>
      </c>
      <c r="M19" s="1"/>
      <c r="N19" s="5">
        <f t="shared" si="3"/>
        <v>-0.2525563965688381</v>
      </c>
      <c r="O19" s="13"/>
      <c r="P19" s="1">
        <f>SUM(OSRRefP22_0x_0)</f>
        <v>87533.17</v>
      </c>
      <c r="Q19" s="1"/>
      <c r="R19" s="5">
        <f t="shared" si="4"/>
        <v>0</v>
      </c>
      <c r="S19" s="1"/>
      <c r="T19" s="1">
        <f>SUM(OSRRefT22_0x_0)</f>
        <v>96828.23000000001</v>
      </c>
      <c r="U19" s="1"/>
      <c r="V19" s="5">
        <f t="shared" si="5"/>
        <v>0</v>
      </c>
      <c r="W19" s="1"/>
      <c r="X19" s="1">
        <f t="shared" si="6"/>
        <v>-9295.0600000000122</v>
      </c>
      <c r="Y19" s="1"/>
      <c r="Z19" s="5">
        <f t="shared" si="7"/>
        <v>-9.5995351768797296E-2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1887.9</v>
      </c>
      <c r="E20" s="2"/>
      <c r="F20" s="7">
        <f t="shared" si="0"/>
        <v>0</v>
      </c>
      <c r="G20" s="2"/>
      <c r="H20" s="6">
        <v>2037.13</v>
      </c>
      <c r="I20" s="2"/>
      <c r="J20" s="7">
        <f t="shared" si="1"/>
        <v>0</v>
      </c>
      <c r="K20" s="2"/>
      <c r="L20" s="6">
        <f t="shared" si="2"/>
        <v>-149.23000000000002</v>
      </c>
      <c r="M20" s="2"/>
      <c r="N20" s="7">
        <f t="shared" si="3"/>
        <v>-7.3255020543607927E-2</v>
      </c>
      <c r="O20" s="11"/>
      <c r="P20" s="6">
        <v>15222.630000000001</v>
      </c>
      <c r="Q20" s="2"/>
      <c r="R20" s="7">
        <f t="shared" si="4"/>
        <v>0</v>
      </c>
      <c r="S20" s="2"/>
      <c r="T20" s="6">
        <v>14618.3</v>
      </c>
      <c r="U20" s="2"/>
      <c r="V20" s="7">
        <f t="shared" si="5"/>
        <v>0</v>
      </c>
      <c r="W20" s="2"/>
      <c r="X20" s="6">
        <f t="shared" si="6"/>
        <v>604.33000000000175</v>
      </c>
      <c r="Y20" s="2"/>
      <c r="Z20" s="7">
        <f t="shared" si="7"/>
        <v>4.134064836540513E-2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3.44</v>
      </c>
      <c r="E21" s="2"/>
      <c r="F21" s="7">
        <f t="shared" si="0"/>
        <v>0</v>
      </c>
      <c r="G21" s="2"/>
      <c r="H21" s="6">
        <v>91.59</v>
      </c>
      <c r="I21" s="2"/>
      <c r="J21" s="7">
        <f t="shared" si="1"/>
        <v>0</v>
      </c>
      <c r="K21" s="2"/>
      <c r="L21" s="6">
        <f t="shared" si="2"/>
        <v>-88.15</v>
      </c>
      <c r="M21" s="2"/>
      <c r="N21" s="7">
        <f t="shared" si="3"/>
        <v>-0.96244131455399062</v>
      </c>
      <c r="O21" s="11"/>
      <c r="P21" s="6">
        <v>664.22</v>
      </c>
      <c r="Q21" s="2"/>
      <c r="R21" s="7">
        <f t="shared" si="4"/>
        <v>0</v>
      </c>
      <c r="S21" s="2"/>
      <c r="T21" s="6">
        <v>519.23</v>
      </c>
      <c r="U21" s="2"/>
      <c r="V21" s="7">
        <f t="shared" si="5"/>
        <v>0</v>
      </c>
      <c r="W21" s="2"/>
      <c r="X21" s="6">
        <f t="shared" si="6"/>
        <v>144.99</v>
      </c>
      <c r="Y21" s="2"/>
      <c r="Z21" s="7">
        <f t="shared" si="7"/>
        <v>0.27924041368950175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6028.29</v>
      </c>
      <c r="E22" s="2"/>
      <c r="F22" s="7">
        <f t="shared" si="0"/>
        <v>0</v>
      </c>
      <c r="G22" s="2"/>
      <c r="H22" s="6">
        <v>6091.6</v>
      </c>
      <c r="I22" s="2"/>
      <c r="J22" s="7">
        <f t="shared" si="1"/>
        <v>0</v>
      </c>
      <c r="K22" s="2"/>
      <c r="L22" s="6">
        <f t="shared" si="2"/>
        <v>-63.3100000000004</v>
      </c>
      <c r="M22" s="2"/>
      <c r="N22" s="7">
        <f t="shared" si="3"/>
        <v>-1.0393000196992646E-2</v>
      </c>
      <c r="O22" s="11"/>
      <c r="P22" s="6">
        <v>42578.310000000005</v>
      </c>
      <c r="Q22" s="2"/>
      <c r="R22" s="7">
        <f t="shared" si="4"/>
        <v>0</v>
      </c>
      <c r="S22" s="2"/>
      <c r="T22" s="6">
        <v>41262.120000000003</v>
      </c>
      <c r="U22" s="2"/>
      <c r="V22" s="7">
        <f t="shared" si="5"/>
        <v>0</v>
      </c>
      <c r="W22" s="2"/>
      <c r="X22" s="6">
        <f t="shared" si="6"/>
        <v>1316.1900000000023</v>
      </c>
      <c r="Y22" s="2"/>
      <c r="Z22" s="7">
        <f t="shared" si="7"/>
        <v>3.1898264073683132E-2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128.9</v>
      </c>
      <c r="E23" s="2"/>
      <c r="F23" s="7">
        <f t="shared" si="0"/>
        <v>0</v>
      </c>
      <c r="G23" s="2"/>
      <c r="H23" s="6">
        <v>70.040000000000006</v>
      </c>
      <c r="I23" s="2"/>
      <c r="J23" s="7">
        <f t="shared" si="1"/>
        <v>0</v>
      </c>
      <c r="K23" s="2"/>
      <c r="L23" s="6">
        <f t="shared" si="2"/>
        <v>58.86</v>
      </c>
      <c r="M23" s="2"/>
      <c r="N23" s="7">
        <f t="shared" si="3"/>
        <v>0.84037692747001702</v>
      </c>
      <c r="O23" s="11"/>
      <c r="P23" s="6">
        <v>523.32000000000005</v>
      </c>
      <c r="Q23" s="2"/>
      <c r="R23" s="7">
        <f t="shared" si="4"/>
        <v>0</v>
      </c>
      <c r="S23" s="2"/>
      <c r="T23" s="6">
        <v>495.75</v>
      </c>
      <c r="U23" s="2"/>
      <c r="V23" s="7">
        <f t="shared" si="5"/>
        <v>0</v>
      </c>
      <c r="W23" s="2"/>
      <c r="X23" s="6">
        <f t="shared" si="6"/>
        <v>27.57000000000005</v>
      </c>
      <c r="Y23" s="2"/>
      <c r="Z23" s="7">
        <f t="shared" si="7"/>
        <v>5.5612708018154412E-2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1637.22</v>
      </c>
      <c r="E24" s="2"/>
      <c r="F24" s="7">
        <f t="shared" si="0"/>
        <v>0</v>
      </c>
      <c r="G24" s="2"/>
      <c r="H24" s="6">
        <v>1602.07</v>
      </c>
      <c r="I24" s="2"/>
      <c r="J24" s="7">
        <f t="shared" si="1"/>
        <v>0</v>
      </c>
      <c r="K24" s="2"/>
      <c r="L24" s="6">
        <f t="shared" si="2"/>
        <v>35.150000000000091</v>
      </c>
      <c r="M24" s="2"/>
      <c r="N24" s="7">
        <f t="shared" si="3"/>
        <v>2.1940364653229943E-2</v>
      </c>
      <c r="O24" s="11"/>
      <c r="P24" s="6">
        <v>10008.879999999999</v>
      </c>
      <c r="Q24" s="2"/>
      <c r="R24" s="7">
        <f t="shared" si="4"/>
        <v>0</v>
      </c>
      <c r="S24" s="2"/>
      <c r="T24" s="6">
        <v>8642.36</v>
      </c>
      <c r="U24" s="2"/>
      <c r="V24" s="7">
        <f t="shared" si="5"/>
        <v>0</v>
      </c>
      <c r="W24" s="2"/>
      <c r="X24" s="6">
        <f t="shared" si="6"/>
        <v>1366.5199999999986</v>
      </c>
      <c r="Y24" s="2"/>
      <c r="Z24" s="7">
        <f t="shared" si="7"/>
        <v>0.15811884716674596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2231.94</v>
      </c>
      <c r="I25" s="2"/>
      <c r="J25" s="7">
        <f t="shared" si="1"/>
        <v>0</v>
      </c>
      <c r="K25" s="2"/>
      <c r="L25" s="6">
        <f t="shared" si="2"/>
        <v>-2231.94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4203.88</v>
      </c>
      <c r="U25" s="2"/>
      <c r="V25" s="7">
        <f t="shared" si="5"/>
        <v>0</v>
      </c>
      <c r="W25" s="2"/>
      <c r="X25" s="6">
        <f t="shared" si="6"/>
        <v>-4203.88</v>
      </c>
      <c r="Y25" s="2"/>
      <c r="Z25" s="7">
        <f t="shared" si="7"/>
        <v>-1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486.03</v>
      </c>
      <c r="E26" s="2"/>
      <c r="F26" s="7">
        <f t="shared" si="0"/>
        <v>0</v>
      </c>
      <c r="G26" s="2"/>
      <c r="H26" s="6">
        <v>557.91999999999996</v>
      </c>
      <c r="I26" s="2"/>
      <c r="J26" s="7">
        <f t="shared" si="1"/>
        <v>0</v>
      </c>
      <c r="K26" s="2"/>
      <c r="L26" s="6">
        <f t="shared" si="2"/>
        <v>-71.889999999999986</v>
      </c>
      <c r="M26" s="2"/>
      <c r="N26" s="7">
        <f t="shared" si="3"/>
        <v>-0.1288535990823057</v>
      </c>
      <c r="O26" s="11"/>
      <c r="P26" s="6">
        <v>4331.84</v>
      </c>
      <c r="Q26" s="2"/>
      <c r="R26" s="7">
        <f t="shared" si="4"/>
        <v>0</v>
      </c>
      <c r="S26" s="2"/>
      <c r="T26" s="6">
        <v>3325.96</v>
      </c>
      <c r="U26" s="2"/>
      <c r="V26" s="7">
        <f t="shared" si="5"/>
        <v>0</v>
      </c>
      <c r="W26" s="2"/>
      <c r="X26" s="6">
        <f t="shared" si="6"/>
        <v>1005.8800000000001</v>
      </c>
      <c r="Y26" s="2"/>
      <c r="Z26" s="7">
        <f t="shared" si="7"/>
        <v>0.30243298175564354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478.68</v>
      </c>
      <c r="E27" s="2"/>
      <c r="F27" s="7">
        <f t="shared" si="0"/>
        <v>0</v>
      </c>
      <c r="G27" s="2"/>
      <c r="H27" s="6">
        <v>1324.72</v>
      </c>
      <c r="I27" s="2"/>
      <c r="J27" s="7">
        <f t="shared" si="1"/>
        <v>0</v>
      </c>
      <c r="K27" s="2"/>
      <c r="L27" s="6">
        <f t="shared" si="2"/>
        <v>-846.04</v>
      </c>
      <c r="M27" s="2"/>
      <c r="N27" s="7">
        <f t="shared" si="3"/>
        <v>-0.63865571592487469</v>
      </c>
      <c r="O27" s="11"/>
      <c r="P27" s="6">
        <v>7053.24</v>
      </c>
      <c r="Q27" s="2"/>
      <c r="R27" s="7">
        <f t="shared" si="4"/>
        <v>0</v>
      </c>
      <c r="S27" s="2"/>
      <c r="T27" s="6">
        <v>12612.41</v>
      </c>
      <c r="U27" s="2"/>
      <c r="V27" s="7">
        <f t="shared" si="5"/>
        <v>0</v>
      </c>
      <c r="W27" s="2"/>
      <c r="X27" s="6">
        <f t="shared" si="6"/>
        <v>-5559.17</v>
      </c>
      <c r="Y27" s="2"/>
      <c r="Z27" s="7">
        <f t="shared" si="7"/>
        <v>-0.44076984493843763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908.12</v>
      </c>
      <c r="E28" s="2"/>
      <c r="F28" s="7">
        <f t="shared" si="0"/>
        <v>0</v>
      </c>
      <c r="G28" s="2"/>
      <c r="H28" s="6">
        <v>1006.49</v>
      </c>
      <c r="I28" s="2"/>
      <c r="J28" s="7">
        <f t="shared" si="1"/>
        <v>0</v>
      </c>
      <c r="K28" s="2"/>
      <c r="L28" s="6">
        <f t="shared" si="2"/>
        <v>-98.37</v>
      </c>
      <c r="M28" s="2"/>
      <c r="N28" s="7">
        <f t="shared" si="3"/>
        <v>-9.7735695337261175E-2</v>
      </c>
      <c r="O28" s="11"/>
      <c r="P28" s="6">
        <v>6810.9</v>
      </c>
      <c r="Q28" s="2"/>
      <c r="R28" s="7">
        <f t="shared" si="4"/>
        <v>0</v>
      </c>
      <c r="S28" s="2"/>
      <c r="T28" s="6">
        <v>8416.82</v>
      </c>
      <c r="U28" s="2"/>
      <c r="V28" s="7">
        <f t="shared" si="5"/>
        <v>0</v>
      </c>
      <c r="W28" s="2"/>
      <c r="X28" s="6">
        <f t="shared" si="6"/>
        <v>-1605.92</v>
      </c>
      <c r="Y28" s="2"/>
      <c r="Z28" s="7">
        <f t="shared" si="7"/>
        <v>-0.19079890029726193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/>
      <c r="E29" s="2"/>
      <c r="F29" s="7">
        <f t="shared" si="0"/>
        <v>0</v>
      </c>
      <c r="G29" s="2"/>
      <c r="H29" s="6">
        <v>450.65</v>
      </c>
      <c r="I29" s="2"/>
      <c r="J29" s="7">
        <f t="shared" si="1"/>
        <v>0</v>
      </c>
      <c r="K29" s="2"/>
      <c r="L29" s="6">
        <f t="shared" si="2"/>
        <v>-450.65</v>
      </c>
      <c r="M29" s="2"/>
      <c r="N29" s="7">
        <f t="shared" si="3"/>
        <v>-1</v>
      </c>
      <c r="O29" s="11"/>
      <c r="P29" s="6">
        <v>339.83</v>
      </c>
      <c r="Q29" s="2"/>
      <c r="R29" s="7">
        <f t="shared" si="4"/>
        <v>0</v>
      </c>
      <c r="S29" s="2"/>
      <c r="T29" s="6">
        <v>2731.4</v>
      </c>
      <c r="U29" s="2"/>
      <c r="V29" s="7">
        <f t="shared" si="5"/>
        <v>0</v>
      </c>
      <c r="W29" s="2"/>
      <c r="X29" s="6">
        <f t="shared" si="6"/>
        <v>-2391.5700000000002</v>
      </c>
      <c r="Y29" s="2"/>
      <c r="Z29" s="7">
        <f t="shared" si="7"/>
        <v>-0.87558394962290409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30878.41</v>
      </c>
      <c r="E30" s="1"/>
      <c r="F30" s="5">
        <f t="shared" ref="F30:F35" si="8">IF(D$12=0,0,D30/D$12)</f>
        <v>0</v>
      </c>
      <c r="G30" s="1"/>
      <c r="H30" s="1">
        <f>SUM(OSRRefH22_1x_0)</f>
        <v>33019.479999999996</v>
      </c>
      <c r="I30" s="1"/>
      <c r="J30" s="5">
        <f t="shared" ref="J30:J35" si="9">IF(H$12=0,0,H30/H$12)</f>
        <v>0</v>
      </c>
      <c r="K30" s="1"/>
      <c r="L30" s="1">
        <f t="shared" ref="L30:L35" si="10">+D30-H30</f>
        <v>-2141.0699999999961</v>
      </c>
      <c r="M30" s="1"/>
      <c r="N30" s="5">
        <f t="shared" ref="N30:N35" si="11">IF(H30=0,0,L30/H30)</f>
        <v>-6.4842632288576202E-2</v>
      </c>
      <c r="O30" s="13"/>
      <c r="P30" s="1">
        <f>SUM(OSRRefP22_1x_0)</f>
        <v>190551</v>
      </c>
      <c r="Q30" s="1"/>
      <c r="R30" s="5">
        <f t="shared" ref="R30:R35" si="12">IF(P$12=0,0,P30/P$12)</f>
        <v>0</v>
      </c>
      <c r="S30" s="1"/>
      <c r="T30" s="1">
        <f>SUM(OSRRefT22_1x_0)</f>
        <v>173522.49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17028.510000000009</v>
      </c>
      <c r="Y30" s="1"/>
      <c r="Z30" s="5">
        <f t="shared" ref="Z30:Z35" si="15">IF(T30=0,0,X30/T30)</f>
        <v>9.8134311004873256E-2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>
        <v>12443.68</v>
      </c>
      <c r="E31" s="2"/>
      <c r="F31" s="7">
        <f t="shared" si="8"/>
        <v>0</v>
      </c>
      <c r="G31" s="2"/>
      <c r="H31" s="6">
        <v>9894.89</v>
      </c>
      <c r="I31" s="2"/>
      <c r="J31" s="7">
        <f t="shared" si="9"/>
        <v>0</v>
      </c>
      <c r="K31" s="2"/>
      <c r="L31" s="6">
        <f t="shared" si="10"/>
        <v>2548.7900000000009</v>
      </c>
      <c r="M31" s="2"/>
      <c r="N31" s="7">
        <f t="shared" si="11"/>
        <v>0.25758649161334801</v>
      </c>
      <c r="O31" s="11"/>
      <c r="P31" s="6">
        <v>73295.98000000001</v>
      </c>
      <c r="Q31" s="2"/>
      <c r="R31" s="7">
        <f t="shared" si="12"/>
        <v>0</v>
      </c>
      <c r="S31" s="2"/>
      <c r="T31" s="6">
        <v>62066.81</v>
      </c>
      <c r="U31" s="2"/>
      <c r="V31" s="7">
        <f t="shared" si="13"/>
        <v>0</v>
      </c>
      <c r="W31" s="2"/>
      <c r="X31" s="6">
        <f t="shared" si="14"/>
        <v>11229.170000000013</v>
      </c>
      <c r="Y31" s="2"/>
      <c r="Z31" s="7">
        <f t="shared" si="15"/>
        <v>0.18092068852902241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8"/>
        <v>0</v>
      </c>
      <c r="G32" s="2"/>
      <c r="H32" s="6">
        <v>4788.3100000000004</v>
      </c>
      <c r="I32" s="2"/>
      <c r="J32" s="7">
        <f t="shared" si="9"/>
        <v>0</v>
      </c>
      <c r="K32" s="2"/>
      <c r="L32" s="6">
        <f t="shared" si="10"/>
        <v>-4788.3100000000004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4788.3100000000004</v>
      </c>
      <c r="U32" s="2"/>
      <c r="V32" s="7">
        <f t="shared" si="13"/>
        <v>0</v>
      </c>
      <c r="W32" s="2"/>
      <c r="X32" s="6">
        <f t="shared" si="14"/>
        <v>-4788.3100000000004</v>
      </c>
      <c r="Y32" s="2"/>
      <c r="Z32" s="7">
        <f t="shared" si="15"/>
        <v>-1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>
        <v>11166.98</v>
      </c>
      <c r="E33" s="2"/>
      <c r="F33" s="7">
        <f t="shared" si="8"/>
        <v>0</v>
      </c>
      <c r="G33" s="2"/>
      <c r="H33" s="6">
        <v>9940.33</v>
      </c>
      <c r="I33" s="2"/>
      <c r="J33" s="7">
        <f t="shared" si="9"/>
        <v>0</v>
      </c>
      <c r="K33" s="2"/>
      <c r="L33" s="6">
        <f t="shared" si="10"/>
        <v>1226.6499999999996</v>
      </c>
      <c r="M33" s="2"/>
      <c r="N33" s="7">
        <f t="shared" si="11"/>
        <v>0.1234013357705428</v>
      </c>
      <c r="O33" s="11"/>
      <c r="P33" s="6">
        <v>73721.22</v>
      </c>
      <c r="Q33" s="2"/>
      <c r="R33" s="7">
        <f t="shared" si="12"/>
        <v>0</v>
      </c>
      <c r="S33" s="2"/>
      <c r="T33" s="6">
        <v>67939.740000000005</v>
      </c>
      <c r="U33" s="2"/>
      <c r="V33" s="7">
        <f t="shared" si="13"/>
        <v>0</v>
      </c>
      <c r="W33" s="2"/>
      <c r="X33" s="6">
        <f t="shared" si="14"/>
        <v>5781.4799999999959</v>
      </c>
      <c r="Y33" s="2"/>
      <c r="Z33" s="7">
        <f t="shared" si="15"/>
        <v>8.5097175820808196E-2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>
        <v>3541.75</v>
      </c>
      <c r="E34" s="2"/>
      <c r="F34" s="7">
        <f t="shared" si="8"/>
        <v>0</v>
      </c>
      <c r="G34" s="2"/>
      <c r="H34" s="6">
        <v>4905.95</v>
      </c>
      <c r="I34" s="2"/>
      <c r="J34" s="7">
        <f t="shared" si="9"/>
        <v>0</v>
      </c>
      <c r="K34" s="2"/>
      <c r="L34" s="6">
        <f t="shared" si="10"/>
        <v>-1364.1999999999998</v>
      </c>
      <c r="M34" s="2"/>
      <c r="N34" s="7">
        <f t="shared" si="11"/>
        <v>-0.2780705062220365</v>
      </c>
      <c r="O34" s="11"/>
      <c r="P34" s="6">
        <v>39807.800000000003</v>
      </c>
      <c r="Q34" s="2"/>
      <c r="R34" s="7">
        <f t="shared" si="12"/>
        <v>0</v>
      </c>
      <c r="S34" s="2"/>
      <c r="T34" s="6">
        <v>35237.630000000005</v>
      </c>
      <c r="U34" s="2"/>
      <c r="V34" s="7">
        <f t="shared" si="13"/>
        <v>0</v>
      </c>
      <c r="W34" s="2"/>
      <c r="X34" s="6">
        <f t="shared" si="14"/>
        <v>4570.1699999999983</v>
      </c>
      <c r="Y34" s="2"/>
      <c r="Z34" s="7">
        <f t="shared" si="15"/>
        <v>0.12969572584762362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>
        <v>3726</v>
      </c>
      <c r="E35" s="2"/>
      <c r="F35" s="7">
        <f t="shared" si="8"/>
        <v>0</v>
      </c>
      <c r="G35" s="2"/>
      <c r="H35" s="6">
        <v>3490</v>
      </c>
      <c r="I35" s="2"/>
      <c r="J35" s="7">
        <f t="shared" si="9"/>
        <v>0</v>
      </c>
      <c r="K35" s="2"/>
      <c r="L35" s="6">
        <f t="shared" si="10"/>
        <v>236</v>
      </c>
      <c r="M35" s="2"/>
      <c r="N35" s="7">
        <f t="shared" si="11"/>
        <v>6.7621776504298001E-2</v>
      </c>
      <c r="O35" s="11"/>
      <c r="P35" s="6">
        <v>3726</v>
      </c>
      <c r="Q35" s="2"/>
      <c r="R35" s="7">
        <f t="shared" si="12"/>
        <v>0</v>
      </c>
      <c r="S35" s="2"/>
      <c r="T35" s="6">
        <v>3490</v>
      </c>
      <c r="U35" s="2"/>
      <c r="V35" s="7">
        <f t="shared" si="13"/>
        <v>0</v>
      </c>
      <c r="W35" s="2"/>
      <c r="X35" s="6">
        <f t="shared" si="14"/>
        <v>236</v>
      </c>
      <c r="Y35" s="2"/>
      <c r="Z35" s="7">
        <f t="shared" si="15"/>
        <v>6.7621776504298001E-2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52" si="16">IF(D$12=0,0,D36/D$12)</f>
        <v>0</v>
      </c>
      <c r="G36" s="1"/>
      <c r="H36" s="1">
        <f>SUM(OSRRefH22_2x_0)</f>
        <v>153.30000000000001</v>
      </c>
      <c r="I36" s="1"/>
      <c r="J36" s="5">
        <f t="shared" ref="J36:J52" si="17">IF(H$12=0,0,H36/H$12)</f>
        <v>0</v>
      </c>
      <c r="K36" s="1"/>
      <c r="L36" s="1">
        <f t="shared" ref="L36:L52" si="18">+D36-H36</f>
        <v>-153.30000000000001</v>
      </c>
      <c r="M36" s="1"/>
      <c r="N36" s="5">
        <f t="shared" ref="N36:N52" si="19">IF(H36=0,0,L36/H36)</f>
        <v>-1</v>
      </c>
      <c r="O36" s="13"/>
      <c r="P36" s="1">
        <f>SUM(OSRRefP22_2x_0)</f>
        <v>0</v>
      </c>
      <c r="Q36" s="1"/>
      <c r="R36" s="5">
        <f t="shared" ref="R36:R52" si="20">IF(P$12=0,0,P36/P$12)</f>
        <v>0</v>
      </c>
      <c r="S36" s="1"/>
      <c r="T36" s="1">
        <f>SUM(OSRRefT22_2x_0)</f>
        <v>1541.04</v>
      </c>
      <c r="U36" s="1"/>
      <c r="V36" s="5">
        <f t="shared" ref="V36:V52" si="21">IF(T$12=0,0,T36/T$12)</f>
        <v>0</v>
      </c>
      <c r="W36" s="1"/>
      <c r="X36" s="1">
        <f t="shared" ref="X36:X52" si="22">+P36-T36</f>
        <v>-1541.04</v>
      </c>
      <c r="Y36" s="1"/>
      <c r="Z36" s="5">
        <f t="shared" ref="Z36:Z52" si="23">IF(T36=0,0,X36/T36)</f>
        <v>-1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>
        <v>153.30000000000001</v>
      </c>
      <c r="I37" s="2"/>
      <c r="J37" s="7">
        <f t="shared" si="17"/>
        <v>0</v>
      </c>
      <c r="K37" s="2"/>
      <c r="L37" s="6">
        <f t="shared" si="18"/>
        <v>-153.30000000000001</v>
      </c>
      <c r="M37" s="2"/>
      <c r="N37" s="7">
        <f t="shared" si="19"/>
        <v>-1</v>
      </c>
      <c r="O37" s="11"/>
      <c r="P37" s="6"/>
      <c r="Q37" s="2"/>
      <c r="R37" s="7">
        <f t="shared" si="20"/>
        <v>0</v>
      </c>
      <c r="S37" s="2"/>
      <c r="T37" s="6">
        <v>1541.04</v>
      </c>
      <c r="U37" s="2"/>
      <c r="V37" s="7">
        <f t="shared" si="21"/>
        <v>0</v>
      </c>
      <c r="W37" s="2"/>
      <c r="X37" s="6">
        <f t="shared" si="22"/>
        <v>-1541.04</v>
      </c>
      <c r="Y37" s="2"/>
      <c r="Z37" s="7">
        <f t="shared" si="23"/>
        <v>-1</v>
      </c>
    </row>
    <row r="38" spans="1:26" s="26" customFormat="1" outlineLevel="1" collapsed="1" x14ac:dyDescent="0.25">
      <c r="A38" s="27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224.18</v>
      </c>
      <c r="I38" s="1"/>
      <c r="J38" s="5">
        <f t="shared" si="17"/>
        <v>0</v>
      </c>
      <c r="K38" s="1"/>
      <c r="L38" s="1">
        <f t="shared" si="18"/>
        <v>-224.18</v>
      </c>
      <c r="M38" s="1"/>
      <c r="N38" s="5">
        <f t="shared" si="19"/>
        <v>-1</v>
      </c>
      <c r="O38" s="13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1569.26</v>
      </c>
      <c r="U38" s="1"/>
      <c r="V38" s="5">
        <f t="shared" si="21"/>
        <v>0</v>
      </c>
      <c r="W38" s="1"/>
      <c r="X38" s="1">
        <f t="shared" si="22"/>
        <v>-1569.26</v>
      </c>
      <c r="Y38" s="1"/>
      <c r="Z38" s="5">
        <f t="shared" si="23"/>
        <v>-1</v>
      </c>
    </row>
    <row r="39" spans="1:26" s="24" customFormat="1" hidden="1" outlineLevel="2" x14ac:dyDescent="0.25">
      <c r="A39" s="25"/>
      <c r="B39" s="11" t="str">
        <f>CONCATENATE("          ", "6322", " - ", "EQUIPMENT DEPRECIATION EXPENSE")</f>
        <v xml:space="preserve">          6322 - EQUIPMENT DEPRECIATION EXPENSE</v>
      </c>
      <c r="C39" s="11"/>
      <c r="D39" s="6"/>
      <c r="E39" s="2"/>
      <c r="F39" s="7">
        <f t="shared" si="16"/>
        <v>0</v>
      </c>
      <c r="G39" s="2"/>
      <c r="H39" s="6">
        <v>224.18</v>
      </c>
      <c r="I39" s="2"/>
      <c r="J39" s="7">
        <f t="shared" si="17"/>
        <v>0</v>
      </c>
      <c r="K39" s="2"/>
      <c r="L39" s="6">
        <f t="shared" si="18"/>
        <v>-224.18</v>
      </c>
      <c r="M39" s="2"/>
      <c r="N39" s="7">
        <f t="shared" si="19"/>
        <v>-1</v>
      </c>
      <c r="O39" s="11"/>
      <c r="P39" s="6"/>
      <c r="Q39" s="2"/>
      <c r="R39" s="7">
        <f t="shared" si="20"/>
        <v>0</v>
      </c>
      <c r="S39" s="2"/>
      <c r="T39" s="6">
        <v>1569.26</v>
      </c>
      <c r="U39" s="2"/>
      <c r="V39" s="7">
        <f t="shared" si="21"/>
        <v>0</v>
      </c>
      <c r="W39" s="2"/>
      <c r="X39" s="6">
        <f t="shared" si="22"/>
        <v>-1569.26</v>
      </c>
      <c r="Y39" s="2"/>
      <c r="Z39" s="7">
        <f t="shared" si="23"/>
        <v>-1</v>
      </c>
    </row>
    <row r="40" spans="1:26" s="26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2180.1799999999998</v>
      </c>
      <c r="I40" s="1"/>
      <c r="J40" s="5">
        <f t="shared" si="17"/>
        <v>0</v>
      </c>
      <c r="K40" s="1"/>
      <c r="L40" s="1">
        <f t="shared" si="18"/>
        <v>-2180.1799999999998</v>
      </c>
      <c r="M40" s="1"/>
      <c r="N40" s="5">
        <f t="shared" si="19"/>
        <v>-1</v>
      </c>
      <c r="O40" s="13"/>
      <c r="P40" s="1">
        <f>SUM(OSRRefP22_4x_0)</f>
        <v>81.56</v>
      </c>
      <c r="Q40" s="1"/>
      <c r="R40" s="5">
        <f t="shared" si="20"/>
        <v>0</v>
      </c>
      <c r="S40" s="1"/>
      <c r="T40" s="1">
        <f>SUM(OSRRefT22_4x_0)</f>
        <v>27018.04</v>
      </c>
      <c r="U40" s="1"/>
      <c r="V40" s="5">
        <f t="shared" si="21"/>
        <v>0</v>
      </c>
      <c r="W40" s="1"/>
      <c r="X40" s="1">
        <f t="shared" si="22"/>
        <v>-26936.48</v>
      </c>
      <c r="Y40" s="1"/>
      <c r="Z40" s="5">
        <f t="shared" si="23"/>
        <v>-0.99698127621396659</v>
      </c>
    </row>
    <row r="41" spans="1:26" s="24" customFormat="1" hidden="1" outlineLevel="2" x14ac:dyDescent="0.25">
      <c r="A41" s="25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16"/>
        <v>0</v>
      </c>
      <c r="G41" s="2"/>
      <c r="H41" s="6">
        <v>2180.1799999999998</v>
      </c>
      <c r="I41" s="2"/>
      <c r="J41" s="7">
        <f t="shared" si="17"/>
        <v>0</v>
      </c>
      <c r="K41" s="2"/>
      <c r="L41" s="6">
        <f t="shared" si="18"/>
        <v>-2180.1799999999998</v>
      </c>
      <c r="M41" s="2"/>
      <c r="N41" s="7">
        <f t="shared" si="19"/>
        <v>-1</v>
      </c>
      <c r="O41" s="11"/>
      <c r="P41" s="6">
        <v>81.56</v>
      </c>
      <c r="Q41" s="2"/>
      <c r="R41" s="7">
        <f t="shared" si="20"/>
        <v>0</v>
      </c>
      <c r="S41" s="2"/>
      <c r="T41" s="6">
        <v>27018.04</v>
      </c>
      <c r="U41" s="2"/>
      <c r="V41" s="7">
        <f t="shared" si="21"/>
        <v>0</v>
      </c>
      <c r="W41" s="2"/>
      <c r="X41" s="6">
        <f t="shared" si="22"/>
        <v>-26936.48</v>
      </c>
      <c r="Y41" s="2"/>
      <c r="Z41" s="7">
        <f t="shared" si="23"/>
        <v>-0.99698127621396659</v>
      </c>
    </row>
    <row r="42" spans="1:26" s="26" customFormat="1" outlineLevel="1" collapsed="1" x14ac:dyDescent="0.25">
      <c r="A42" s="27"/>
      <c r="B42" s="13" t="str">
        <f>CONCATENATE("     ","Equipment Rental                                  ")</f>
        <v xml:space="preserve">     Equipment Rental                                  </v>
      </c>
      <c r="C42" s="13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SUM(OSRRefP22_5x_0)</f>
        <v>0</v>
      </c>
      <c r="Q42" s="1"/>
      <c r="R42" s="5">
        <f t="shared" si="20"/>
        <v>0</v>
      </c>
      <c r="S42" s="1"/>
      <c r="T42" s="1">
        <f>SUM(OSRRefT22_5x_0)</f>
        <v>273.77999999999997</v>
      </c>
      <c r="U42" s="1"/>
      <c r="V42" s="5">
        <f t="shared" si="21"/>
        <v>0</v>
      </c>
      <c r="W42" s="1"/>
      <c r="X42" s="1">
        <f t="shared" si="22"/>
        <v>-273.77999999999997</v>
      </c>
      <c r="Y42" s="1"/>
      <c r="Z42" s="5">
        <f t="shared" si="23"/>
        <v>-1</v>
      </c>
    </row>
    <row r="43" spans="1:26" s="24" customFormat="1" hidden="1" outlineLevel="2" x14ac:dyDescent="0.25">
      <c r="A43" s="25"/>
      <c r="B43" s="11" t="str">
        <f>CONCATENATE("          ", "6351", " - ", "EQUIPMENT RENTAL")</f>
        <v xml:space="preserve">          6351 - EQUIPMENT RENTAL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/>
      <c r="Q43" s="2"/>
      <c r="R43" s="7">
        <f t="shared" si="20"/>
        <v>0</v>
      </c>
      <c r="S43" s="2"/>
      <c r="T43" s="6">
        <v>273.77999999999997</v>
      </c>
      <c r="U43" s="2"/>
      <c r="V43" s="7">
        <f t="shared" si="21"/>
        <v>0</v>
      </c>
      <c r="W43" s="2"/>
      <c r="X43" s="6">
        <f t="shared" si="22"/>
        <v>-273.77999999999997</v>
      </c>
      <c r="Y43" s="2"/>
      <c r="Z43" s="7">
        <f t="shared" si="23"/>
        <v>-1</v>
      </c>
    </row>
    <row r="44" spans="1:26" s="26" customFormat="1" outlineLevel="1" collapsed="1" x14ac:dyDescent="0.25">
      <c r="A44" s="27"/>
      <c r="B44" s="13" t="str">
        <f>CONCATENATE("     ","Freight out/Postage                               ")</f>
        <v xml:space="preserve">     Freight out/Postage                               </v>
      </c>
      <c r="C44" s="13"/>
      <c r="D44" s="1">
        <f>SUM(OSRRefD22_6x_0)</f>
        <v>1</v>
      </c>
      <c r="E44" s="1"/>
      <c r="F44" s="5">
        <f t="shared" si="16"/>
        <v>0</v>
      </c>
      <c r="G44" s="1"/>
      <c r="H44" s="1">
        <f>SUM(OSRRefH22_6x_0)</f>
        <v>573.29999999999995</v>
      </c>
      <c r="I44" s="1"/>
      <c r="J44" s="5">
        <f t="shared" si="17"/>
        <v>0</v>
      </c>
      <c r="K44" s="1"/>
      <c r="L44" s="1">
        <f t="shared" si="18"/>
        <v>-572.29999999999995</v>
      </c>
      <c r="M44" s="1"/>
      <c r="N44" s="5">
        <f t="shared" si="19"/>
        <v>-0.99825571254142687</v>
      </c>
      <c r="O44" s="13"/>
      <c r="P44" s="1">
        <f>SUM(OSRRefP22_6x_0)</f>
        <v>106.55</v>
      </c>
      <c r="Q44" s="1"/>
      <c r="R44" s="5">
        <f t="shared" si="20"/>
        <v>0</v>
      </c>
      <c r="S44" s="1"/>
      <c r="T44" s="1">
        <f>SUM(OSRRefT22_6x_0)</f>
        <v>856.8</v>
      </c>
      <c r="U44" s="1"/>
      <c r="V44" s="5">
        <f t="shared" si="21"/>
        <v>0</v>
      </c>
      <c r="W44" s="1"/>
      <c r="X44" s="1">
        <f t="shared" si="22"/>
        <v>-750.25</v>
      </c>
      <c r="Y44" s="1"/>
      <c r="Z44" s="5">
        <f t="shared" si="23"/>
        <v>-0.87564192343604108</v>
      </c>
    </row>
    <row r="45" spans="1:26" s="24" customFormat="1" hidden="1" outlineLevel="2" x14ac:dyDescent="0.25">
      <c r="A45" s="25"/>
      <c r="B45" s="11" t="str">
        <f>CONCATENATE("          ", "6307", " - ", "POSTAGE")</f>
        <v xml:space="preserve">          6307 - POSTAGE</v>
      </c>
      <c r="C45" s="11"/>
      <c r="D45" s="6">
        <v>1</v>
      </c>
      <c r="E45" s="2"/>
      <c r="F45" s="7">
        <f t="shared" si="16"/>
        <v>0</v>
      </c>
      <c r="G45" s="2"/>
      <c r="H45" s="6">
        <v>573.29999999999995</v>
      </c>
      <c r="I45" s="2"/>
      <c r="J45" s="7">
        <f t="shared" si="17"/>
        <v>0</v>
      </c>
      <c r="K45" s="2"/>
      <c r="L45" s="6">
        <f t="shared" si="18"/>
        <v>-572.29999999999995</v>
      </c>
      <c r="M45" s="2"/>
      <c r="N45" s="7">
        <f t="shared" si="19"/>
        <v>-0.99825571254142687</v>
      </c>
      <c r="O45" s="11"/>
      <c r="P45" s="6">
        <v>106.55</v>
      </c>
      <c r="Q45" s="2"/>
      <c r="R45" s="7">
        <f t="shared" si="20"/>
        <v>0</v>
      </c>
      <c r="S45" s="2"/>
      <c r="T45" s="6">
        <v>856.8</v>
      </c>
      <c r="U45" s="2"/>
      <c r="V45" s="7">
        <f t="shared" si="21"/>
        <v>0</v>
      </c>
      <c r="W45" s="2"/>
      <c r="X45" s="6">
        <f t="shared" si="22"/>
        <v>-750.25</v>
      </c>
      <c r="Y45" s="2"/>
      <c r="Z45" s="7">
        <f t="shared" si="23"/>
        <v>-0.87564192343604108</v>
      </c>
    </row>
    <row r="46" spans="1:26" s="26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SUM(OSRRefD22_7x_0)</f>
        <v>500</v>
      </c>
      <c r="E46" s="1"/>
      <c r="F46" s="5">
        <f t="shared" si="16"/>
        <v>0</v>
      </c>
      <c r="G46" s="1"/>
      <c r="H46" s="1">
        <f>SUM(OSRRefH22_7x_0)</f>
        <v>0</v>
      </c>
      <c r="I46" s="1"/>
      <c r="J46" s="5">
        <f t="shared" si="17"/>
        <v>0</v>
      </c>
      <c r="K46" s="1"/>
      <c r="L46" s="1">
        <f t="shared" si="18"/>
        <v>500</v>
      </c>
      <c r="M46" s="1"/>
      <c r="N46" s="5">
        <f t="shared" si="19"/>
        <v>0</v>
      </c>
      <c r="O46" s="13"/>
      <c r="P46" s="1">
        <f>SUM(OSRRefP22_7x_0)</f>
        <v>666.54</v>
      </c>
      <c r="Q46" s="1"/>
      <c r="R46" s="5">
        <f t="shared" si="20"/>
        <v>0</v>
      </c>
      <c r="S46" s="1"/>
      <c r="T46" s="1">
        <f>SUM(OSRRefT22_7x_0)</f>
        <v>700</v>
      </c>
      <c r="U46" s="1"/>
      <c r="V46" s="5">
        <f t="shared" si="21"/>
        <v>0</v>
      </c>
      <c r="W46" s="1"/>
      <c r="X46" s="1">
        <f t="shared" si="22"/>
        <v>-33.460000000000036</v>
      </c>
      <c r="Y46" s="1"/>
      <c r="Z46" s="5">
        <f t="shared" si="23"/>
        <v>-4.7800000000000051E-2</v>
      </c>
    </row>
    <row r="47" spans="1:26" s="24" customFormat="1" hidden="1" outlineLevel="2" x14ac:dyDescent="0.25">
      <c r="A47" s="25"/>
      <c r="B47" s="11" t="str">
        <f>CONCATENATE("          ", "6279", " - ", "GENERAL EXPENSE")</f>
        <v xml:space="preserve">          6279 - GENERAL EXPENSE</v>
      </c>
      <c r="C47" s="11"/>
      <c r="D47" s="6">
        <v>500</v>
      </c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500</v>
      </c>
      <c r="M47" s="2"/>
      <c r="N47" s="7">
        <f t="shared" si="19"/>
        <v>0</v>
      </c>
      <c r="O47" s="11"/>
      <c r="P47" s="6">
        <v>666.54</v>
      </c>
      <c r="Q47" s="2"/>
      <c r="R47" s="7">
        <f t="shared" si="20"/>
        <v>0</v>
      </c>
      <c r="S47" s="2"/>
      <c r="T47" s="6">
        <v>700</v>
      </c>
      <c r="U47" s="2"/>
      <c r="V47" s="7">
        <f t="shared" si="21"/>
        <v>0</v>
      </c>
      <c r="W47" s="2"/>
      <c r="X47" s="6">
        <f t="shared" si="22"/>
        <v>-33.460000000000036</v>
      </c>
      <c r="Y47" s="2"/>
      <c r="Z47" s="7">
        <f t="shared" si="23"/>
        <v>-4.7800000000000051E-2</v>
      </c>
    </row>
    <row r="48" spans="1:26" s="26" customFormat="1" outlineLevel="1" collapsed="1" x14ac:dyDescent="0.25">
      <c r="A48" s="27"/>
      <c r="B48" s="13" t="str">
        <f>CONCATENATE("     ","Insurance                                         ")</f>
        <v xml:space="preserve">     Insurance                                         </v>
      </c>
      <c r="C48" s="13"/>
      <c r="D48" s="1">
        <f>SUM(OSRRefD22_8x_0)</f>
        <v>65.47</v>
      </c>
      <c r="E48" s="1"/>
      <c r="F48" s="5">
        <f t="shared" si="16"/>
        <v>0</v>
      </c>
      <c r="G48" s="1"/>
      <c r="H48" s="1">
        <f>SUM(OSRRefH22_8x_0)</f>
        <v>65.47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SUM(OSRRefP22_8x_0)</f>
        <v>458.29</v>
      </c>
      <c r="Q48" s="1"/>
      <c r="R48" s="5">
        <f t="shared" si="20"/>
        <v>0</v>
      </c>
      <c r="S48" s="1"/>
      <c r="T48" s="1">
        <f>SUM(OSRRefT22_8x_0)</f>
        <v>458.29</v>
      </c>
      <c r="U48" s="1"/>
      <c r="V48" s="5">
        <f t="shared" si="21"/>
        <v>0</v>
      </c>
      <c r="W48" s="1"/>
      <c r="X48" s="1">
        <f t="shared" si="22"/>
        <v>0</v>
      </c>
      <c r="Y48" s="1"/>
      <c r="Z48" s="5">
        <f t="shared" si="23"/>
        <v>0</v>
      </c>
    </row>
    <row r="49" spans="1:26" s="24" customFormat="1" hidden="1" outlineLevel="2" x14ac:dyDescent="0.25">
      <c r="A49" s="25"/>
      <c r="B49" s="11" t="str">
        <f>CONCATENATE("          ", "6314", " - ", "LIABILITY INSURANCE")</f>
        <v xml:space="preserve">          6314 - LIABILITY INSURANCE</v>
      </c>
      <c r="C49" s="11"/>
      <c r="D49" s="6">
        <v>65.47</v>
      </c>
      <c r="E49" s="2"/>
      <c r="F49" s="7">
        <f t="shared" si="16"/>
        <v>0</v>
      </c>
      <c r="G49" s="2"/>
      <c r="H49" s="6">
        <v>65.47</v>
      </c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>
        <v>458.29</v>
      </c>
      <c r="Q49" s="2"/>
      <c r="R49" s="7">
        <f t="shared" si="20"/>
        <v>0</v>
      </c>
      <c r="S49" s="2"/>
      <c r="T49" s="6">
        <v>458.29</v>
      </c>
      <c r="U49" s="2"/>
      <c r="V49" s="7">
        <f t="shared" si="21"/>
        <v>0</v>
      </c>
      <c r="W49" s="2"/>
      <c r="X49" s="6">
        <f t="shared" si="22"/>
        <v>0</v>
      </c>
      <c r="Y49" s="2"/>
      <c r="Z49" s="7">
        <f t="shared" si="23"/>
        <v>0</v>
      </c>
    </row>
    <row r="50" spans="1:26" s="26" customFormat="1" outlineLevel="1" collapsed="1" x14ac:dyDescent="0.25">
      <c r="A50" s="27"/>
      <c r="B50" s="13" t="str">
        <f>CONCATENATE("     ","Professional Services                             ")</f>
        <v xml:space="preserve">     Professional Services                             </v>
      </c>
      <c r="C50" s="13"/>
      <c r="D50" s="1">
        <f>SUM(OSRRefD22_9x_0)</f>
        <v>3177.3</v>
      </c>
      <c r="E50" s="1"/>
      <c r="F50" s="5">
        <f t="shared" si="16"/>
        <v>0</v>
      </c>
      <c r="G50" s="1"/>
      <c r="H50" s="1">
        <f>SUM(OSRRefH22_9x_0)</f>
        <v>521.95000000000005</v>
      </c>
      <c r="I50" s="1"/>
      <c r="J50" s="5">
        <f t="shared" si="17"/>
        <v>0</v>
      </c>
      <c r="K50" s="1"/>
      <c r="L50" s="1">
        <f t="shared" si="18"/>
        <v>2655.3500000000004</v>
      </c>
      <c r="M50" s="1"/>
      <c r="N50" s="5">
        <f t="shared" si="19"/>
        <v>5.0873646901044163</v>
      </c>
      <c r="O50" s="13"/>
      <c r="P50" s="1">
        <f>SUM(OSRRefP22_9x_0)</f>
        <v>8819.880000000001</v>
      </c>
      <c r="Q50" s="1"/>
      <c r="R50" s="5">
        <f t="shared" si="20"/>
        <v>0</v>
      </c>
      <c r="S50" s="1"/>
      <c r="T50" s="1">
        <f>SUM(OSRRefT22_9x_0)</f>
        <v>55355.990000000005</v>
      </c>
      <c r="U50" s="1"/>
      <c r="V50" s="5">
        <f t="shared" si="21"/>
        <v>0</v>
      </c>
      <c r="W50" s="1"/>
      <c r="X50" s="1">
        <f t="shared" si="22"/>
        <v>-46536.11</v>
      </c>
      <c r="Y50" s="1"/>
      <c r="Z50" s="5">
        <f t="shared" si="23"/>
        <v>-0.84066981730432422</v>
      </c>
    </row>
    <row r="51" spans="1:26" s="24" customFormat="1" hidden="1" outlineLevel="2" x14ac:dyDescent="0.25">
      <c r="A51" s="25"/>
      <c r="B51" s="11" t="str">
        <f>CONCATENATE("          ", "6334", " - ", "LEGAL COUNCIL EXPENSE")</f>
        <v xml:space="preserve">          6334 - LEGAL COUNCIL EXPENSE</v>
      </c>
      <c r="C51" s="11"/>
      <c r="D51" s="6">
        <v>1225</v>
      </c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1225</v>
      </c>
      <c r="M51" s="2"/>
      <c r="N51" s="7">
        <f t="shared" si="19"/>
        <v>0</v>
      </c>
      <c r="O51" s="11"/>
      <c r="P51" s="6">
        <v>2450</v>
      </c>
      <c r="Q51" s="2"/>
      <c r="R51" s="7">
        <f t="shared" si="20"/>
        <v>0</v>
      </c>
      <c r="S51" s="2"/>
      <c r="T51" s="6">
        <v>38010</v>
      </c>
      <c r="U51" s="2"/>
      <c r="V51" s="7">
        <f t="shared" si="21"/>
        <v>0</v>
      </c>
      <c r="W51" s="2"/>
      <c r="X51" s="6">
        <f t="shared" si="22"/>
        <v>-35560</v>
      </c>
      <c r="Y51" s="2"/>
      <c r="Z51" s="7">
        <f t="shared" si="23"/>
        <v>-0.9355432780847146</v>
      </c>
    </row>
    <row r="52" spans="1:26" s="24" customFormat="1" hidden="1" outlineLevel="2" x14ac:dyDescent="0.25">
      <c r="A52" s="25"/>
      <c r="B52" s="11" t="str">
        <f>CONCATENATE("          ", "6336", " - ", "PROFESSIONAL SERVICES")</f>
        <v xml:space="preserve">          6336 - PROFESSIONAL SERVICES</v>
      </c>
      <c r="C52" s="11"/>
      <c r="D52" s="6">
        <v>1952.3</v>
      </c>
      <c r="E52" s="2"/>
      <c r="F52" s="7">
        <f t="shared" si="16"/>
        <v>0</v>
      </c>
      <c r="G52" s="2"/>
      <c r="H52" s="6">
        <v>521.95000000000005</v>
      </c>
      <c r="I52" s="2"/>
      <c r="J52" s="7">
        <f t="shared" si="17"/>
        <v>0</v>
      </c>
      <c r="K52" s="2"/>
      <c r="L52" s="6">
        <f t="shared" si="18"/>
        <v>1430.35</v>
      </c>
      <c r="M52" s="2"/>
      <c r="N52" s="7">
        <f t="shared" si="19"/>
        <v>2.7403965897116578</v>
      </c>
      <c r="O52" s="11"/>
      <c r="P52" s="6">
        <v>6369.88</v>
      </c>
      <c r="Q52" s="2"/>
      <c r="R52" s="7">
        <f t="shared" si="20"/>
        <v>0</v>
      </c>
      <c r="S52" s="2"/>
      <c r="T52" s="6">
        <v>17345.990000000002</v>
      </c>
      <c r="U52" s="2"/>
      <c r="V52" s="7">
        <f t="shared" si="21"/>
        <v>0</v>
      </c>
      <c r="W52" s="2"/>
      <c r="X52" s="6">
        <f t="shared" si="22"/>
        <v>-10976.11</v>
      </c>
      <c r="Y52" s="2"/>
      <c r="Z52" s="7">
        <f t="shared" si="23"/>
        <v>-0.63277506789753712</v>
      </c>
    </row>
    <row r="53" spans="1:26" s="26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SUM(OSRRefD22_10x_0)</f>
        <v>4075.7</v>
      </c>
      <c r="E53" s="1"/>
      <c r="F53" s="5">
        <f t="shared" ref="F53:F55" si="24">IF(D$12=0,0,D53/D$12)</f>
        <v>0</v>
      </c>
      <c r="G53" s="1"/>
      <c r="H53" s="1">
        <f>SUM(OSRRefH22_10x_0)</f>
        <v>13167.4</v>
      </c>
      <c r="I53" s="1"/>
      <c r="J53" s="5">
        <f t="shared" ref="J53:J55" si="25">IF(H$12=0,0,H53/H$12)</f>
        <v>0</v>
      </c>
      <c r="K53" s="1"/>
      <c r="L53" s="1">
        <f t="shared" ref="L53:L55" si="26">+D53-H53</f>
        <v>-9091.7000000000007</v>
      </c>
      <c r="M53" s="1"/>
      <c r="N53" s="5">
        <f t="shared" ref="N53:N55" si="27">IF(H53=0,0,L53/H53)</f>
        <v>-0.69047040418002048</v>
      </c>
      <c r="O53" s="13"/>
      <c r="P53" s="1">
        <f>SUM(OSRRefP22_10x_0)</f>
        <v>29015.29</v>
      </c>
      <c r="Q53" s="1"/>
      <c r="R53" s="5">
        <f t="shared" ref="R53:R55" si="28">IF(P$12=0,0,P53/P$12)</f>
        <v>0</v>
      </c>
      <c r="S53" s="1"/>
      <c r="T53" s="1">
        <f>SUM(OSRRefT22_10x_0)</f>
        <v>85936.93</v>
      </c>
      <c r="U53" s="1"/>
      <c r="V53" s="5">
        <f t="shared" ref="V53:V55" si="29">IF(T$12=0,0,T53/T$12)</f>
        <v>0</v>
      </c>
      <c r="W53" s="1"/>
      <c r="X53" s="1">
        <f t="shared" ref="X53:X55" si="30">+P53-T53</f>
        <v>-56921.639999999992</v>
      </c>
      <c r="Y53" s="1"/>
      <c r="Z53" s="5">
        <f t="shared" ref="Z53:Z55" si="31">IF(T53=0,0,X53/T53)</f>
        <v>-0.66236529510653919</v>
      </c>
    </row>
    <row r="54" spans="1:26" s="24" customFormat="1" hidden="1" outlineLevel="2" x14ac:dyDescent="0.25">
      <c r="A54" s="25"/>
      <c r="B54" s="11" t="str">
        <f>CONCATENATE("          ", "6371", " - ", "COMPUTER SOFTWARE MAINTENANCE")</f>
        <v xml:space="preserve">          6371 - COMPUTER SOFTWARE MAINTENANCE</v>
      </c>
      <c r="C54" s="11"/>
      <c r="D54" s="6">
        <v>4075.7</v>
      </c>
      <c r="E54" s="2"/>
      <c r="F54" s="7">
        <f t="shared" si="24"/>
        <v>0</v>
      </c>
      <c r="G54" s="2"/>
      <c r="H54" s="6">
        <v>13167.4</v>
      </c>
      <c r="I54" s="2"/>
      <c r="J54" s="7">
        <f t="shared" si="25"/>
        <v>0</v>
      </c>
      <c r="K54" s="2"/>
      <c r="L54" s="6">
        <f t="shared" si="26"/>
        <v>-9091.7000000000007</v>
      </c>
      <c r="M54" s="2"/>
      <c r="N54" s="7">
        <f t="shared" si="27"/>
        <v>-0.69047040418002048</v>
      </c>
      <c r="O54" s="11"/>
      <c r="P54" s="6">
        <v>28957.200000000001</v>
      </c>
      <c r="Q54" s="2"/>
      <c r="R54" s="7">
        <f t="shared" si="28"/>
        <v>0</v>
      </c>
      <c r="S54" s="2"/>
      <c r="T54" s="6">
        <v>85654.01</v>
      </c>
      <c r="U54" s="2"/>
      <c r="V54" s="7">
        <f t="shared" si="29"/>
        <v>0</v>
      </c>
      <c r="W54" s="2"/>
      <c r="X54" s="6">
        <f t="shared" si="30"/>
        <v>-56696.81</v>
      </c>
      <c r="Y54" s="2"/>
      <c r="Z54" s="7">
        <f t="shared" si="31"/>
        <v>-0.66192826231953417</v>
      </c>
    </row>
    <row r="55" spans="1:26" s="24" customFormat="1" hidden="1" outlineLevel="2" x14ac:dyDescent="0.25">
      <c r="A55" s="25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24"/>
        <v>0</v>
      </c>
      <c r="G55" s="2"/>
      <c r="H55" s="6"/>
      <c r="I55" s="2"/>
      <c r="J55" s="7">
        <f t="shared" si="25"/>
        <v>0</v>
      </c>
      <c r="K55" s="2"/>
      <c r="L55" s="6">
        <f t="shared" si="26"/>
        <v>0</v>
      </c>
      <c r="M55" s="2"/>
      <c r="N55" s="7">
        <f t="shared" si="27"/>
        <v>0</v>
      </c>
      <c r="O55" s="11"/>
      <c r="P55" s="6">
        <v>58.09</v>
      </c>
      <c r="Q55" s="2"/>
      <c r="R55" s="7">
        <f t="shared" si="28"/>
        <v>0</v>
      </c>
      <c r="S55" s="2"/>
      <c r="T55" s="6">
        <v>282.92</v>
      </c>
      <c r="U55" s="2"/>
      <c r="V55" s="7">
        <f t="shared" si="29"/>
        <v>0</v>
      </c>
      <c r="W55" s="2"/>
      <c r="X55" s="6">
        <f t="shared" si="30"/>
        <v>-224.83</v>
      </c>
      <c r="Y55" s="2"/>
      <c r="Z55" s="7">
        <f t="shared" si="31"/>
        <v>-0.79467694047787363</v>
      </c>
    </row>
    <row r="56" spans="1:26" s="26" customFormat="1" outlineLevel="1" collapsed="1" x14ac:dyDescent="0.25">
      <c r="A56" s="27"/>
      <c r="B56" s="13" t="str">
        <f>CONCATENATE("     ","Subscriptions &amp; Dues                              ")</f>
        <v xml:space="preserve">     Subscriptions &amp; Dues                              </v>
      </c>
      <c r="C56" s="13"/>
      <c r="D56" s="1">
        <f>SUM(OSRRefD22_11x_0)</f>
        <v>0</v>
      </c>
      <c r="E56" s="1"/>
      <c r="F56" s="5">
        <f t="shared" ref="F56:F62" si="32">IF(D$12=0,0,D56/D$12)</f>
        <v>0</v>
      </c>
      <c r="G56" s="1"/>
      <c r="H56" s="1">
        <f>SUM(OSRRefH22_11x_0)</f>
        <v>0</v>
      </c>
      <c r="I56" s="1"/>
      <c r="J56" s="5">
        <f t="shared" ref="J56:J62" si="33">IF(H$12=0,0,H56/H$12)</f>
        <v>0</v>
      </c>
      <c r="K56" s="1"/>
      <c r="L56" s="1">
        <f t="shared" ref="L56:L62" si="34">+D56-H56</f>
        <v>0</v>
      </c>
      <c r="M56" s="1"/>
      <c r="N56" s="5">
        <f t="shared" ref="N56:N62" si="35">IF(H56=0,0,L56/H56)</f>
        <v>0</v>
      </c>
      <c r="O56" s="13"/>
      <c r="P56" s="1">
        <f>SUM(OSRRefP22_11x_0)</f>
        <v>534.99</v>
      </c>
      <c r="Q56" s="1"/>
      <c r="R56" s="5">
        <f t="shared" ref="R56:R62" si="36">IF(P$12=0,0,P56/P$12)</f>
        <v>0</v>
      </c>
      <c r="S56" s="1"/>
      <c r="T56" s="1">
        <f>SUM(OSRRefT22_11x_0)</f>
        <v>587</v>
      </c>
      <c r="U56" s="1"/>
      <c r="V56" s="5">
        <f t="shared" ref="V56:V62" si="37">IF(T$12=0,0,T56/T$12)</f>
        <v>0</v>
      </c>
      <c r="W56" s="1"/>
      <c r="X56" s="1">
        <f t="shared" ref="X56:X62" si="38">+P56-T56</f>
        <v>-52.009999999999991</v>
      </c>
      <c r="Y56" s="1"/>
      <c r="Z56" s="5">
        <f t="shared" ref="Z56:Z62" si="39">IF(T56=0,0,X56/T56)</f>
        <v>-8.8603066439522982E-2</v>
      </c>
    </row>
    <row r="57" spans="1:26" s="24" customFormat="1" hidden="1" outlineLevel="2" x14ac:dyDescent="0.25">
      <c r="A57" s="25"/>
      <c r="B57" s="11" t="str">
        <f>CONCATENATE("          ", "6258", " - ", "MEMBERSHIP DUES")</f>
        <v xml:space="preserve">          6258 - MEMBERSHIP DUES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>
        <v>534.99</v>
      </c>
      <c r="Q57" s="2"/>
      <c r="R57" s="7">
        <f t="shared" si="36"/>
        <v>0</v>
      </c>
      <c r="S57" s="2"/>
      <c r="T57" s="6">
        <v>587</v>
      </c>
      <c r="U57" s="2"/>
      <c r="V57" s="7">
        <f t="shared" si="37"/>
        <v>0</v>
      </c>
      <c r="W57" s="2"/>
      <c r="X57" s="6">
        <f t="shared" si="38"/>
        <v>-52.009999999999991</v>
      </c>
      <c r="Y57" s="2"/>
      <c r="Z57" s="7">
        <f t="shared" si="39"/>
        <v>-8.8603066439522982E-2</v>
      </c>
    </row>
    <row r="58" spans="1:26" s="26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SUM(OSRRefD22_12x_0)</f>
        <v>684</v>
      </c>
      <c r="E58" s="1"/>
      <c r="F58" s="5">
        <f t="shared" si="32"/>
        <v>0</v>
      </c>
      <c r="G58" s="1"/>
      <c r="H58" s="1">
        <f>SUM(OSRRefH22_12x_0)</f>
        <v>2563.0300000000002</v>
      </c>
      <c r="I58" s="1"/>
      <c r="J58" s="5">
        <f t="shared" si="33"/>
        <v>0</v>
      </c>
      <c r="K58" s="1"/>
      <c r="L58" s="1">
        <f t="shared" si="34"/>
        <v>-1879.0300000000002</v>
      </c>
      <c r="M58" s="1"/>
      <c r="N58" s="5">
        <f t="shared" si="35"/>
        <v>-0.73312836759616551</v>
      </c>
      <c r="O58" s="13"/>
      <c r="P58" s="1">
        <f>SUM(OSRRefP22_12x_0)</f>
        <v>2198.85</v>
      </c>
      <c r="Q58" s="1"/>
      <c r="R58" s="5">
        <f t="shared" si="36"/>
        <v>0</v>
      </c>
      <c r="S58" s="1"/>
      <c r="T58" s="1">
        <f>SUM(OSRRefT22_12x_0)</f>
        <v>14953.490000000002</v>
      </c>
      <c r="U58" s="1"/>
      <c r="V58" s="5">
        <f t="shared" si="37"/>
        <v>0</v>
      </c>
      <c r="W58" s="1"/>
      <c r="X58" s="1">
        <f t="shared" si="38"/>
        <v>-12754.640000000001</v>
      </c>
      <c r="Y58" s="1"/>
      <c r="Z58" s="5">
        <f t="shared" si="39"/>
        <v>-0.8529540595539904</v>
      </c>
    </row>
    <row r="59" spans="1:26" s="24" customFormat="1" hidden="1" outlineLevel="2" x14ac:dyDescent="0.25">
      <c r="A59" s="25"/>
      <c r="B59" s="11" t="str">
        <f>CONCATENATE("          ", "6235", " - ", "COVID-19 EXPENSES")</f>
        <v xml:space="preserve">          6235 - COVID-19 EXPENSES</v>
      </c>
      <c r="C59" s="11"/>
      <c r="D59" s="6"/>
      <c r="E59" s="2"/>
      <c r="F59" s="7">
        <f t="shared" si="32"/>
        <v>0</v>
      </c>
      <c r="G59" s="2"/>
      <c r="H59" s="6"/>
      <c r="I59" s="2"/>
      <c r="J59" s="7">
        <f t="shared" si="33"/>
        <v>0</v>
      </c>
      <c r="K59" s="2"/>
      <c r="L59" s="6">
        <f t="shared" si="34"/>
        <v>0</v>
      </c>
      <c r="M59" s="2"/>
      <c r="N59" s="7">
        <f t="shared" si="35"/>
        <v>0</v>
      </c>
      <c r="O59" s="11"/>
      <c r="P59" s="6">
        <v>210.58</v>
      </c>
      <c r="Q59" s="2"/>
      <c r="R59" s="7">
        <f t="shared" si="36"/>
        <v>0</v>
      </c>
      <c r="S59" s="2"/>
      <c r="T59" s="6"/>
      <c r="U59" s="2"/>
      <c r="V59" s="7">
        <f t="shared" si="37"/>
        <v>0</v>
      </c>
      <c r="W59" s="2"/>
      <c r="X59" s="6">
        <f t="shared" si="38"/>
        <v>210.58</v>
      </c>
      <c r="Y59" s="2"/>
      <c r="Z59" s="7">
        <f t="shared" si="39"/>
        <v>0</v>
      </c>
    </row>
    <row r="60" spans="1:26" s="24" customFormat="1" hidden="1" outlineLevel="2" x14ac:dyDescent="0.25">
      <c r="A60" s="25"/>
      <c r="B60" s="11" t="str">
        <f>CONCATENATE("          ", "6241", " - ", "OFFICE EXPENSE")</f>
        <v xml:space="preserve">          6241 - OFFICE EXPENSE</v>
      </c>
      <c r="C60" s="11"/>
      <c r="D60" s="6">
        <v>684</v>
      </c>
      <c r="E60" s="2"/>
      <c r="F60" s="7">
        <f t="shared" si="32"/>
        <v>0</v>
      </c>
      <c r="G60" s="2"/>
      <c r="H60" s="6">
        <v>2114.3200000000002</v>
      </c>
      <c r="I60" s="2"/>
      <c r="J60" s="7">
        <f t="shared" si="33"/>
        <v>0</v>
      </c>
      <c r="K60" s="2"/>
      <c r="L60" s="6">
        <f t="shared" si="34"/>
        <v>-1430.3200000000002</v>
      </c>
      <c r="M60" s="2"/>
      <c r="N60" s="7">
        <f t="shared" si="35"/>
        <v>-0.67649173256649897</v>
      </c>
      <c r="O60" s="11"/>
      <c r="P60" s="6">
        <v>1765.56</v>
      </c>
      <c r="Q60" s="2"/>
      <c r="R60" s="7">
        <f t="shared" si="36"/>
        <v>0</v>
      </c>
      <c r="S60" s="2"/>
      <c r="T60" s="6">
        <v>10949.36</v>
      </c>
      <c r="U60" s="2"/>
      <c r="V60" s="7">
        <f t="shared" si="37"/>
        <v>0</v>
      </c>
      <c r="W60" s="2"/>
      <c r="X60" s="6">
        <f t="shared" si="38"/>
        <v>-9183.8000000000011</v>
      </c>
      <c r="Y60" s="2"/>
      <c r="Z60" s="7">
        <f t="shared" si="39"/>
        <v>-0.8387522193077952</v>
      </c>
    </row>
    <row r="61" spans="1:26" s="24" customFormat="1" hidden="1" outlineLevel="2" x14ac:dyDescent="0.25">
      <c r="A61" s="25"/>
      <c r="B61" s="11" t="str">
        <f>CONCATENATE("          ", "6244", " - ", "SAFETY SUPPLY EXPENSE")</f>
        <v xml:space="preserve">          6244 - SAFETY SUPPLY EXPENSE</v>
      </c>
      <c r="C61" s="11"/>
      <c r="D61" s="6"/>
      <c r="E61" s="2"/>
      <c r="F61" s="7">
        <f t="shared" si="32"/>
        <v>0</v>
      </c>
      <c r="G61" s="2"/>
      <c r="H61" s="6">
        <v>275</v>
      </c>
      <c r="I61" s="2"/>
      <c r="J61" s="7">
        <f t="shared" si="33"/>
        <v>0</v>
      </c>
      <c r="K61" s="2"/>
      <c r="L61" s="6">
        <f t="shared" si="34"/>
        <v>-275</v>
      </c>
      <c r="M61" s="2"/>
      <c r="N61" s="7">
        <f t="shared" si="35"/>
        <v>-1</v>
      </c>
      <c r="O61" s="11"/>
      <c r="P61" s="6">
        <v>222.71</v>
      </c>
      <c r="Q61" s="2"/>
      <c r="R61" s="7">
        <f t="shared" si="36"/>
        <v>0</v>
      </c>
      <c r="S61" s="2"/>
      <c r="T61" s="6">
        <v>1832.33</v>
      </c>
      <c r="U61" s="2"/>
      <c r="V61" s="7">
        <f t="shared" si="37"/>
        <v>0</v>
      </c>
      <c r="W61" s="2"/>
      <c r="X61" s="6">
        <f t="shared" si="38"/>
        <v>-1609.62</v>
      </c>
      <c r="Y61" s="2"/>
      <c r="Z61" s="7">
        <f t="shared" si="39"/>
        <v>-0.87845530008240869</v>
      </c>
    </row>
    <row r="62" spans="1:26" s="24" customFormat="1" hidden="1" outlineLevel="2" x14ac:dyDescent="0.25">
      <c r="A62" s="25"/>
      <c r="B62" s="11" t="str">
        <f>CONCATENATE("          ", "6245", " - ", "PRINTING")</f>
        <v xml:space="preserve">          6245 - PRINTING</v>
      </c>
      <c r="C62" s="11"/>
      <c r="D62" s="6"/>
      <c r="E62" s="2"/>
      <c r="F62" s="7">
        <f t="shared" si="32"/>
        <v>0</v>
      </c>
      <c r="G62" s="2"/>
      <c r="H62" s="6">
        <v>173.71</v>
      </c>
      <c r="I62" s="2"/>
      <c r="J62" s="7">
        <f t="shared" si="33"/>
        <v>0</v>
      </c>
      <c r="K62" s="2"/>
      <c r="L62" s="6">
        <f t="shared" si="34"/>
        <v>-173.71</v>
      </c>
      <c r="M62" s="2"/>
      <c r="N62" s="7">
        <f t="shared" si="35"/>
        <v>-1</v>
      </c>
      <c r="O62" s="11"/>
      <c r="P62" s="6"/>
      <c r="Q62" s="2"/>
      <c r="R62" s="7">
        <f t="shared" si="36"/>
        <v>0</v>
      </c>
      <c r="S62" s="2"/>
      <c r="T62" s="6">
        <v>2171.8000000000002</v>
      </c>
      <c r="U62" s="2"/>
      <c r="V62" s="7">
        <f t="shared" si="37"/>
        <v>0</v>
      </c>
      <c r="W62" s="2"/>
      <c r="X62" s="6">
        <f t="shared" si="38"/>
        <v>-2171.8000000000002</v>
      </c>
      <c r="Y62" s="2"/>
      <c r="Z62" s="7">
        <f t="shared" si="39"/>
        <v>-1</v>
      </c>
    </row>
    <row r="63" spans="1:26" s="26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SUM(OSRRefD22_13x_0)</f>
        <v>277.55</v>
      </c>
      <c r="E63" s="1"/>
      <c r="F63" s="5">
        <f t="shared" ref="F63:F68" si="40">IF(D$12=0,0,D63/D$12)</f>
        <v>0</v>
      </c>
      <c r="G63" s="1"/>
      <c r="H63" s="1">
        <f>SUM(OSRRefH22_13x_0)</f>
        <v>314.55</v>
      </c>
      <c r="I63" s="1"/>
      <c r="J63" s="5">
        <f t="shared" ref="J63:J68" si="41">IF(H$12=0,0,H63/H$12)</f>
        <v>0</v>
      </c>
      <c r="K63" s="1"/>
      <c r="L63" s="1">
        <f t="shared" ref="L63:L68" si="42">+D63-H63</f>
        <v>-37</v>
      </c>
      <c r="M63" s="1"/>
      <c r="N63" s="5">
        <f t="shared" ref="N63:N68" si="43">IF(H63=0,0,L63/H63)</f>
        <v>-0.11762835797170561</v>
      </c>
      <c r="O63" s="13"/>
      <c r="P63" s="1">
        <f>SUM(OSRRefP22_13x_0)</f>
        <v>2258</v>
      </c>
      <c r="Q63" s="1"/>
      <c r="R63" s="5">
        <f t="shared" ref="R63:R68" si="44">IF(P$12=0,0,P63/P$12)</f>
        <v>0</v>
      </c>
      <c r="S63" s="1"/>
      <c r="T63" s="1">
        <f>SUM(OSRRefT22_13x_0)</f>
        <v>2278.15</v>
      </c>
      <c r="U63" s="1"/>
      <c r="V63" s="5">
        <f t="shared" ref="V63:V68" si="45">IF(T$12=0,0,T63/T$12)</f>
        <v>0</v>
      </c>
      <c r="W63" s="1"/>
      <c r="X63" s="1">
        <f t="shared" ref="X63:X68" si="46">+P63-T63</f>
        <v>-20.150000000000091</v>
      </c>
      <c r="Y63" s="1"/>
      <c r="Z63" s="5">
        <f t="shared" ref="Z63:Z68" si="47">IF(T63=0,0,X63/T63)</f>
        <v>-8.8448960779580321E-3</v>
      </c>
    </row>
    <row r="64" spans="1:26" s="24" customFormat="1" hidden="1" outlineLevel="2" x14ac:dyDescent="0.25">
      <c r="A64" s="25"/>
      <c r="B64" s="11" t="str">
        <f>CONCATENATE("          ", "6309", " - ", "TELEPHONE")</f>
        <v xml:space="preserve">          6309 - TELEPHONE</v>
      </c>
      <c r="C64" s="11"/>
      <c r="D64" s="6">
        <v>277.55</v>
      </c>
      <c r="E64" s="2"/>
      <c r="F64" s="7">
        <f t="shared" si="40"/>
        <v>0</v>
      </c>
      <c r="G64" s="2"/>
      <c r="H64" s="6">
        <v>314.55</v>
      </c>
      <c r="I64" s="2"/>
      <c r="J64" s="7">
        <f t="shared" si="41"/>
        <v>0</v>
      </c>
      <c r="K64" s="2"/>
      <c r="L64" s="6">
        <f t="shared" si="42"/>
        <v>-37</v>
      </c>
      <c r="M64" s="2"/>
      <c r="N64" s="7">
        <f t="shared" si="43"/>
        <v>-0.11762835797170561</v>
      </c>
      <c r="O64" s="11"/>
      <c r="P64" s="6">
        <v>2258</v>
      </c>
      <c r="Q64" s="2"/>
      <c r="R64" s="7">
        <f t="shared" si="44"/>
        <v>0</v>
      </c>
      <c r="S64" s="2"/>
      <c r="T64" s="6">
        <v>2278.15</v>
      </c>
      <c r="U64" s="2"/>
      <c r="V64" s="7">
        <f t="shared" si="45"/>
        <v>0</v>
      </c>
      <c r="W64" s="2"/>
      <c r="X64" s="6">
        <f t="shared" si="46"/>
        <v>-20.150000000000091</v>
      </c>
      <c r="Y64" s="2"/>
      <c r="Z64" s="7">
        <f t="shared" si="47"/>
        <v>-8.8448960779580321E-3</v>
      </c>
    </row>
    <row r="65" spans="1:26" s="26" customFormat="1" outlineLevel="1" collapsed="1" x14ac:dyDescent="0.25">
      <c r="A65" s="27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SUM(OSRRefD22_14x_0)</f>
        <v>0</v>
      </c>
      <c r="E65" s="1"/>
      <c r="F65" s="5">
        <f t="shared" si="40"/>
        <v>0</v>
      </c>
      <c r="G65" s="1"/>
      <c r="H65" s="1">
        <f>SUM(OSRRefH22_14x_0)</f>
        <v>3305.59</v>
      </c>
      <c r="I65" s="1"/>
      <c r="J65" s="5">
        <f t="shared" si="41"/>
        <v>0</v>
      </c>
      <c r="K65" s="1"/>
      <c r="L65" s="1">
        <f t="shared" si="42"/>
        <v>-3305.59</v>
      </c>
      <c r="M65" s="1"/>
      <c r="N65" s="5">
        <f t="shared" si="43"/>
        <v>-1</v>
      </c>
      <c r="O65" s="13"/>
      <c r="P65" s="1">
        <f>SUM(OSRRefP22_14x_0)</f>
        <v>-97</v>
      </c>
      <c r="Q65" s="1"/>
      <c r="R65" s="5">
        <f t="shared" si="44"/>
        <v>0</v>
      </c>
      <c r="S65" s="1"/>
      <c r="T65" s="1">
        <f>SUM(OSRRefT22_14x_0)</f>
        <v>8784.7900000000009</v>
      </c>
      <c r="U65" s="1"/>
      <c r="V65" s="5">
        <f t="shared" si="45"/>
        <v>0</v>
      </c>
      <c r="W65" s="1"/>
      <c r="X65" s="1">
        <f t="shared" si="46"/>
        <v>-8881.7900000000009</v>
      </c>
      <c r="Y65" s="1"/>
      <c r="Z65" s="5">
        <f t="shared" si="47"/>
        <v>-1.0110418120410392</v>
      </c>
    </row>
    <row r="66" spans="1:26" s="24" customFormat="1" hidden="1" outlineLevel="2" x14ac:dyDescent="0.25">
      <c r="A66" s="25"/>
      <c r="B66" s="11" t="str">
        <f>CONCATENATE("          ", "6376", " - ", "TRAINING")</f>
        <v xml:space="preserve">          6376 - TRAINING</v>
      </c>
      <c r="C66" s="11"/>
      <c r="D66" s="6"/>
      <c r="E66" s="2"/>
      <c r="F66" s="7">
        <f t="shared" si="40"/>
        <v>0</v>
      </c>
      <c r="G66" s="2"/>
      <c r="H66" s="6">
        <v>3305.59</v>
      </c>
      <c r="I66" s="2"/>
      <c r="J66" s="7">
        <f t="shared" si="41"/>
        <v>0</v>
      </c>
      <c r="K66" s="2"/>
      <c r="L66" s="6">
        <f t="shared" si="42"/>
        <v>-3305.59</v>
      </c>
      <c r="M66" s="2"/>
      <c r="N66" s="7">
        <f t="shared" si="43"/>
        <v>-1</v>
      </c>
      <c r="O66" s="11"/>
      <c r="P66" s="6">
        <v>-97</v>
      </c>
      <c r="Q66" s="2"/>
      <c r="R66" s="7">
        <f t="shared" si="44"/>
        <v>0</v>
      </c>
      <c r="S66" s="2"/>
      <c r="T66" s="6">
        <v>8784.7900000000009</v>
      </c>
      <c r="U66" s="2"/>
      <c r="V66" s="7">
        <f t="shared" si="45"/>
        <v>0</v>
      </c>
      <c r="W66" s="2"/>
      <c r="X66" s="6">
        <f t="shared" si="46"/>
        <v>-8881.7900000000009</v>
      </c>
      <c r="Y66" s="2"/>
      <c r="Z66" s="7">
        <f t="shared" si="47"/>
        <v>-1.0110418120410392</v>
      </c>
    </row>
    <row r="67" spans="1:26" s="26" customFormat="1" outlineLevel="1" collapsed="1" x14ac:dyDescent="0.25">
      <c r="A67" s="27"/>
      <c r="B67" s="13" t="str">
        <f>CONCATENATE("     ","Travel                                            ")</f>
        <v xml:space="preserve">     Travel                                            </v>
      </c>
      <c r="C67" s="13"/>
      <c r="D67" s="1">
        <f>SUM(OSRRefD22_15x_0)</f>
        <v>0</v>
      </c>
      <c r="E67" s="1"/>
      <c r="F67" s="5">
        <f t="shared" si="40"/>
        <v>0</v>
      </c>
      <c r="G67" s="1"/>
      <c r="H67" s="1">
        <f>SUM(OSRRefH22_15x_0)</f>
        <v>0</v>
      </c>
      <c r="I67" s="1"/>
      <c r="J67" s="5">
        <f t="shared" si="41"/>
        <v>0</v>
      </c>
      <c r="K67" s="1"/>
      <c r="L67" s="1">
        <f t="shared" si="42"/>
        <v>0</v>
      </c>
      <c r="M67" s="1"/>
      <c r="N67" s="5">
        <f t="shared" si="43"/>
        <v>0</v>
      </c>
      <c r="O67" s="13"/>
      <c r="P67" s="1">
        <f>SUM(OSRRefP22_15x_0)</f>
        <v>720</v>
      </c>
      <c r="Q67" s="1"/>
      <c r="R67" s="5">
        <f t="shared" si="44"/>
        <v>0</v>
      </c>
      <c r="S67" s="1"/>
      <c r="T67" s="1">
        <f>SUM(OSRRefT22_15x_0)</f>
        <v>3487.01</v>
      </c>
      <c r="U67" s="1"/>
      <c r="V67" s="5">
        <f t="shared" si="45"/>
        <v>0</v>
      </c>
      <c r="W67" s="1"/>
      <c r="X67" s="1">
        <f t="shared" si="46"/>
        <v>-2767.01</v>
      </c>
      <c r="Y67" s="1"/>
      <c r="Z67" s="5">
        <f t="shared" si="47"/>
        <v>-0.79351937619909318</v>
      </c>
    </row>
    <row r="68" spans="1:26" s="24" customFormat="1" hidden="1" outlineLevel="2" x14ac:dyDescent="0.25">
      <c r="A68" s="25"/>
      <c r="B68" s="11" t="str">
        <f>CONCATENATE("          ", "6292", " - ", "TRAVEL/CONFERENCE")</f>
        <v xml:space="preserve">          6292 - TRAVEL/CONFERENCE</v>
      </c>
      <c r="C68" s="11"/>
      <c r="D68" s="6"/>
      <c r="E68" s="2"/>
      <c r="F68" s="7">
        <f t="shared" si="40"/>
        <v>0</v>
      </c>
      <c r="G68" s="2"/>
      <c r="H68" s="6"/>
      <c r="I68" s="2"/>
      <c r="J68" s="7">
        <f t="shared" si="41"/>
        <v>0</v>
      </c>
      <c r="K68" s="2"/>
      <c r="L68" s="6">
        <f t="shared" si="42"/>
        <v>0</v>
      </c>
      <c r="M68" s="2"/>
      <c r="N68" s="7">
        <f t="shared" si="43"/>
        <v>0</v>
      </c>
      <c r="O68" s="11"/>
      <c r="P68" s="6">
        <v>720</v>
      </c>
      <c r="Q68" s="2"/>
      <c r="R68" s="7">
        <f t="shared" si="44"/>
        <v>0</v>
      </c>
      <c r="S68" s="2"/>
      <c r="T68" s="6">
        <v>3487.01</v>
      </c>
      <c r="U68" s="2"/>
      <c r="V68" s="7">
        <f t="shared" si="45"/>
        <v>0</v>
      </c>
      <c r="W68" s="2"/>
      <c r="X68" s="6">
        <f t="shared" si="46"/>
        <v>-2767.01</v>
      </c>
      <c r="Y68" s="2"/>
      <c r="Z68" s="7">
        <f t="shared" si="47"/>
        <v>-0.79351937619909318</v>
      </c>
    </row>
    <row r="69" spans="1:26" s="61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9" t="s">
        <v>0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8" t="s">
        <v>3</v>
      </c>
      <c r="C72" s="28"/>
      <c r="D72" s="20">
        <f>+D16-D18+D70</f>
        <v>-51218.010000000009</v>
      </c>
      <c r="E72" s="14"/>
      <c r="F72" s="22">
        <f>IF(D$12=0,0,D72/D$12)</f>
        <v>0</v>
      </c>
      <c r="G72" s="14"/>
      <c r="H72" s="20">
        <f>+H16-H18+H70</f>
        <v>-71552.580000000016</v>
      </c>
      <c r="I72" s="14"/>
      <c r="J72" s="22">
        <f>IF(H$12=0,0,H72/H$12)</f>
        <v>0</v>
      </c>
      <c r="K72" s="15"/>
      <c r="L72" s="20">
        <f>+D72-H72</f>
        <v>20334.570000000007</v>
      </c>
      <c r="M72" s="15"/>
      <c r="N72" s="22">
        <f>IF(H72=0,0,L72/H72)</f>
        <v>-0.28419059103109912</v>
      </c>
      <c r="O72" s="29"/>
      <c r="P72" s="20">
        <f>+P16-P18+P70</f>
        <v>-322847.12000000005</v>
      </c>
      <c r="Q72" s="14"/>
      <c r="R72" s="22">
        <f>IF(P$12=0,0,P72/P$12)</f>
        <v>0</v>
      </c>
      <c r="S72" s="14"/>
      <c r="T72" s="20">
        <f>+T16-T18+T70</f>
        <v>-474151.29</v>
      </c>
      <c r="U72" s="14"/>
      <c r="V72" s="22">
        <f>IF(T$12=0,0,T72/T$12)</f>
        <v>0</v>
      </c>
      <c r="W72" s="15"/>
      <c r="X72" s="20">
        <f>+P72-T72</f>
        <v>151304.16999999993</v>
      </c>
      <c r="Y72" s="15"/>
      <c r="Z72" s="22">
        <f>IF(T72=0,0,X72/T72)</f>
        <v>-0.31910525857685618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/>
      <c r="E74" s="4"/>
      <c r="F74" s="12">
        <f>IF(D$12=0,0,D74/D$12)</f>
        <v>0</v>
      </c>
      <c r="G74" s="4"/>
      <c r="H74" s="4"/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/>
      <c r="Q74" s="4"/>
      <c r="R74" s="12">
        <f>IF(P$12=0,0,P74/P$12)</f>
        <v>0</v>
      </c>
      <c r="S74" s="4"/>
      <c r="T74" s="4"/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8" t="s">
        <v>4</v>
      </c>
      <c r="C76" s="28"/>
      <c r="D76" s="30">
        <f>+D72-D74</f>
        <v>-51218.010000000009</v>
      </c>
      <c r="E76" s="14"/>
      <c r="F76" s="36">
        <f>IF(D$12=0,0,D76/D$12)</f>
        <v>0</v>
      </c>
      <c r="G76" s="14"/>
      <c r="H76" s="30">
        <f>+H72-H74</f>
        <v>-71552.580000000016</v>
      </c>
      <c r="I76" s="14"/>
      <c r="J76" s="36">
        <f>IF(H$12=0,0,H76/H$12)</f>
        <v>0</v>
      </c>
      <c r="K76" s="15"/>
      <c r="L76" s="30">
        <f>D76-H76</f>
        <v>20334.570000000007</v>
      </c>
      <c r="M76" s="15"/>
      <c r="N76" s="36">
        <f>IF(H76=0,0,L76/H76)</f>
        <v>-0.28419059103109912</v>
      </c>
      <c r="O76" s="29"/>
      <c r="P76" s="30">
        <f>+P72-P74</f>
        <v>-322847.12000000005</v>
      </c>
      <c r="Q76" s="14"/>
      <c r="R76" s="36">
        <f>IF(P$12=0,0,P76/P$12)</f>
        <v>0</v>
      </c>
      <c r="S76" s="14"/>
      <c r="T76" s="30">
        <f>+T72-T74</f>
        <v>-474151.29</v>
      </c>
      <c r="U76" s="14"/>
      <c r="V76" s="36">
        <f>IF(T$12=0,0,T76/T$12)</f>
        <v>0</v>
      </c>
      <c r="W76" s="15"/>
      <c r="X76" s="30">
        <f>P76-T76</f>
        <v>151304.16999999993</v>
      </c>
      <c r="Y76" s="15"/>
      <c r="Z76" s="36">
        <f>IF(T76=0,0,X76/T76)</f>
        <v>-0.31910525857685618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5</v>
      </c>
      <c r="C79" s="28"/>
      <c r="D79" s="32">
        <f>SUM(D76:D78)</f>
        <v>-51218.010000000009</v>
      </c>
      <c r="E79" s="14"/>
      <c r="F79" s="31">
        <f>IF(D$12=0,0,D79/D$12)</f>
        <v>0</v>
      </c>
      <c r="G79" s="14"/>
      <c r="H79" s="32">
        <f>SUM(H76:H78)</f>
        <v>-71552.580000000016</v>
      </c>
      <c r="I79" s="14"/>
      <c r="J79" s="31">
        <f>IF(H$12=0,0,H79/H$12)</f>
        <v>0</v>
      </c>
      <c r="K79" s="15"/>
      <c r="L79" s="32">
        <f>+D79-H79</f>
        <v>20334.570000000007</v>
      </c>
      <c r="M79" s="15"/>
      <c r="N79" s="31">
        <f>IF(H79=0,0,L79/H79)</f>
        <v>-0.28419059103109912</v>
      </c>
      <c r="O79" s="29"/>
      <c r="P79" s="32">
        <f>SUM(P76:P78)</f>
        <v>-322847.12000000005</v>
      </c>
      <c r="Q79" s="14"/>
      <c r="R79" s="31">
        <f>IF(P$12=0,0,P79/P$12)</f>
        <v>0</v>
      </c>
      <c r="S79" s="14"/>
      <c r="T79" s="32">
        <f>SUM(T76:T78)</f>
        <v>-474151.29</v>
      </c>
      <c r="U79" s="14"/>
      <c r="V79" s="31">
        <f>IF(T$12=0,0,T79/T$12)</f>
        <v>0</v>
      </c>
      <c r="W79" s="15"/>
      <c r="X79" s="32">
        <f>+P79-T79</f>
        <v>151304.16999999993</v>
      </c>
      <c r="Y79" s="15"/>
      <c r="Z79" s="31">
        <f>IF(T79=0,0,X79/T79)</f>
        <v>-0.31910525857685618</v>
      </c>
    </row>
    <row r="80" spans="1:26" ht="15.75" thickTop="1" x14ac:dyDescent="0.25">
      <c r="A80" s="9"/>
      <c r="C80" s="9"/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62">
        <v>44238.49605829861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9" t="s">
        <v>313</v>
      </c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A83" s="9"/>
      <c r="B83" s="56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4" x14ac:dyDescent="0.25"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","204", " - ", "Information Technology")</f>
        <v>Department 204 - Information Technology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50620.130000000005</v>
      </c>
      <c r="E18" s="21"/>
      <c r="F18" s="35">
        <f t="shared" ref="F18:F29" si="0">IF(D$12=0,0,D18/D$12)</f>
        <v>0</v>
      </c>
      <c r="G18" s="21"/>
      <c r="H18" s="21">
        <f>SUM(OSRRefH22x_0)</f>
        <v>64226.119999999995</v>
      </c>
      <c r="I18" s="21"/>
      <c r="J18" s="35">
        <f t="shared" ref="J18:J29" si="1">IF(H$12=0,0,H18/H$12)</f>
        <v>0</v>
      </c>
      <c r="K18" s="4"/>
      <c r="L18" s="21">
        <f t="shared" ref="L18:L29" si="2">+D18-H18</f>
        <v>-13605.989999999991</v>
      </c>
      <c r="M18" s="4"/>
      <c r="N18" s="35">
        <f t="shared" ref="N18:N29" si="3">IF(H18=0,0,L18/H18)</f>
        <v>-0.21184511846582033</v>
      </c>
      <c r="O18" s="10"/>
      <c r="P18" s="21">
        <f>SUM(OSRRefP22x_0)</f>
        <v>357175.36999999994</v>
      </c>
      <c r="Q18" s="21"/>
      <c r="R18" s="35">
        <f t="shared" ref="R18:R29" si="4">IF(P$12=0,0,P18/P$12)</f>
        <v>0</v>
      </c>
      <c r="S18" s="21"/>
      <c r="T18" s="21">
        <f>SUM(OSRRefT22x_0)</f>
        <v>424825.43</v>
      </c>
      <c r="U18" s="21"/>
      <c r="V18" s="35">
        <f t="shared" ref="V18:V29" si="5">IF(T$12=0,0,T18/T$12)</f>
        <v>0</v>
      </c>
      <c r="W18" s="4"/>
      <c r="X18" s="21">
        <f t="shared" ref="X18:X29" si="6">+P18-T18</f>
        <v>-67650.060000000056</v>
      </c>
      <c r="Y18" s="4"/>
      <c r="Z18" s="35">
        <f t="shared" ref="Z18:Z29" si="7">IF(T18=0,0,X18/T18)</f>
        <v>-0.15924202089314676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11253.12</v>
      </c>
      <c r="E19" s="1"/>
      <c r="F19" s="5">
        <f t="shared" si="0"/>
        <v>0</v>
      </c>
      <c r="G19" s="1"/>
      <c r="H19" s="1">
        <f>SUM(OSRRefH22_0x_0)</f>
        <v>13523.080000000002</v>
      </c>
      <c r="I19" s="1"/>
      <c r="J19" s="5">
        <f t="shared" si="1"/>
        <v>0</v>
      </c>
      <c r="K19" s="1"/>
      <c r="L19" s="1">
        <f t="shared" si="2"/>
        <v>-2269.9600000000009</v>
      </c>
      <c r="M19" s="1"/>
      <c r="N19" s="5">
        <f t="shared" si="3"/>
        <v>-0.16785820981610702</v>
      </c>
      <c r="O19" s="13"/>
      <c r="P19" s="1">
        <f>SUM(OSRRefP22_0x_0)</f>
        <v>88342.05</v>
      </c>
      <c r="Q19" s="1"/>
      <c r="R19" s="5">
        <f t="shared" si="4"/>
        <v>0</v>
      </c>
      <c r="S19" s="1"/>
      <c r="T19" s="1">
        <f>SUM(OSRRefT22_0x_0)</f>
        <v>91580.74</v>
      </c>
      <c r="U19" s="1"/>
      <c r="V19" s="5">
        <f t="shared" si="5"/>
        <v>0</v>
      </c>
      <c r="W19" s="1"/>
      <c r="X19" s="1">
        <f t="shared" si="6"/>
        <v>-3238.6900000000023</v>
      </c>
      <c r="Y19" s="1"/>
      <c r="Z19" s="5">
        <f t="shared" si="7"/>
        <v>-3.5364313500851841E-2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1417.14</v>
      </c>
      <c r="E20" s="2"/>
      <c r="F20" s="7">
        <f t="shared" si="0"/>
        <v>0</v>
      </c>
      <c r="G20" s="2"/>
      <c r="H20" s="6">
        <v>1921.5</v>
      </c>
      <c r="I20" s="2"/>
      <c r="J20" s="7">
        <f t="shared" si="1"/>
        <v>0</v>
      </c>
      <c r="K20" s="2"/>
      <c r="L20" s="6">
        <f t="shared" si="2"/>
        <v>-504.3599999999999</v>
      </c>
      <c r="M20" s="2"/>
      <c r="N20" s="7">
        <f t="shared" si="3"/>
        <v>-0.26248243559718965</v>
      </c>
      <c r="O20" s="11"/>
      <c r="P20" s="6">
        <v>12707.71</v>
      </c>
      <c r="Q20" s="2"/>
      <c r="R20" s="7">
        <f t="shared" si="4"/>
        <v>0</v>
      </c>
      <c r="S20" s="2"/>
      <c r="T20" s="6">
        <v>15028.46</v>
      </c>
      <c r="U20" s="2"/>
      <c r="V20" s="7">
        <f t="shared" si="5"/>
        <v>0</v>
      </c>
      <c r="W20" s="2"/>
      <c r="X20" s="6">
        <f t="shared" si="6"/>
        <v>-2320.75</v>
      </c>
      <c r="Y20" s="2"/>
      <c r="Z20" s="7">
        <f t="shared" si="7"/>
        <v>-0.15442367348351063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-72.97</v>
      </c>
      <c r="E21" s="2"/>
      <c r="F21" s="7">
        <f t="shared" si="0"/>
        <v>0</v>
      </c>
      <c r="G21" s="2"/>
      <c r="H21" s="6">
        <v>92.19</v>
      </c>
      <c r="I21" s="2"/>
      <c r="J21" s="7">
        <f t="shared" si="1"/>
        <v>0</v>
      </c>
      <c r="K21" s="2"/>
      <c r="L21" s="6">
        <f t="shared" si="2"/>
        <v>-165.16</v>
      </c>
      <c r="M21" s="2"/>
      <c r="N21" s="7">
        <f t="shared" si="3"/>
        <v>-1.7915175181689988</v>
      </c>
      <c r="O21" s="11"/>
      <c r="P21" s="6">
        <v>600.59</v>
      </c>
      <c r="Q21" s="2"/>
      <c r="R21" s="7">
        <f t="shared" si="4"/>
        <v>0</v>
      </c>
      <c r="S21" s="2"/>
      <c r="T21" s="6">
        <v>550.69000000000005</v>
      </c>
      <c r="U21" s="2"/>
      <c r="V21" s="7">
        <f t="shared" si="5"/>
        <v>0</v>
      </c>
      <c r="W21" s="2"/>
      <c r="X21" s="6">
        <f t="shared" si="6"/>
        <v>49.899999999999977</v>
      </c>
      <c r="Y21" s="2"/>
      <c r="Z21" s="7">
        <f t="shared" si="7"/>
        <v>9.0613593854981883E-2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4844.5200000000004</v>
      </c>
      <c r="E22" s="2"/>
      <c r="F22" s="7">
        <f t="shared" si="0"/>
        <v>0</v>
      </c>
      <c r="G22" s="2"/>
      <c r="H22" s="6">
        <v>5567.87</v>
      </c>
      <c r="I22" s="2"/>
      <c r="J22" s="7">
        <f t="shared" si="1"/>
        <v>0</v>
      </c>
      <c r="K22" s="2"/>
      <c r="L22" s="6">
        <f t="shared" si="2"/>
        <v>-723.34999999999945</v>
      </c>
      <c r="M22" s="2"/>
      <c r="N22" s="7">
        <f t="shared" si="3"/>
        <v>-0.12991503034373997</v>
      </c>
      <c r="O22" s="11"/>
      <c r="P22" s="6">
        <v>38224.899999999994</v>
      </c>
      <c r="Q22" s="2"/>
      <c r="R22" s="7">
        <f t="shared" si="4"/>
        <v>0</v>
      </c>
      <c r="S22" s="2"/>
      <c r="T22" s="6">
        <v>36543.65</v>
      </c>
      <c r="U22" s="2"/>
      <c r="V22" s="7">
        <f t="shared" si="5"/>
        <v>0</v>
      </c>
      <c r="W22" s="2"/>
      <c r="X22" s="6">
        <f t="shared" si="6"/>
        <v>1681.2499999999927</v>
      </c>
      <c r="Y22" s="2"/>
      <c r="Z22" s="7">
        <f t="shared" si="7"/>
        <v>4.6006624953993172E-2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95.69</v>
      </c>
      <c r="E23" s="2"/>
      <c r="F23" s="7">
        <f t="shared" si="0"/>
        <v>0</v>
      </c>
      <c r="G23" s="2"/>
      <c r="H23" s="6">
        <v>70.5</v>
      </c>
      <c r="I23" s="2"/>
      <c r="J23" s="7">
        <f t="shared" si="1"/>
        <v>0</v>
      </c>
      <c r="K23" s="2"/>
      <c r="L23" s="6">
        <f t="shared" si="2"/>
        <v>25.189999999999998</v>
      </c>
      <c r="M23" s="2"/>
      <c r="N23" s="7">
        <f t="shared" si="3"/>
        <v>0.35730496453900706</v>
      </c>
      <c r="O23" s="11"/>
      <c r="P23" s="6">
        <v>434.02</v>
      </c>
      <c r="Q23" s="2"/>
      <c r="R23" s="7">
        <f t="shared" si="4"/>
        <v>0</v>
      </c>
      <c r="S23" s="2"/>
      <c r="T23" s="6">
        <v>547</v>
      </c>
      <c r="U23" s="2"/>
      <c r="V23" s="7">
        <f t="shared" si="5"/>
        <v>0</v>
      </c>
      <c r="W23" s="2"/>
      <c r="X23" s="6">
        <f t="shared" si="6"/>
        <v>-112.98000000000002</v>
      </c>
      <c r="Y23" s="2"/>
      <c r="Z23" s="7">
        <f t="shared" si="7"/>
        <v>-0.20654478976234006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2791.81</v>
      </c>
      <c r="E24" s="2"/>
      <c r="F24" s="7">
        <f t="shared" si="0"/>
        <v>0</v>
      </c>
      <c r="G24" s="2"/>
      <c r="H24" s="6">
        <v>2030.52</v>
      </c>
      <c r="I24" s="2"/>
      <c r="J24" s="7">
        <f t="shared" si="1"/>
        <v>0</v>
      </c>
      <c r="K24" s="2"/>
      <c r="L24" s="6">
        <f t="shared" si="2"/>
        <v>761.29</v>
      </c>
      <c r="M24" s="2"/>
      <c r="N24" s="7">
        <f t="shared" si="3"/>
        <v>0.3749236648740224</v>
      </c>
      <c r="O24" s="11"/>
      <c r="P24" s="6">
        <v>16344.9</v>
      </c>
      <c r="Q24" s="2"/>
      <c r="R24" s="7">
        <f t="shared" si="4"/>
        <v>0</v>
      </c>
      <c r="S24" s="2"/>
      <c r="T24" s="6">
        <v>11805.58</v>
      </c>
      <c r="U24" s="2"/>
      <c r="V24" s="7">
        <f t="shared" si="5"/>
        <v>0</v>
      </c>
      <c r="W24" s="2"/>
      <c r="X24" s="6">
        <f t="shared" si="6"/>
        <v>4539.32</v>
      </c>
      <c r="Y24" s="2"/>
      <c r="Z24" s="7">
        <f t="shared" si="7"/>
        <v>0.38450630972811162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134</v>
      </c>
      <c r="U25" s="2"/>
      <c r="V25" s="7">
        <f t="shared" si="5"/>
        <v>0</v>
      </c>
      <c r="W25" s="2"/>
      <c r="X25" s="6">
        <f t="shared" si="6"/>
        <v>-134</v>
      </c>
      <c r="Y25" s="2"/>
      <c r="Z25" s="7">
        <f t="shared" si="7"/>
        <v>-1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/>
      <c r="E26" s="2"/>
      <c r="F26" s="7">
        <f t="shared" si="0"/>
        <v>0</v>
      </c>
      <c r="G26" s="2"/>
      <c r="H26" s="6">
        <v>738.59</v>
      </c>
      <c r="I26" s="2"/>
      <c r="J26" s="7">
        <f t="shared" si="1"/>
        <v>0</v>
      </c>
      <c r="K26" s="2"/>
      <c r="L26" s="6">
        <f t="shared" si="2"/>
        <v>-738.59</v>
      </c>
      <c r="M26" s="2"/>
      <c r="N26" s="7">
        <f t="shared" si="3"/>
        <v>-1</v>
      </c>
      <c r="O26" s="11"/>
      <c r="P26" s="6">
        <v>912.28</v>
      </c>
      <c r="Q26" s="2"/>
      <c r="R26" s="7">
        <f t="shared" si="4"/>
        <v>0</v>
      </c>
      <c r="S26" s="2"/>
      <c r="T26" s="6">
        <v>3130</v>
      </c>
      <c r="U26" s="2"/>
      <c r="V26" s="7">
        <f t="shared" si="5"/>
        <v>0</v>
      </c>
      <c r="W26" s="2"/>
      <c r="X26" s="6">
        <f t="shared" si="6"/>
        <v>-2217.7200000000003</v>
      </c>
      <c r="Y26" s="2"/>
      <c r="Z26" s="7">
        <f t="shared" si="7"/>
        <v>-0.70853674121405763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1296.43</v>
      </c>
      <c r="E27" s="2"/>
      <c r="F27" s="7">
        <f t="shared" si="0"/>
        <v>0</v>
      </c>
      <c r="G27" s="2"/>
      <c r="H27" s="6">
        <v>1438.28</v>
      </c>
      <c r="I27" s="2"/>
      <c r="J27" s="7">
        <f t="shared" si="1"/>
        <v>0</v>
      </c>
      <c r="K27" s="2"/>
      <c r="L27" s="6">
        <f t="shared" si="2"/>
        <v>-141.84999999999991</v>
      </c>
      <c r="M27" s="2"/>
      <c r="N27" s="7">
        <f t="shared" si="3"/>
        <v>-9.8624746224657167E-2</v>
      </c>
      <c r="O27" s="11"/>
      <c r="P27" s="6">
        <v>10687.55</v>
      </c>
      <c r="Q27" s="2"/>
      <c r="R27" s="7">
        <f t="shared" si="4"/>
        <v>0</v>
      </c>
      <c r="S27" s="2"/>
      <c r="T27" s="6">
        <v>11609.08</v>
      </c>
      <c r="U27" s="2"/>
      <c r="V27" s="7">
        <f t="shared" si="5"/>
        <v>0</v>
      </c>
      <c r="W27" s="2"/>
      <c r="X27" s="6">
        <f t="shared" si="6"/>
        <v>-921.53000000000065</v>
      </c>
      <c r="Y27" s="2"/>
      <c r="Z27" s="7">
        <f t="shared" si="7"/>
        <v>-7.9380105917092533E-2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844.06</v>
      </c>
      <c r="E28" s="2"/>
      <c r="F28" s="7">
        <f t="shared" si="0"/>
        <v>0</v>
      </c>
      <c r="G28" s="2"/>
      <c r="H28" s="6">
        <v>966.36</v>
      </c>
      <c r="I28" s="2"/>
      <c r="J28" s="7">
        <f t="shared" si="1"/>
        <v>0</v>
      </c>
      <c r="K28" s="2"/>
      <c r="L28" s="6">
        <f t="shared" si="2"/>
        <v>-122.30000000000007</v>
      </c>
      <c r="M28" s="2"/>
      <c r="N28" s="7">
        <f t="shared" si="3"/>
        <v>-0.12655739062047278</v>
      </c>
      <c r="O28" s="11"/>
      <c r="P28" s="6">
        <v>7105.35</v>
      </c>
      <c r="Q28" s="2"/>
      <c r="R28" s="7">
        <f t="shared" si="4"/>
        <v>0</v>
      </c>
      <c r="S28" s="2"/>
      <c r="T28" s="6">
        <v>7773.02</v>
      </c>
      <c r="U28" s="2"/>
      <c r="V28" s="7">
        <f t="shared" si="5"/>
        <v>0</v>
      </c>
      <c r="W28" s="2"/>
      <c r="X28" s="6">
        <f t="shared" si="6"/>
        <v>-667.67000000000007</v>
      </c>
      <c r="Y28" s="2"/>
      <c r="Z28" s="7">
        <f t="shared" si="7"/>
        <v>-8.5895829420225348E-2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36.44</v>
      </c>
      <c r="E29" s="2"/>
      <c r="F29" s="7">
        <f t="shared" si="0"/>
        <v>0</v>
      </c>
      <c r="G29" s="2"/>
      <c r="H29" s="6">
        <v>697.27</v>
      </c>
      <c r="I29" s="2"/>
      <c r="J29" s="7">
        <f t="shared" si="1"/>
        <v>0</v>
      </c>
      <c r="K29" s="2"/>
      <c r="L29" s="6">
        <f t="shared" si="2"/>
        <v>-660.82999999999993</v>
      </c>
      <c r="M29" s="2"/>
      <c r="N29" s="7">
        <f t="shared" si="3"/>
        <v>-0.94773903939650339</v>
      </c>
      <c r="O29" s="11"/>
      <c r="P29" s="6">
        <v>1324.75</v>
      </c>
      <c r="Q29" s="2"/>
      <c r="R29" s="7">
        <f t="shared" si="4"/>
        <v>0</v>
      </c>
      <c r="S29" s="2"/>
      <c r="T29" s="6">
        <v>4459.26</v>
      </c>
      <c r="U29" s="2"/>
      <c r="V29" s="7">
        <f t="shared" si="5"/>
        <v>0</v>
      </c>
      <c r="W29" s="2"/>
      <c r="X29" s="6">
        <f t="shared" si="6"/>
        <v>-3134.51</v>
      </c>
      <c r="Y29" s="2"/>
      <c r="Z29" s="7">
        <f t="shared" si="7"/>
        <v>-0.70292156097648495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21531.85</v>
      </c>
      <c r="E30" s="1"/>
      <c r="F30" s="5">
        <f t="shared" ref="F30:F35" si="8">IF(D$12=0,0,D30/D$12)</f>
        <v>0</v>
      </c>
      <c r="G30" s="1"/>
      <c r="H30" s="1">
        <f>SUM(OSRRefH22_1x_0)</f>
        <v>31723.230000000003</v>
      </c>
      <c r="I30" s="1"/>
      <c r="J30" s="5">
        <f t="shared" ref="J30:J35" si="9">IF(H$12=0,0,H30/H$12)</f>
        <v>0</v>
      </c>
      <c r="K30" s="1"/>
      <c r="L30" s="1">
        <f t="shared" ref="L30:L35" si="10">+D30-H30</f>
        <v>-10191.380000000005</v>
      </c>
      <c r="M30" s="1"/>
      <c r="N30" s="5">
        <f t="shared" ref="N30:N35" si="11">IF(H30=0,0,L30/H30)</f>
        <v>-0.32125921603821567</v>
      </c>
      <c r="O30" s="13"/>
      <c r="P30" s="1">
        <f>SUM(OSRRefP22_1x_0)</f>
        <v>145758.19999999998</v>
      </c>
      <c r="Q30" s="1"/>
      <c r="R30" s="5">
        <f t="shared" ref="R30:R35" si="12">IF(P$12=0,0,P30/P$12)</f>
        <v>0</v>
      </c>
      <c r="S30" s="1"/>
      <c r="T30" s="1">
        <f>SUM(OSRRefT22_1x_0)</f>
        <v>187876.75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-42118.550000000017</v>
      </c>
      <c r="Y30" s="1"/>
      <c r="Z30" s="5">
        <f t="shared" ref="Z30:Z35" si="15">IF(T30=0,0,X30/T30)</f>
        <v>-0.22418181068173693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21531.85</v>
      </c>
      <c r="E31" s="2"/>
      <c r="F31" s="7">
        <f t="shared" si="8"/>
        <v>0</v>
      </c>
      <c r="G31" s="2"/>
      <c r="H31" s="6">
        <v>14024.68</v>
      </c>
      <c r="I31" s="2"/>
      <c r="J31" s="7">
        <f t="shared" si="9"/>
        <v>0</v>
      </c>
      <c r="K31" s="2"/>
      <c r="L31" s="6">
        <f t="shared" si="10"/>
        <v>7507.1699999999983</v>
      </c>
      <c r="M31" s="2"/>
      <c r="N31" s="7">
        <f t="shared" si="11"/>
        <v>0.5352828014614236</v>
      </c>
      <c r="O31" s="11"/>
      <c r="P31" s="6">
        <v>131544.95999999999</v>
      </c>
      <c r="Q31" s="2"/>
      <c r="R31" s="7">
        <f t="shared" si="12"/>
        <v>0</v>
      </c>
      <c r="S31" s="2"/>
      <c r="T31" s="6">
        <v>88787.28</v>
      </c>
      <c r="U31" s="2"/>
      <c r="V31" s="7">
        <f t="shared" si="13"/>
        <v>0</v>
      </c>
      <c r="W31" s="2"/>
      <c r="X31" s="6">
        <f t="shared" si="14"/>
        <v>42757.679999999993</v>
      </c>
      <c r="Y31" s="2"/>
      <c r="Z31" s="7">
        <f t="shared" si="15"/>
        <v>0.48157438768255983</v>
      </c>
    </row>
    <row r="32" spans="1:26" s="24" customFormat="1" hidden="1" outlineLevel="2" x14ac:dyDescent="0.25">
      <c r="A32" s="25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9687.8700000000008</v>
      </c>
      <c r="I32" s="2"/>
      <c r="J32" s="7">
        <f t="shared" si="9"/>
        <v>0</v>
      </c>
      <c r="K32" s="2"/>
      <c r="L32" s="6">
        <f t="shared" si="10"/>
        <v>-9687.8700000000008</v>
      </c>
      <c r="M32" s="2"/>
      <c r="N32" s="7">
        <f t="shared" si="11"/>
        <v>-1</v>
      </c>
      <c r="O32" s="11"/>
      <c r="P32" s="6">
        <v>14213.24</v>
      </c>
      <c r="Q32" s="2"/>
      <c r="R32" s="7">
        <f t="shared" si="12"/>
        <v>0</v>
      </c>
      <c r="S32" s="2"/>
      <c r="T32" s="6">
        <v>56841.53</v>
      </c>
      <c r="U32" s="2"/>
      <c r="V32" s="7">
        <f t="shared" si="13"/>
        <v>0</v>
      </c>
      <c r="W32" s="2"/>
      <c r="X32" s="6">
        <f t="shared" si="14"/>
        <v>-42628.29</v>
      </c>
      <c r="Y32" s="2"/>
      <c r="Z32" s="7">
        <f t="shared" si="15"/>
        <v>-0.7499497286579021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2145</v>
      </c>
      <c r="I33" s="2"/>
      <c r="J33" s="7">
        <f t="shared" si="9"/>
        <v>0</v>
      </c>
      <c r="K33" s="2"/>
      <c r="L33" s="6">
        <f t="shared" si="10"/>
        <v>-2145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17270.25</v>
      </c>
      <c r="U33" s="2"/>
      <c r="V33" s="7">
        <f t="shared" si="13"/>
        <v>0</v>
      </c>
      <c r="W33" s="2"/>
      <c r="X33" s="6">
        <f t="shared" si="14"/>
        <v>-17270.25</v>
      </c>
      <c r="Y33" s="2"/>
      <c r="Z33" s="7">
        <f t="shared" si="15"/>
        <v>-1</v>
      </c>
    </row>
    <row r="34" spans="1:26" s="24" customFormat="1" hidden="1" outlineLevel="2" x14ac:dyDescent="0.25">
      <c r="A34" s="25"/>
      <c r="B34" s="11" t="str">
        <f>CONCATENATE("          ", "6007", " - ", "STUDENT HOURLY")</f>
        <v xml:space="preserve">          6007 - STUDENT HOURLY</v>
      </c>
      <c r="C34" s="11"/>
      <c r="D34" s="6"/>
      <c r="E34" s="2"/>
      <c r="F34" s="7">
        <f t="shared" si="8"/>
        <v>0</v>
      </c>
      <c r="G34" s="2"/>
      <c r="H34" s="6">
        <v>5865.68</v>
      </c>
      <c r="I34" s="2"/>
      <c r="J34" s="7">
        <f t="shared" si="9"/>
        <v>0</v>
      </c>
      <c r="K34" s="2"/>
      <c r="L34" s="6">
        <f t="shared" si="10"/>
        <v>-5865.68</v>
      </c>
      <c r="M34" s="2"/>
      <c r="N34" s="7">
        <f t="shared" si="11"/>
        <v>-1</v>
      </c>
      <c r="O34" s="11"/>
      <c r="P34" s="6">
        <v>0</v>
      </c>
      <c r="Q34" s="2"/>
      <c r="R34" s="7">
        <f t="shared" si="12"/>
        <v>0</v>
      </c>
      <c r="S34" s="2"/>
      <c r="T34" s="6">
        <v>22457.69</v>
      </c>
      <c r="U34" s="2"/>
      <c r="V34" s="7">
        <f t="shared" si="13"/>
        <v>0</v>
      </c>
      <c r="W34" s="2"/>
      <c r="X34" s="6">
        <f t="shared" si="14"/>
        <v>-22457.69</v>
      </c>
      <c r="Y34" s="2"/>
      <c r="Z34" s="7">
        <f t="shared" si="15"/>
        <v>-1</v>
      </c>
    </row>
    <row r="35" spans="1:26" s="24" customFormat="1" hidden="1" outlineLevel="2" x14ac:dyDescent="0.25">
      <c r="A35" s="25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2520</v>
      </c>
      <c r="U35" s="2"/>
      <c r="V35" s="7">
        <f t="shared" si="13"/>
        <v>0</v>
      </c>
      <c r="W35" s="2"/>
      <c r="X35" s="6">
        <f t="shared" si="14"/>
        <v>-2520</v>
      </c>
      <c r="Y35" s="2"/>
      <c r="Z35" s="7">
        <f t="shared" si="15"/>
        <v>-1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7" si="16">IF(D$12=0,0,D36/D$12)</f>
        <v>0</v>
      </c>
      <c r="G36" s="1"/>
      <c r="H36" s="1">
        <f>SUM(OSRRefH22_2x_0)</f>
        <v>0</v>
      </c>
      <c r="I36" s="1"/>
      <c r="J36" s="5">
        <f t="shared" ref="J36:J47" si="17">IF(H$12=0,0,H36/H$12)</f>
        <v>0</v>
      </c>
      <c r="K36" s="1"/>
      <c r="L36" s="1">
        <f t="shared" ref="L36:L47" si="18">+D36-H36</f>
        <v>0</v>
      </c>
      <c r="M36" s="1"/>
      <c r="N36" s="5">
        <f t="shared" ref="N36:N47" si="19">IF(H36=0,0,L36/H36)</f>
        <v>0</v>
      </c>
      <c r="O36" s="13"/>
      <c r="P36" s="1">
        <f>SUM(OSRRefP22_2x_0)</f>
        <v>0</v>
      </c>
      <c r="Q36" s="1"/>
      <c r="R36" s="5">
        <f t="shared" ref="R36:R47" si="20">IF(P$12=0,0,P36/P$12)</f>
        <v>0</v>
      </c>
      <c r="S36" s="1"/>
      <c r="T36" s="1">
        <f>SUM(OSRRefT22_2x_0)</f>
        <v>9.99</v>
      </c>
      <c r="U36" s="1"/>
      <c r="V36" s="5">
        <f t="shared" ref="V36:V47" si="21">IF(T$12=0,0,T36/T$12)</f>
        <v>0</v>
      </c>
      <c r="W36" s="1"/>
      <c r="X36" s="1">
        <f t="shared" ref="X36:X47" si="22">+P36-T36</f>
        <v>-9.99</v>
      </c>
      <c r="Y36" s="1"/>
      <c r="Z36" s="5">
        <f t="shared" ref="Z36:Z47" si="23">IF(T36=0,0,X36/T36)</f>
        <v>-1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/>
      <c r="Q37" s="2"/>
      <c r="R37" s="7">
        <f t="shared" si="20"/>
        <v>0</v>
      </c>
      <c r="S37" s="2"/>
      <c r="T37" s="6">
        <v>9.99</v>
      </c>
      <c r="U37" s="2"/>
      <c r="V37" s="7">
        <f t="shared" si="21"/>
        <v>0</v>
      </c>
      <c r="W37" s="2"/>
      <c r="X37" s="6">
        <f t="shared" si="22"/>
        <v>-9.99</v>
      </c>
      <c r="Y37" s="2"/>
      <c r="Z37" s="7">
        <f t="shared" si="23"/>
        <v>-1</v>
      </c>
    </row>
    <row r="38" spans="1:26" s="26" customFormat="1" outlineLevel="1" collapsed="1" x14ac:dyDescent="0.25">
      <c r="A38" s="27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SUM(OSRRefD22_3x_0)</f>
        <v>4994.03</v>
      </c>
      <c r="E38" s="1"/>
      <c r="F38" s="5">
        <f t="shared" si="16"/>
        <v>0</v>
      </c>
      <c r="G38" s="1"/>
      <c r="H38" s="1">
        <f>SUM(OSRRefH22_3x_0)</f>
        <v>6175.97</v>
      </c>
      <c r="I38" s="1"/>
      <c r="J38" s="5">
        <f t="shared" si="17"/>
        <v>0</v>
      </c>
      <c r="K38" s="1"/>
      <c r="L38" s="1">
        <f t="shared" si="18"/>
        <v>-1181.9400000000005</v>
      </c>
      <c r="M38" s="1"/>
      <c r="N38" s="5">
        <f t="shared" si="19"/>
        <v>-0.19137722495413684</v>
      </c>
      <c r="O38" s="13"/>
      <c r="P38" s="1">
        <f>SUM(OSRRefP22_3x_0)</f>
        <v>36528.729999999996</v>
      </c>
      <c r="Q38" s="1"/>
      <c r="R38" s="5">
        <f t="shared" si="20"/>
        <v>0</v>
      </c>
      <c r="S38" s="1"/>
      <c r="T38" s="1">
        <f>SUM(OSRRefT22_3x_0)</f>
        <v>43231.79</v>
      </c>
      <c r="U38" s="1"/>
      <c r="V38" s="5">
        <f t="shared" si="21"/>
        <v>0</v>
      </c>
      <c r="W38" s="1"/>
      <c r="X38" s="1">
        <f t="shared" si="22"/>
        <v>-6703.0600000000049</v>
      </c>
      <c r="Y38" s="1"/>
      <c r="Z38" s="5">
        <f t="shared" si="23"/>
        <v>-0.15504932828365434</v>
      </c>
    </row>
    <row r="39" spans="1:26" s="24" customFormat="1" hidden="1" outlineLevel="2" x14ac:dyDescent="0.25">
      <c r="A39" s="25"/>
      <c r="B39" s="11" t="str">
        <f>CONCATENATE("          ", "6322", " - ", "EQUIPMENT DEPRECIATION EXPENSE")</f>
        <v xml:space="preserve">          6322 - EQUIPMENT DEPRECIATION EXPENSE</v>
      </c>
      <c r="C39" s="11"/>
      <c r="D39" s="6">
        <v>4994.03</v>
      </c>
      <c r="E39" s="2"/>
      <c r="F39" s="7">
        <f t="shared" si="16"/>
        <v>0</v>
      </c>
      <c r="G39" s="2"/>
      <c r="H39" s="6">
        <v>6175.97</v>
      </c>
      <c r="I39" s="2"/>
      <c r="J39" s="7">
        <f t="shared" si="17"/>
        <v>0</v>
      </c>
      <c r="K39" s="2"/>
      <c r="L39" s="6">
        <f t="shared" si="18"/>
        <v>-1181.9400000000005</v>
      </c>
      <c r="M39" s="2"/>
      <c r="N39" s="7">
        <f t="shared" si="19"/>
        <v>-0.19137722495413684</v>
      </c>
      <c r="O39" s="11"/>
      <c r="P39" s="6">
        <v>36528.729999999996</v>
      </c>
      <c r="Q39" s="2"/>
      <c r="R39" s="7">
        <f t="shared" si="20"/>
        <v>0</v>
      </c>
      <c r="S39" s="2"/>
      <c r="T39" s="6">
        <v>43231.79</v>
      </c>
      <c r="U39" s="2"/>
      <c r="V39" s="7">
        <f t="shared" si="21"/>
        <v>0</v>
      </c>
      <c r="W39" s="2"/>
      <c r="X39" s="6">
        <f t="shared" si="22"/>
        <v>-6703.0600000000049</v>
      </c>
      <c r="Y39" s="2"/>
      <c r="Z39" s="7">
        <f t="shared" si="23"/>
        <v>-0.15504932828365434</v>
      </c>
    </row>
    <row r="40" spans="1:26" s="26" customFormat="1" outlineLevel="1" collapsed="1" x14ac:dyDescent="0.25">
      <c r="A40" s="27"/>
      <c r="B40" s="13" t="str">
        <f>CONCATENATE("     ","Freight out/Postage                               ")</f>
        <v xml:space="preserve">     Freight out/Postage                               </v>
      </c>
      <c r="C40" s="13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0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3"/>
      <c r="P40" s="1">
        <f>SUM(OSRRefP22_4x_0)</f>
        <v>5.7</v>
      </c>
      <c r="Q40" s="1"/>
      <c r="R40" s="5">
        <f t="shared" si="20"/>
        <v>0</v>
      </c>
      <c r="S40" s="1"/>
      <c r="T40" s="1">
        <f>SUM(OSRRefT22_4x_0)</f>
        <v>0</v>
      </c>
      <c r="U40" s="1"/>
      <c r="V40" s="5">
        <f t="shared" si="21"/>
        <v>0</v>
      </c>
      <c r="W40" s="1"/>
      <c r="X40" s="1">
        <f t="shared" si="22"/>
        <v>5.7</v>
      </c>
      <c r="Y40" s="1"/>
      <c r="Z40" s="5">
        <f t="shared" si="23"/>
        <v>0</v>
      </c>
    </row>
    <row r="41" spans="1:26" s="24" customFormat="1" hidden="1" outlineLevel="2" x14ac:dyDescent="0.25">
      <c r="A41" s="25"/>
      <c r="B41" s="11" t="str">
        <f>CONCATENATE("          ", "6307", " - ", "POSTAGE")</f>
        <v xml:space="preserve">          6307 - POSTAGE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5.7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5.7</v>
      </c>
      <c r="Y41" s="2"/>
      <c r="Z41" s="7">
        <f t="shared" si="23"/>
        <v>0</v>
      </c>
    </row>
    <row r="42" spans="1:26" s="26" customFormat="1" outlineLevel="1" collapsed="1" x14ac:dyDescent="0.25">
      <c r="A42" s="27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SUM(OSRRefD22_5x_0)</f>
        <v>56.34</v>
      </c>
      <c r="E42" s="1"/>
      <c r="F42" s="5">
        <f t="shared" si="16"/>
        <v>0</v>
      </c>
      <c r="G42" s="1"/>
      <c r="H42" s="1">
        <f>SUM(OSRRefH22_5x_0)</f>
        <v>56.34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SUM(OSRRefP22_5x_0)</f>
        <v>394.38</v>
      </c>
      <c r="Q42" s="1"/>
      <c r="R42" s="5">
        <f t="shared" si="20"/>
        <v>0</v>
      </c>
      <c r="S42" s="1"/>
      <c r="T42" s="1">
        <f>SUM(OSRRefT22_5x_0)</f>
        <v>394.38</v>
      </c>
      <c r="U42" s="1"/>
      <c r="V42" s="5">
        <f t="shared" si="21"/>
        <v>0</v>
      </c>
      <c r="W42" s="1"/>
      <c r="X42" s="1">
        <f t="shared" si="22"/>
        <v>0</v>
      </c>
      <c r="Y42" s="1"/>
      <c r="Z42" s="5">
        <f t="shared" si="23"/>
        <v>0</v>
      </c>
    </row>
    <row r="43" spans="1:26" s="24" customFormat="1" hidden="1" outlineLevel="2" x14ac:dyDescent="0.25">
      <c r="A43" s="25"/>
      <c r="B43" s="11" t="str">
        <f>CONCATENATE("          ", "6314", " - ", "LIABILITY INSURANCE")</f>
        <v xml:space="preserve">          6314 - LIABILITY INSURANCE</v>
      </c>
      <c r="C43" s="11"/>
      <c r="D43" s="6">
        <v>56.34</v>
      </c>
      <c r="E43" s="2"/>
      <c r="F43" s="7">
        <f t="shared" si="16"/>
        <v>0</v>
      </c>
      <c r="G43" s="2"/>
      <c r="H43" s="6">
        <v>56.34</v>
      </c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>
        <v>394.38</v>
      </c>
      <c r="Q43" s="2"/>
      <c r="R43" s="7">
        <f t="shared" si="20"/>
        <v>0</v>
      </c>
      <c r="S43" s="2"/>
      <c r="T43" s="6">
        <v>394.38</v>
      </c>
      <c r="U43" s="2"/>
      <c r="V43" s="7">
        <f t="shared" si="21"/>
        <v>0</v>
      </c>
      <c r="W43" s="2"/>
      <c r="X43" s="6">
        <f t="shared" si="22"/>
        <v>0</v>
      </c>
      <c r="Y43" s="2"/>
      <c r="Z43" s="7">
        <f t="shared" si="23"/>
        <v>0</v>
      </c>
    </row>
    <row r="44" spans="1:26" s="26" customFormat="1" outlineLevel="1" collapsed="1" x14ac:dyDescent="0.25">
      <c r="A44" s="27"/>
      <c r="B44" s="13" t="str">
        <f>CONCATENATE("     ","Repair and Maintenance                            ")</f>
        <v xml:space="preserve">     Repair and Maintenance                            </v>
      </c>
      <c r="C44" s="13"/>
      <c r="D44" s="1">
        <f>SUM(OSRRefD22_6x_0)</f>
        <v>11992</v>
      </c>
      <c r="E44" s="1"/>
      <c r="F44" s="5">
        <f t="shared" si="16"/>
        <v>0</v>
      </c>
      <c r="G44" s="1"/>
      <c r="H44" s="1">
        <f>SUM(OSRRefH22_6x_0)</f>
        <v>9698.69</v>
      </c>
      <c r="I44" s="1"/>
      <c r="J44" s="5">
        <f t="shared" si="17"/>
        <v>0</v>
      </c>
      <c r="K44" s="1"/>
      <c r="L44" s="1">
        <f t="shared" si="18"/>
        <v>2293.3099999999995</v>
      </c>
      <c r="M44" s="1"/>
      <c r="N44" s="5">
        <f t="shared" si="19"/>
        <v>0.23645564504072192</v>
      </c>
      <c r="O44" s="13"/>
      <c r="P44" s="1">
        <f>SUM(OSRRefP22_6x_0)</f>
        <v>83160.160000000003</v>
      </c>
      <c r="Q44" s="1"/>
      <c r="R44" s="5">
        <f t="shared" si="20"/>
        <v>0</v>
      </c>
      <c r="S44" s="1"/>
      <c r="T44" s="1">
        <f>SUM(OSRRefT22_6x_0)</f>
        <v>67052.94</v>
      </c>
      <c r="U44" s="1"/>
      <c r="V44" s="5">
        <f t="shared" si="21"/>
        <v>0</v>
      </c>
      <c r="W44" s="1"/>
      <c r="X44" s="1">
        <f t="shared" si="22"/>
        <v>16107.220000000001</v>
      </c>
      <c r="Y44" s="1"/>
      <c r="Z44" s="5">
        <f t="shared" si="23"/>
        <v>0.24021646179869222</v>
      </c>
    </row>
    <row r="45" spans="1:26" s="24" customFormat="1" hidden="1" outlineLevel="2" x14ac:dyDescent="0.25">
      <c r="A45" s="25"/>
      <c r="B45" s="11" t="str">
        <f>CONCATENATE("          ", "6371", " - ", "COMPUTER SOFTWARE MAINTENANCE")</f>
        <v xml:space="preserve">          6371 - COMPUTER SOFTWARE MAINTENANCE</v>
      </c>
      <c r="C45" s="11"/>
      <c r="D45" s="6"/>
      <c r="E45" s="2"/>
      <c r="F45" s="7">
        <f t="shared" si="16"/>
        <v>0</v>
      </c>
      <c r="G45" s="2"/>
      <c r="H45" s="6">
        <v>209.75</v>
      </c>
      <c r="I45" s="2"/>
      <c r="J45" s="7">
        <f t="shared" si="17"/>
        <v>0</v>
      </c>
      <c r="K45" s="2"/>
      <c r="L45" s="6">
        <f t="shared" si="18"/>
        <v>-209.75</v>
      </c>
      <c r="M45" s="2"/>
      <c r="N45" s="7">
        <f t="shared" si="19"/>
        <v>-1</v>
      </c>
      <c r="O45" s="11"/>
      <c r="P45" s="6">
        <v>416.16</v>
      </c>
      <c r="Q45" s="2"/>
      <c r="R45" s="7">
        <f t="shared" si="20"/>
        <v>0</v>
      </c>
      <c r="S45" s="2"/>
      <c r="T45" s="6">
        <v>755.45</v>
      </c>
      <c r="U45" s="2"/>
      <c r="V45" s="7">
        <f t="shared" si="21"/>
        <v>0</v>
      </c>
      <c r="W45" s="2"/>
      <c r="X45" s="6">
        <f t="shared" si="22"/>
        <v>-339.29</v>
      </c>
      <c r="Y45" s="2"/>
      <c r="Z45" s="7">
        <f t="shared" si="23"/>
        <v>-0.44912303924813024</v>
      </c>
    </row>
    <row r="46" spans="1:26" s="24" customFormat="1" hidden="1" outlineLevel="2" x14ac:dyDescent="0.25">
      <c r="A46" s="25"/>
      <c r="B46" s="11" t="str">
        <f>CONCATENATE("          ", "6373", " - ", "MAINTENANCE CONTRACTS")</f>
        <v xml:space="preserve">          6373 - MAINTENANCE CONTRACTS</v>
      </c>
      <c r="C46" s="11"/>
      <c r="D46" s="6">
        <v>11992</v>
      </c>
      <c r="E46" s="2"/>
      <c r="F46" s="7">
        <f t="shared" si="16"/>
        <v>0</v>
      </c>
      <c r="G46" s="2"/>
      <c r="H46" s="6">
        <v>9488.94</v>
      </c>
      <c r="I46" s="2"/>
      <c r="J46" s="7">
        <f t="shared" si="17"/>
        <v>0</v>
      </c>
      <c r="K46" s="2"/>
      <c r="L46" s="6">
        <f t="shared" si="18"/>
        <v>2503.0599999999995</v>
      </c>
      <c r="M46" s="2"/>
      <c r="N46" s="7">
        <f t="shared" si="19"/>
        <v>0.26378710372286046</v>
      </c>
      <c r="O46" s="11"/>
      <c r="P46" s="6">
        <v>82744</v>
      </c>
      <c r="Q46" s="2"/>
      <c r="R46" s="7">
        <f t="shared" si="20"/>
        <v>0</v>
      </c>
      <c r="S46" s="2"/>
      <c r="T46" s="6">
        <v>66139.090000000011</v>
      </c>
      <c r="U46" s="2"/>
      <c r="V46" s="7">
        <f t="shared" si="21"/>
        <v>0</v>
      </c>
      <c r="W46" s="2"/>
      <c r="X46" s="6">
        <f t="shared" si="22"/>
        <v>16604.909999999989</v>
      </c>
      <c r="Y46" s="2"/>
      <c r="Z46" s="7">
        <f t="shared" si="23"/>
        <v>0.25106045456627823</v>
      </c>
    </row>
    <row r="47" spans="1:26" s="24" customFormat="1" hidden="1" outlineLevel="2" x14ac:dyDescent="0.25">
      <c r="A47" s="25"/>
      <c r="B47" s="11" t="str">
        <f>CONCATENATE("          ", "6375", " - ", "OUTSIDE REPAIRS &amp; MAINTENANCE")</f>
        <v xml:space="preserve">          6375 - OUTSIDE REPAIRS &amp; MAINTENANCE</v>
      </c>
      <c r="C47" s="11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1"/>
      <c r="P47" s="6"/>
      <c r="Q47" s="2"/>
      <c r="R47" s="7">
        <f t="shared" si="20"/>
        <v>0</v>
      </c>
      <c r="S47" s="2"/>
      <c r="T47" s="6">
        <v>158.4</v>
      </c>
      <c r="U47" s="2"/>
      <c r="V47" s="7">
        <f t="shared" si="21"/>
        <v>0</v>
      </c>
      <c r="W47" s="2"/>
      <c r="X47" s="6">
        <f t="shared" si="22"/>
        <v>-158.4</v>
      </c>
      <c r="Y47" s="2"/>
      <c r="Z47" s="7">
        <f t="shared" si="23"/>
        <v>-1</v>
      </c>
    </row>
    <row r="48" spans="1:26" s="26" customFormat="1" outlineLevel="1" collapsed="1" x14ac:dyDescent="0.25">
      <c r="A48" s="27"/>
      <c r="B48" s="13" t="str">
        <f>CONCATENATE("     ","Supplies                                          ")</f>
        <v xml:space="preserve">     Supplies                                          </v>
      </c>
      <c r="C48" s="13"/>
      <c r="D48" s="1">
        <f>SUM(OSRRefD22_7x_0)</f>
        <v>178.65</v>
      </c>
      <c r="E48" s="1"/>
      <c r="F48" s="5">
        <f t="shared" ref="F48:F52" si="24">IF(D$12=0,0,D48/D$12)</f>
        <v>0</v>
      </c>
      <c r="G48" s="1"/>
      <c r="H48" s="1">
        <f>SUM(OSRRefH22_7x_0)</f>
        <v>1258.5899999999999</v>
      </c>
      <c r="I48" s="1"/>
      <c r="J48" s="5">
        <f t="shared" ref="J48:J52" si="25">IF(H$12=0,0,H48/H$12)</f>
        <v>0</v>
      </c>
      <c r="K48" s="1"/>
      <c r="L48" s="1">
        <f t="shared" ref="L48:L52" si="26">+D48-H48</f>
        <v>-1079.9399999999998</v>
      </c>
      <c r="M48" s="1"/>
      <c r="N48" s="5">
        <f t="shared" ref="N48:N52" si="27">IF(H48=0,0,L48/H48)</f>
        <v>-0.85805544299573322</v>
      </c>
      <c r="O48" s="13"/>
      <c r="P48" s="1">
        <f>SUM(OSRRefP22_7x_0)</f>
        <v>-2825.53</v>
      </c>
      <c r="Q48" s="1"/>
      <c r="R48" s="5">
        <f t="shared" ref="R48:R52" si="28">IF(P$12=0,0,P48/P$12)</f>
        <v>0</v>
      </c>
      <c r="S48" s="1"/>
      <c r="T48" s="1">
        <f>SUM(OSRRefT22_7x_0)</f>
        <v>22290.230000000003</v>
      </c>
      <c r="U48" s="1"/>
      <c r="V48" s="5">
        <f t="shared" ref="V48:V52" si="29">IF(T$12=0,0,T48/T$12)</f>
        <v>0</v>
      </c>
      <c r="W48" s="1"/>
      <c r="X48" s="1">
        <f t="shared" ref="X48:X52" si="30">+P48-T48</f>
        <v>-25115.760000000002</v>
      </c>
      <c r="Y48" s="1"/>
      <c r="Z48" s="5">
        <f t="shared" ref="Z48:Z52" si="31">IF(T48=0,0,X48/T48)</f>
        <v>-1.1267609172269644</v>
      </c>
    </row>
    <row r="49" spans="1:26" s="24" customFormat="1" hidden="1" outlineLevel="2" x14ac:dyDescent="0.25">
      <c r="A49" s="25"/>
      <c r="B49" s="11" t="str">
        <f>CONCATENATE("          ", "6241", " - ", "OFFICE EXPENSE")</f>
        <v xml:space="preserve">          6241 - OFFICE EXPENSE</v>
      </c>
      <c r="C49" s="11"/>
      <c r="D49" s="6">
        <v>178.65</v>
      </c>
      <c r="E49" s="2"/>
      <c r="F49" s="7">
        <f t="shared" si="24"/>
        <v>0</v>
      </c>
      <c r="G49" s="2"/>
      <c r="H49" s="6">
        <v>1258.5899999999999</v>
      </c>
      <c r="I49" s="2"/>
      <c r="J49" s="7">
        <f t="shared" si="25"/>
        <v>0</v>
      </c>
      <c r="K49" s="2"/>
      <c r="L49" s="6">
        <f t="shared" si="26"/>
        <v>-1079.9399999999998</v>
      </c>
      <c r="M49" s="2"/>
      <c r="N49" s="7">
        <f t="shared" si="27"/>
        <v>-0.85805544299573322</v>
      </c>
      <c r="O49" s="11"/>
      <c r="P49" s="6">
        <v>-2825.53</v>
      </c>
      <c r="Q49" s="2"/>
      <c r="R49" s="7">
        <f t="shared" si="28"/>
        <v>0</v>
      </c>
      <c r="S49" s="2"/>
      <c r="T49" s="6">
        <v>22290.230000000003</v>
      </c>
      <c r="U49" s="2"/>
      <c r="V49" s="7">
        <f t="shared" si="29"/>
        <v>0</v>
      </c>
      <c r="W49" s="2"/>
      <c r="X49" s="6">
        <f t="shared" si="30"/>
        <v>-25115.760000000002</v>
      </c>
      <c r="Y49" s="2"/>
      <c r="Z49" s="7">
        <f t="shared" si="31"/>
        <v>-1.1267609172269644</v>
      </c>
    </row>
    <row r="50" spans="1:26" s="26" customFormat="1" outlineLevel="1" collapsed="1" x14ac:dyDescent="0.25">
      <c r="A50" s="27"/>
      <c r="B50" s="13" t="str">
        <f>CONCATENATE("     ","Telephone/Data Lines                              ")</f>
        <v xml:space="preserve">     Telephone/Data Lines                              </v>
      </c>
      <c r="C50" s="13"/>
      <c r="D50" s="1">
        <f>SUM(OSRRefD22_8x_0)</f>
        <v>614.14</v>
      </c>
      <c r="E50" s="1"/>
      <c r="F50" s="5">
        <f t="shared" si="24"/>
        <v>0</v>
      </c>
      <c r="G50" s="1"/>
      <c r="H50" s="1">
        <f>SUM(OSRRefH22_8x_0)</f>
        <v>869.23</v>
      </c>
      <c r="I50" s="1"/>
      <c r="J50" s="5">
        <f t="shared" si="25"/>
        <v>0</v>
      </c>
      <c r="K50" s="1"/>
      <c r="L50" s="1">
        <f t="shared" si="26"/>
        <v>-255.09000000000003</v>
      </c>
      <c r="M50" s="1"/>
      <c r="N50" s="5">
        <f t="shared" si="27"/>
        <v>-0.2934666313863995</v>
      </c>
      <c r="O50" s="13"/>
      <c r="P50" s="1">
        <f>SUM(OSRRefP22_8x_0)</f>
        <v>5712.68</v>
      </c>
      <c r="Q50" s="1"/>
      <c r="R50" s="5">
        <f t="shared" si="28"/>
        <v>0</v>
      </c>
      <c r="S50" s="1"/>
      <c r="T50" s="1">
        <f>SUM(OSRRefT22_8x_0)</f>
        <v>9601.35</v>
      </c>
      <c r="U50" s="1"/>
      <c r="V50" s="5">
        <f t="shared" si="29"/>
        <v>0</v>
      </c>
      <c r="W50" s="1"/>
      <c r="X50" s="1">
        <f t="shared" si="30"/>
        <v>-3888.67</v>
      </c>
      <c r="Y50" s="1"/>
      <c r="Z50" s="5">
        <f t="shared" si="31"/>
        <v>-0.40501283673650057</v>
      </c>
    </row>
    <row r="51" spans="1:26" s="24" customFormat="1" hidden="1" outlineLevel="2" x14ac:dyDescent="0.25">
      <c r="A51" s="25"/>
      <c r="B51" s="11" t="str">
        <f>CONCATENATE("          ", "6303", " - ", "DATA PHONE LINES")</f>
        <v xml:space="preserve">          6303 - DATA PHONE LINES</v>
      </c>
      <c r="C51" s="11"/>
      <c r="D51" s="6">
        <v>158.97999999999999</v>
      </c>
      <c r="E51" s="2"/>
      <c r="F51" s="7">
        <f t="shared" si="24"/>
        <v>0</v>
      </c>
      <c r="G51" s="2"/>
      <c r="H51" s="6">
        <v>78.989999999999995</v>
      </c>
      <c r="I51" s="2"/>
      <c r="J51" s="7">
        <f t="shared" si="25"/>
        <v>0</v>
      </c>
      <c r="K51" s="2"/>
      <c r="L51" s="6">
        <f t="shared" si="26"/>
        <v>79.989999999999995</v>
      </c>
      <c r="M51" s="2"/>
      <c r="N51" s="7">
        <f t="shared" si="27"/>
        <v>1.0126598303582732</v>
      </c>
      <c r="O51" s="11"/>
      <c r="P51" s="6">
        <v>923.88</v>
      </c>
      <c r="Q51" s="2"/>
      <c r="R51" s="7">
        <f t="shared" si="28"/>
        <v>0</v>
      </c>
      <c r="S51" s="2"/>
      <c r="T51" s="6">
        <v>1105.06</v>
      </c>
      <c r="U51" s="2"/>
      <c r="V51" s="7">
        <f t="shared" si="29"/>
        <v>0</v>
      </c>
      <c r="W51" s="2"/>
      <c r="X51" s="6">
        <f t="shared" si="30"/>
        <v>-181.17999999999995</v>
      </c>
      <c r="Y51" s="2"/>
      <c r="Z51" s="7">
        <f t="shared" si="31"/>
        <v>-0.16395489837655869</v>
      </c>
    </row>
    <row r="52" spans="1:26" s="24" customFormat="1" hidden="1" outlineLevel="2" x14ac:dyDescent="0.25">
      <c r="A52" s="25"/>
      <c r="B52" s="11" t="str">
        <f>CONCATENATE("          ", "6309", " - ", "TELEPHONE")</f>
        <v xml:space="preserve">          6309 - TELEPHONE</v>
      </c>
      <c r="C52" s="11"/>
      <c r="D52" s="6">
        <v>455.16</v>
      </c>
      <c r="E52" s="2"/>
      <c r="F52" s="7">
        <f t="shared" si="24"/>
        <v>0</v>
      </c>
      <c r="G52" s="2"/>
      <c r="H52" s="6">
        <v>790.24</v>
      </c>
      <c r="I52" s="2"/>
      <c r="J52" s="7">
        <f t="shared" si="25"/>
        <v>0</v>
      </c>
      <c r="K52" s="2"/>
      <c r="L52" s="6">
        <f t="shared" si="26"/>
        <v>-335.08</v>
      </c>
      <c r="M52" s="2"/>
      <c r="N52" s="7">
        <f t="shared" si="27"/>
        <v>-0.42402308159546465</v>
      </c>
      <c r="O52" s="11"/>
      <c r="P52" s="6">
        <v>4788.8</v>
      </c>
      <c r="Q52" s="2"/>
      <c r="R52" s="7">
        <f t="shared" si="28"/>
        <v>0</v>
      </c>
      <c r="S52" s="2"/>
      <c r="T52" s="6">
        <v>8496.2900000000009</v>
      </c>
      <c r="U52" s="2"/>
      <c r="V52" s="7">
        <f t="shared" si="29"/>
        <v>0</v>
      </c>
      <c r="W52" s="2"/>
      <c r="X52" s="6">
        <f t="shared" si="30"/>
        <v>-3707.4900000000007</v>
      </c>
      <c r="Y52" s="2"/>
      <c r="Z52" s="7">
        <f t="shared" si="31"/>
        <v>-0.43636575493538948</v>
      </c>
    </row>
    <row r="53" spans="1:26" s="26" customFormat="1" outlineLevel="1" collapsed="1" x14ac:dyDescent="0.25">
      <c r="A53" s="27"/>
      <c r="B53" s="13" t="str">
        <f>CONCATENATE("     ","Training                                          ")</f>
        <v xml:space="preserve">     Training                                          </v>
      </c>
      <c r="C53" s="13"/>
      <c r="D53" s="1">
        <f>SUM(OSRRefD22_9x_0)</f>
        <v>0</v>
      </c>
      <c r="E53" s="1"/>
      <c r="F53" s="5">
        <f t="shared" ref="F53:F57" si="32">IF(D$12=0,0,D53/D$12)</f>
        <v>0</v>
      </c>
      <c r="G53" s="1"/>
      <c r="H53" s="1">
        <f>SUM(OSRRefH22_9x_0)</f>
        <v>920.99</v>
      </c>
      <c r="I53" s="1"/>
      <c r="J53" s="5">
        <f t="shared" ref="J53:J57" si="33">IF(H$12=0,0,H53/H$12)</f>
        <v>0</v>
      </c>
      <c r="K53" s="1"/>
      <c r="L53" s="1">
        <f t="shared" ref="L53:L57" si="34">+D53-H53</f>
        <v>-920.99</v>
      </c>
      <c r="M53" s="1"/>
      <c r="N53" s="5">
        <f t="shared" ref="N53:N57" si="35">IF(H53=0,0,L53/H53)</f>
        <v>-1</v>
      </c>
      <c r="O53" s="13"/>
      <c r="P53" s="1">
        <f>SUM(OSRRefP22_9x_0)</f>
        <v>99</v>
      </c>
      <c r="Q53" s="1"/>
      <c r="R53" s="5">
        <f t="shared" ref="R53:R57" si="36">IF(P$12=0,0,P53/P$12)</f>
        <v>0</v>
      </c>
      <c r="S53" s="1"/>
      <c r="T53" s="1">
        <f>SUM(OSRRefT22_9x_0)</f>
        <v>1404.05</v>
      </c>
      <c r="U53" s="1"/>
      <c r="V53" s="5">
        <f t="shared" ref="V53:V57" si="37">IF(T$12=0,0,T53/T$12)</f>
        <v>0</v>
      </c>
      <c r="W53" s="1"/>
      <c r="X53" s="1">
        <f t="shared" ref="X53:X57" si="38">+P53-T53</f>
        <v>-1305.05</v>
      </c>
      <c r="Y53" s="1"/>
      <c r="Z53" s="5">
        <f t="shared" ref="Z53:Z57" si="39">IF(T53=0,0,X53/T53)</f>
        <v>-0.92948969053808628</v>
      </c>
    </row>
    <row r="54" spans="1:26" s="24" customFormat="1" hidden="1" outlineLevel="2" x14ac:dyDescent="0.25">
      <c r="A54" s="25"/>
      <c r="B54" s="11" t="str">
        <f>CONCATENATE("          ", "6376", " - ", "TRAINING")</f>
        <v xml:space="preserve">          6376 - TRAINING</v>
      </c>
      <c r="C54" s="11"/>
      <c r="D54" s="6"/>
      <c r="E54" s="2"/>
      <c r="F54" s="7">
        <f t="shared" si="32"/>
        <v>0</v>
      </c>
      <c r="G54" s="2"/>
      <c r="H54" s="6">
        <v>920.99</v>
      </c>
      <c r="I54" s="2"/>
      <c r="J54" s="7">
        <f t="shared" si="33"/>
        <v>0</v>
      </c>
      <c r="K54" s="2"/>
      <c r="L54" s="6">
        <f t="shared" si="34"/>
        <v>-920.99</v>
      </c>
      <c r="M54" s="2"/>
      <c r="N54" s="7">
        <f t="shared" si="35"/>
        <v>-1</v>
      </c>
      <c r="O54" s="11"/>
      <c r="P54" s="6">
        <v>99</v>
      </c>
      <c r="Q54" s="2"/>
      <c r="R54" s="7">
        <f t="shared" si="36"/>
        <v>0</v>
      </c>
      <c r="S54" s="2"/>
      <c r="T54" s="6">
        <v>1404.05</v>
      </c>
      <c r="U54" s="2"/>
      <c r="V54" s="7">
        <f t="shared" si="37"/>
        <v>0</v>
      </c>
      <c r="W54" s="2"/>
      <c r="X54" s="6">
        <f t="shared" si="38"/>
        <v>-1305.05</v>
      </c>
      <c r="Y54" s="2"/>
      <c r="Z54" s="7">
        <f t="shared" si="39"/>
        <v>-0.92948969053808628</v>
      </c>
    </row>
    <row r="55" spans="1:26" s="26" customFormat="1" outlineLevel="1" collapsed="1" x14ac:dyDescent="0.25">
      <c r="A55" s="27"/>
      <c r="B55" s="13" t="str">
        <f>CONCATENATE("     ","Travel                                            ")</f>
        <v xml:space="preserve">     Travel                                            </v>
      </c>
      <c r="C55" s="13"/>
      <c r="D55" s="1">
        <f>SUM(OSRRefD22_10x_0)</f>
        <v>0</v>
      </c>
      <c r="E55" s="1"/>
      <c r="F55" s="5">
        <f t="shared" si="32"/>
        <v>0</v>
      </c>
      <c r="G55" s="1"/>
      <c r="H55" s="1">
        <f>SUM(OSRRefH22_10x_0)</f>
        <v>0</v>
      </c>
      <c r="I55" s="1"/>
      <c r="J55" s="5">
        <f t="shared" si="33"/>
        <v>0</v>
      </c>
      <c r="K55" s="1"/>
      <c r="L55" s="1">
        <f t="shared" si="34"/>
        <v>0</v>
      </c>
      <c r="M55" s="1"/>
      <c r="N55" s="5">
        <f t="shared" si="35"/>
        <v>0</v>
      </c>
      <c r="O55" s="13"/>
      <c r="P55" s="1">
        <f>SUM(OSRRefP22_10x_0)</f>
        <v>0</v>
      </c>
      <c r="Q55" s="1"/>
      <c r="R55" s="5">
        <f t="shared" si="36"/>
        <v>0</v>
      </c>
      <c r="S55" s="1"/>
      <c r="T55" s="1">
        <f>SUM(OSRRefT22_10x_0)</f>
        <v>1383.21</v>
      </c>
      <c r="U55" s="1"/>
      <c r="V55" s="5">
        <f t="shared" si="37"/>
        <v>0</v>
      </c>
      <c r="W55" s="1"/>
      <c r="X55" s="1">
        <f t="shared" si="38"/>
        <v>-1383.21</v>
      </c>
      <c r="Y55" s="1"/>
      <c r="Z55" s="5">
        <f t="shared" si="39"/>
        <v>-1</v>
      </c>
    </row>
    <row r="56" spans="1:26" s="24" customFormat="1" hidden="1" outlineLevel="2" x14ac:dyDescent="0.25">
      <c r="A56" s="25"/>
      <c r="B56" s="11" t="str">
        <f>CONCATENATE("          ", "6292", " - ", "TRAVEL/CONFERENCE")</f>
        <v xml:space="preserve">          6292 - TRAVEL/CONFERENCE</v>
      </c>
      <c r="C56" s="11"/>
      <c r="D56" s="6"/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1"/>
      <c r="P56" s="6"/>
      <c r="Q56" s="2"/>
      <c r="R56" s="7">
        <f t="shared" si="36"/>
        <v>0</v>
      </c>
      <c r="S56" s="2"/>
      <c r="T56" s="6">
        <v>1359.31</v>
      </c>
      <c r="U56" s="2"/>
      <c r="V56" s="7">
        <f t="shared" si="37"/>
        <v>0</v>
      </c>
      <c r="W56" s="2"/>
      <c r="X56" s="6">
        <f t="shared" si="38"/>
        <v>-1359.31</v>
      </c>
      <c r="Y56" s="2"/>
      <c r="Z56" s="7">
        <f t="shared" si="39"/>
        <v>-1</v>
      </c>
    </row>
    <row r="57" spans="1:26" s="24" customFormat="1" hidden="1" outlineLevel="2" x14ac:dyDescent="0.25">
      <c r="A57" s="25"/>
      <c r="B57" s="11" t="str">
        <f>CONCATENATE("          ", "6294", " - ", "TRAVEL OPERATIONAL")</f>
        <v xml:space="preserve">          6294 - TRAVEL OPERATIONAL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/>
      <c r="Q57" s="2"/>
      <c r="R57" s="7">
        <f t="shared" si="36"/>
        <v>0</v>
      </c>
      <c r="S57" s="2"/>
      <c r="T57" s="6">
        <v>23.9</v>
      </c>
      <c r="U57" s="2"/>
      <c r="V57" s="7">
        <f t="shared" si="37"/>
        <v>0</v>
      </c>
      <c r="W57" s="2"/>
      <c r="X57" s="6">
        <f t="shared" si="38"/>
        <v>-23.9</v>
      </c>
      <c r="Y57" s="2"/>
      <c r="Z57" s="7">
        <f t="shared" si="39"/>
        <v>-1</v>
      </c>
    </row>
    <row r="58" spans="1:26" s="61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9" t="s">
        <v>0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8" t="s">
        <v>3</v>
      </c>
      <c r="C61" s="28"/>
      <c r="D61" s="20">
        <f>+D16-D18+D59</f>
        <v>-50620.130000000005</v>
      </c>
      <c r="E61" s="14"/>
      <c r="F61" s="22">
        <f>IF(D$12=0,0,D61/D$12)</f>
        <v>0</v>
      </c>
      <c r="G61" s="14"/>
      <c r="H61" s="20">
        <f>+H16-H18+H59</f>
        <v>-64226.119999999995</v>
      </c>
      <c r="I61" s="14"/>
      <c r="J61" s="22">
        <f>IF(H$12=0,0,H61/H$12)</f>
        <v>0</v>
      </c>
      <c r="K61" s="15"/>
      <c r="L61" s="20">
        <f>+D61-H61</f>
        <v>13605.989999999991</v>
      </c>
      <c r="M61" s="15"/>
      <c r="N61" s="22">
        <f>IF(H61=0,0,L61/H61)</f>
        <v>-0.21184511846582033</v>
      </c>
      <c r="O61" s="29"/>
      <c r="P61" s="20">
        <f>+P16-P18+P59</f>
        <v>-357175.36999999994</v>
      </c>
      <c r="Q61" s="14"/>
      <c r="R61" s="22">
        <f>IF(P$12=0,0,P61/P$12)</f>
        <v>0</v>
      </c>
      <c r="S61" s="14"/>
      <c r="T61" s="20">
        <f>+T16-T18+T59</f>
        <v>-424825.43</v>
      </c>
      <c r="U61" s="14"/>
      <c r="V61" s="22">
        <f>IF(T$12=0,0,T61/T$12)</f>
        <v>0</v>
      </c>
      <c r="W61" s="15"/>
      <c r="X61" s="20">
        <f>+P61-T61</f>
        <v>67650.060000000056</v>
      </c>
      <c r="Y61" s="15"/>
      <c r="Z61" s="22">
        <f>IF(T61=0,0,X61/T61)</f>
        <v>-0.15924202089314676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1"/>
      <c r="B63" s="10" t="s">
        <v>13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/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4</v>
      </c>
      <c r="C65" s="28"/>
      <c r="D65" s="30">
        <f>+D61-D63</f>
        <v>-50620.130000000005</v>
      </c>
      <c r="E65" s="14"/>
      <c r="F65" s="36">
        <f>IF(D$12=0,0,D65/D$12)</f>
        <v>0</v>
      </c>
      <c r="G65" s="14"/>
      <c r="H65" s="30">
        <f>+H61-H63</f>
        <v>-64226.119999999995</v>
      </c>
      <c r="I65" s="14"/>
      <c r="J65" s="36">
        <f>IF(H$12=0,0,H65/H$12)</f>
        <v>0</v>
      </c>
      <c r="K65" s="15"/>
      <c r="L65" s="30">
        <f>D65-H65</f>
        <v>13605.989999999991</v>
      </c>
      <c r="M65" s="15"/>
      <c r="N65" s="36">
        <f>IF(H65=0,0,L65/H65)</f>
        <v>-0.21184511846582033</v>
      </c>
      <c r="O65" s="29"/>
      <c r="P65" s="30">
        <f>+P61-P63</f>
        <v>-357175.36999999994</v>
      </c>
      <c r="Q65" s="14"/>
      <c r="R65" s="36">
        <f>IF(P$12=0,0,P65/P$12)</f>
        <v>0</v>
      </c>
      <c r="S65" s="14"/>
      <c r="T65" s="30">
        <f>+T61-T63</f>
        <v>-424825.43</v>
      </c>
      <c r="U65" s="14"/>
      <c r="V65" s="36">
        <f>IF(T$12=0,0,T65/T$12)</f>
        <v>0</v>
      </c>
      <c r="W65" s="15"/>
      <c r="X65" s="30">
        <f>P65-T65</f>
        <v>67650.060000000056</v>
      </c>
      <c r="Y65" s="15"/>
      <c r="Z65" s="36">
        <f>IF(T65=0,0,X65/T65)</f>
        <v>-0.15924202089314676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8" t="s">
        <v>5</v>
      </c>
      <c r="C68" s="28"/>
      <c r="D68" s="32">
        <f>SUM(D65:D67)</f>
        <v>-50620.130000000005</v>
      </c>
      <c r="E68" s="14"/>
      <c r="F68" s="31">
        <f>IF(D$12=0,0,D68/D$12)</f>
        <v>0</v>
      </c>
      <c r="G68" s="14"/>
      <c r="H68" s="32">
        <f>SUM(H65:H67)</f>
        <v>-64226.119999999995</v>
      </c>
      <c r="I68" s="14"/>
      <c r="J68" s="31">
        <f>IF(H$12=0,0,H68/H$12)</f>
        <v>0</v>
      </c>
      <c r="K68" s="15"/>
      <c r="L68" s="32">
        <f>+D68-H68</f>
        <v>13605.989999999991</v>
      </c>
      <c r="M68" s="15"/>
      <c r="N68" s="31">
        <f>IF(H68=0,0,L68/H68)</f>
        <v>-0.21184511846582033</v>
      </c>
      <c r="O68" s="29"/>
      <c r="P68" s="32">
        <f>SUM(P65:P67)</f>
        <v>-357175.36999999994</v>
      </c>
      <c r="Q68" s="14"/>
      <c r="R68" s="31">
        <f>IF(P$12=0,0,P68/P$12)</f>
        <v>0</v>
      </c>
      <c r="S68" s="14"/>
      <c r="T68" s="32">
        <f>SUM(T65:T67)</f>
        <v>-424825.43</v>
      </c>
      <c r="U68" s="14"/>
      <c r="V68" s="31">
        <f>IF(T$12=0,0,T68/T$12)</f>
        <v>0</v>
      </c>
      <c r="W68" s="15"/>
      <c r="X68" s="32">
        <f>+P68-T68</f>
        <v>67650.060000000056</v>
      </c>
      <c r="Y68" s="15"/>
      <c r="Z68" s="31">
        <f>IF(T68=0,0,X68/T68)</f>
        <v>-0.15924202089314676</v>
      </c>
    </row>
    <row r="69" spans="1:26" ht="15.75" thickTop="1" x14ac:dyDescent="0.25">
      <c r="A69" s="9"/>
      <c r="C69" s="9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A70" s="9"/>
      <c r="B70" s="62">
        <v>44238.49607021991</v>
      </c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9" t="s">
        <v>313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6"/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","205", " - ", "Maintenance")</f>
        <v>Department 205 - Maintenance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8201.44</v>
      </c>
      <c r="E18" s="21"/>
      <c r="F18" s="35">
        <f t="shared" ref="F18:F27" si="0">IF(D$12=0,0,D18/D$12)</f>
        <v>0</v>
      </c>
      <c r="G18" s="21"/>
      <c r="H18" s="21">
        <f>SUM(OSRRefH22x_0)</f>
        <v>9742.5400000000009</v>
      </c>
      <c r="I18" s="21"/>
      <c r="J18" s="35">
        <f t="shared" ref="J18:J27" si="1">IF(H$12=0,0,H18/H$12)</f>
        <v>0</v>
      </c>
      <c r="K18" s="4"/>
      <c r="L18" s="21">
        <f t="shared" ref="L18:L27" si="2">+D18-H18</f>
        <v>-1541.1000000000004</v>
      </c>
      <c r="M18" s="4"/>
      <c r="N18" s="35">
        <f t="shared" ref="N18:N27" si="3">IF(H18=0,0,L18/H18)</f>
        <v>-0.15818256840618569</v>
      </c>
      <c r="O18" s="10"/>
      <c r="P18" s="21">
        <f>SUM(OSRRefP22x_0)</f>
        <v>55789.599999999991</v>
      </c>
      <c r="Q18" s="21"/>
      <c r="R18" s="35">
        <f t="shared" ref="R18:R27" si="4">IF(P$12=0,0,P18/P$12)</f>
        <v>0</v>
      </c>
      <c r="S18" s="21"/>
      <c r="T18" s="21">
        <f>SUM(OSRRefT22x_0)</f>
        <v>59625.219999999994</v>
      </c>
      <c r="U18" s="21"/>
      <c r="V18" s="35">
        <f t="shared" ref="V18:V27" si="5">IF(T$12=0,0,T18/T$12)</f>
        <v>0</v>
      </c>
      <c r="W18" s="4"/>
      <c r="X18" s="21">
        <f t="shared" ref="X18:X27" si="6">+P18-T18</f>
        <v>-3835.6200000000026</v>
      </c>
      <c r="Y18" s="4"/>
      <c r="Z18" s="35">
        <f t="shared" ref="Z18:Z27" si="7">IF(T18=0,0,X18/T18)</f>
        <v>-6.4328819247962576E-2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2535.9499999999998</v>
      </c>
      <c r="E19" s="1"/>
      <c r="F19" s="5">
        <f t="shared" si="0"/>
        <v>0</v>
      </c>
      <c r="G19" s="1"/>
      <c r="H19" s="1">
        <f>SUM(OSRRefH22_0x_0)</f>
        <v>2737.1899999999996</v>
      </c>
      <c r="I19" s="1"/>
      <c r="J19" s="5">
        <f t="shared" si="1"/>
        <v>0</v>
      </c>
      <c r="K19" s="1"/>
      <c r="L19" s="1">
        <f t="shared" si="2"/>
        <v>-201.23999999999978</v>
      </c>
      <c r="M19" s="1"/>
      <c r="N19" s="5">
        <f t="shared" si="3"/>
        <v>-7.352065439373949E-2</v>
      </c>
      <c r="O19" s="13"/>
      <c r="P19" s="1">
        <f>SUM(OSRRefP22_0x_0)</f>
        <v>17419.010000000002</v>
      </c>
      <c r="Q19" s="1"/>
      <c r="R19" s="5">
        <f t="shared" si="4"/>
        <v>0</v>
      </c>
      <c r="S19" s="1"/>
      <c r="T19" s="1">
        <f>SUM(OSRRefT22_0x_0)</f>
        <v>18998.84</v>
      </c>
      <c r="U19" s="1"/>
      <c r="V19" s="5">
        <f t="shared" si="5"/>
        <v>0</v>
      </c>
      <c r="W19" s="1"/>
      <c r="X19" s="1">
        <f t="shared" si="6"/>
        <v>-1579.8299999999981</v>
      </c>
      <c r="Y19" s="1"/>
      <c r="Z19" s="5">
        <f t="shared" si="7"/>
        <v>-8.3154024140421098E-2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322.3</v>
      </c>
      <c r="E20" s="2"/>
      <c r="F20" s="7">
        <f t="shared" si="0"/>
        <v>0</v>
      </c>
      <c r="G20" s="2"/>
      <c r="H20" s="6">
        <v>336.64</v>
      </c>
      <c r="I20" s="2"/>
      <c r="J20" s="7">
        <f t="shared" si="1"/>
        <v>0</v>
      </c>
      <c r="K20" s="2"/>
      <c r="L20" s="6">
        <f t="shared" si="2"/>
        <v>-14.339999999999975</v>
      </c>
      <c r="M20" s="2"/>
      <c r="N20" s="7">
        <f t="shared" si="3"/>
        <v>-4.2597433460075974E-2</v>
      </c>
      <c r="O20" s="11"/>
      <c r="P20" s="6">
        <v>2381.7600000000002</v>
      </c>
      <c r="Q20" s="2"/>
      <c r="R20" s="7">
        <f t="shared" si="4"/>
        <v>0</v>
      </c>
      <c r="S20" s="2"/>
      <c r="T20" s="6">
        <v>2460.44</v>
      </c>
      <c r="U20" s="2"/>
      <c r="V20" s="7">
        <f t="shared" si="5"/>
        <v>0</v>
      </c>
      <c r="W20" s="2"/>
      <c r="X20" s="6">
        <f t="shared" si="6"/>
        <v>-78.679999999999836</v>
      </c>
      <c r="Y20" s="2"/>
      <c r="Z20" s="7">
        <f t="shared" si="7"/>
        <v>-3.1978020191510394E-2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151.37</v>
      </c>
      <c r="E21" s="2"/>
      <c r="F21" s="7">
        <f t="shared" si="0"/>
        <v>0</v>
      </c>
      <c r="G21" s="2"/>
      <c r="H21" s="6">
        <v>292.58999999999997</v>
      </c>
      <c r="I21" s="2"/>
      <c r="J21" s="7">
        <f t="shared" si="1"/>
        <v>0</v>
      </c>
      <c r="K21" s="2"/>
      <c r="L21" s="6">
        <f t="shared" si="2"/>
        <v>-141.21999999999997</v>
      </c>
      <c r="M21" s="2"/>
      <c r="N21" s="7">
        <f t="shared" si="3"/>
        <v>-0.48265490960046475</v>
      </c>
      <c r="O21" s="11"/>
      <c r="P21" s="6">
        <v>2156.73</v>
      </c>
      <c r="Q21" s="2"/>
      <c r="R21" s="7">
        <f t="shared" si="4"/>
        <v>0</v>
      </c>
      <c r="S21" s="2"/>
      <c r="T21" s="6">
        <v>1813.41</v>
      </c>
      <c r="U21" s="2"/>
      <c r="V21" s="7">
        <f t="shared" si="5"/>
        <v>0</v>
      </c>
      <c r="W21" s="2"/>
      <c r="X21" s="6">
        <f t="shared" si="6"/>
        <v>343.31999999999994</v>
      </c>
      <c r="Y21" s="2"/>
      <c r="Z21" s="7">
        <f t="shared" si="7"/>
        <v>0.18932287789303021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699.91</v>
      </c>
      <c r="E22" s="2"/>
      <c r="F22" s="7">
        <f t="shared" si="0"/>
        <v>0</v>
      </c>
      <c r="G22" s="2"/>
      <c r="H22" s="6">
        <v>696.16</v>
      </c>
      <c r="I22" s="2"/>
      <c r="J22" s="7">
        <f t="shared" si="1"/>
        <v>0</v>
      </c>
      <c r="K22" s="2"/>
      <c r="L22" s="6">
        <f t="shared" si="2"/>
        <v>3.75</v>
      </c>
      <c r="M22" s="2"/>
      <c r="N22" s="7">
        <f t="shared" si="3"/>
        <v>5.3866927143185481E-3</v>
      </c>
      <c r="O22" s="11"/>
      <c r="P22" s="6">
        <v>4876.87</v>
      </c>
      <c r="Q22" s="2"/>
      <c r="R22" s="7">
        <f t="shared" si="4"/>
        <v>0</v>
      </c>
      <c r="S22" s="2"/>
      <c r="T22" s="6">
        <v>4867</v>
      </c>
      <c r="U22" s="2"/>
      <c r="V22" s="7">
        <f t="shared" si="5"/>
        <v>0</v>
      </c>
      <c r="W22" s="2"/>
      <c r="X22" s="6">
        <f t="shared" si="6"/>
        <v>9.8699999999998909</v>
      </c>
      <c r="Y22" s="2"/>
      <c r="Z22" s="7">
        <f t="shared" si="7"/>
        <v>2.0279432915553505E-3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21.78</v>
      </c>
      <c r="E23" s="2"/>
      <c r="F23" s="7">
        <f t="shared" si="0"/>
        <v>0</v>
      </c>
      <c r="G23" s="2"/>
      <c r="H23" s="6">
        <v>11.24</v>
      </c>
      <c r="I23" s="2"/>
      <c r="J23" s="7">
        <f t="shared" si="1"/>
        <v>0</v>
      </c>
      <c r="K23" s="2"/>
      <c r="L23" s="6">
        <f t="shared" si="2"/>
        <v>10.540000000000001</v>
      </c>
      <c r="M23" s="2"/>
      <c r="N23" s="7">
        <f t="shared" si="3"/>
        <v>0.93772241992882566</v>
      </c>
      <c r="O23" s="11"/>
      <c r="P23" s="6">
        <v>80.930000000000007</v>
      </c>
      <c r="Q23" s="2"/>
      <c r="R23" s="7">
        <f t="shared" si="4"/>
        <v>0</v>
      </c>
      <c r="S23" s="2"/>
      <c r="T23" s="6">
        <v>82.68</v>
      </c>
      <c r="U23" s="2"/>
      <c r="V23" s="7">
        <f t="shared" si="5"/>
        <v>0</v>
      </c>
      <c r="W23" s="2"/>
      <c r="X23" s="6">
        <f t="shared" si="6"/>
        <v>-1.75</v>
      </c>
      <c r="Y23" s="2"/>
      <c r="Z23" s="7">
        <f t="shared" si="7"/>
        <v>-2.1165940977261731E-2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694.91</v>
      </c>
      <c r="E24" s="2"/>
      <c r="F24" s="7">
        <f t="shared" si="0"/>
        <v>0</v>
      </c>
      <c r="G24" s="2"/>
      <c r="H24" s="6">
        <v>643.88</v>
      </c>
      <c r="I24" s="2"/>
      <c r="J24" s="7">
        <f t="shared" si="1"/>
        <v>0</v>
      </c>
      <c r="K24" s="2"/>
      <c r="L24" s="6">
        <f t="shared" si="2"/>
        <v>51.029999999999973</v>
      </c>
      <c r="M24" s="2"/>
      <c r="N24" s="7">
        <f t="shared" si="3"/>
        <v>7.9253898241908385E-2</v>
      </c>
      <c r="O24" s="11"/>
      <c r="P24" s="6">
        <v>3706.17</v>
      </c>
      <c r="Q24" s="2"/>
      <c r="R24" s="7">
        <f t="shared" si="4"/>
        <v>0</v>
      </c>
      <c r="S24" s="2"/>
      <c r="T24" s="6">
        <v>3219.44</v>
      </c>
      <c r="U24" s="2"/>
      <c r="V24" s="7">
        <f t="shared" si="5"/>
        <v>0</v>
      </c>
      <c r="W24" s="2"/>
      <c r="X24" s="6">
        <f t="shared" si="6"/>
        <v>486.73</v>
      </c>
      <c r="Y24" s="2"/>
      <c r="Z24" s="7">
        <f t="shared" si="7"/>
        <v>0.15118467808066</v>
      </c>
    </row>
    <row r="25" spans="1:26" s="24" customFormat="1" hidden="1" outlineLevel="2" x14ac:dyDescent="0.25">
      <c r="A25" s="25"/>
      <c r="B25" s="11" t="str">
        <f>CONCATENATE("          ", "6118", " - ", "VACATION")</f>
        <v xml:space="preserve">          6118 - VACATION</v>
      </c>
      <c r="C25" s="11"/>
      <c r="D25" s="6">
        <v>387.96</v>
      </c>
      <c r="E25" s="2"/>
      <c r="F25" s="7">
        <f t="shared" si="0"/>
        <v>0</v>
      </c>
      <c r="G25" s="2"/>
      <c r="H25" s="6">
        <v>387.96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1809.86</v>
      </c>
      <c r="Q25" s="2"/>
      <c r="R25" s="7">
        <f t="shared" si="4"/>
        <v>0</v>
      </c>
      <c r="S25" s="2"/>
      <c r="T25" s="6">
        <v>3224.93</v>
      </c>
      <c r="U25" s="2"/>
      <c r="V25" s="7">
        <f t="shared" si="5"/>
        <v>0</v>
      </c>
      <c r="W25" s="2"/>
      <c r="X25" s="6">
        <f t="shared" si="6"/>
        <v>-1415.07</v>
      </c>
      <c r="Y25" s="2"/>
      <c r="Z25" s="7">
        <f t="shared" si="7"/>
        <v>-0.43879091949282623</v>
      </c>
    </row>
    <row r="26" spans="1:26" s="24" customFormat="1" hidden="1" outlineLevel="2" x14ac:dyDescent="0.25">
      <c r="A26" s="25"/>
      <c r="B26" s="11" t="str">
        <f>CONCATENATE("          ", "6119", " - ", "SICK LEAVE")</f>
        <v xml:space="preserve">          6119 - SICK LEAVE</v>
      </c>
      <c r="C26" s="11"/>
      <c r="D26" s="6">
        <v>193.72</v>
      </c>
      <c r="E26" s="2"/>
      <c r="F26" s="7">
        <f t="shared" si="0"/>
        <v>0</v>
      </c>
      <c r="G26" s="2"/>
      <c r="H26" s="6">
        <v>193.72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1452.9</v>
      </c>
      <c r="Q26" s="2"/>
      <c r="R26" s="7">
        <f t="shared" si="4"/>
        <v>0</v>
      </c>
      <c r="S26" s="2"/>
      <c r="T26" s="6">
        <v>2297.94</v>
      </c>
      <c r="U26" s="2"/>
      <c r="V26" s="7">
        <f t="shared" si="5"/>
        <v>0</v>
      </c>
      <c r="W26" s="2"/>
      <c r="X26" s="6">
        <f t="shared" si="6"/>
        <v>-845.04</v>
      </c>
      <c r="Y26" s="2"/>
      <c r="Z26" s="7">
        <f t="shared" si="7"/>
        <v>-0.36773806104598028</v>
      </c>
    </row>
    <row r="27" spans="1:26" s="24" customFormat="1" hidden="1" outlineLevel="2" x14ac:dyDescent="0.25">
      <c r="A27" s="25"/>
      <c r="B27" s="11" t="str">
        <f>CONCATENATE("          ", "6156", " - ", "EMPLOYEE MEALS")</f>
        <v xml:space="preserve">          6156 - EMPLOYEE MEALS</v>
      </c>
      <c r="C27" s="11"/>
      <c r="D27" s="6">
        <v>64</v>
      </c>
      <c r="E27" s="2"/>
      <c r="F27" s="7">
        <f t="shared" si="0"/>
        <v>0</v>
      </c>
      <c r="G27" s="2"/>
      <c r="H27" s="6">
        <v>175</v>
      </c>
      <c r="I27" s="2"/>
      <c r="J27" s="7">
        <f t="shared" si="1"/>
        <v>0</v>
      </c>
      <c r="K27" s="2"/>
      <c r="L27" s="6">
        <f t="shared" si="2"/>
        <v>-111</v>
      </c>
      <c r="M27" s="2"/>
      <c r="N27" s="7">
        <f t="shared" si="3"/>
        <v>-0.63428571428571423</v>
      </c>
      <c r="O27" s="11"/>
      <c r="P27" s="6">
        <v>953.79</v>
      </c>
      <c r="Q27" s="2"/>
      <c r="R27" s="7">
        <f t="shared" si="4"/>
        <v>0</v>
      </c>
      <c r="S27" s="2"/>
      <c r="T27" s="6">
        <v>1033</v>
      </c>
      <c r="U27" s="2"/>
      <c r="V27" s="7">
        <f t="shared" si="5"/>
        <v>0</v>
      </c>
      <c r="W27" s="2"/>
      <c r="X27" s="6">
        <f t="shared" si="6"/>
        <v>-79.210000000000036</v>
      </c>
      <c r="Y27" s="2"/>
      <c r="Z27" s="7">
        <f t="shared" si="7"/>
        <v>-7.6679574056147184E-2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5114.75</v>
      </c>
      <c r="E28" s="1"/>
      <c r="F28" s="5">
        <f t="shared" ref="F28:F36" si="8">IF(D$12=0,0,D28/D$12)</f>
        <v>0</v>
      </c>
      <c r="G28" s="1"/>
      <c r="H28" s="1">
        <f>SUM(OSRRefH22_1x_0)</f>
        <v>5276</v>
      </c>
      <c r="I28" s="1"/>
      <c r="J28" s="5">
        <f t="shared" ref="J28:J36" si="9">IF(H$12=0,0,H28/H$12)</f>
        <v>0</v>
      </c>
      <c r="K28" s="1"/>
      <c r="L28" s="1">
        <f t="shared" ref="L28:L36" si="10">+D28-H28</f>
        <v>-161.25</v>
      </c>
      <c r="M28" s="1"/>
      <c r="N28" s="5">
        <f t="shared" ref="N28:N36" si="11">IF(H28=0,0,L28/H28)</f>
        <v>-3.056292645943897E-2</v>
      </c>
      <c r="O28" s="13"/>
      <c r="P28" s="1">
        <f>SUM(OSRRefP22_1x_0)</f>
        <v>30523.16</v>
      </c>
      <c r="Q28" s="1"/>
      <c r="R28" s="5">
        <f t="shared" ref="R28:R36" si="12">IF(P$12=0,0,P28/P$12)</f>
        <v>0</v>
      </c>
      <c r="S28" s="1"/>
      <c r="T28" s="1">
        <f>SUM(OSRRefT22_1x_0)</f>
        <v>30093.900000000005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429.25999999999476</v>
      </c>
      <c r="Y28" s="1"/>
      <c r="Z28" s="5">
        <f t="shared" ref="Z28:Z36" si="15">IF(T28=0,0,X28/T28)</f>
        <v>1.4264020283180136E-2</v>
      </c>
    </row>
    <row r="29" spans="1:26" s="24" customFormat="1" hidden="1" outlineLevel="2" x14ac:dyDescent="0.25">
      <c r="A29" s="25"/>
      <c r="B29" s="11" t="str">
        <f>CONCATENATE("          ", "6002", " - ", "STAFF SALARIES")</f>
        <v xml:space="preserve">          6002 - STAFF SALARIES</v>
      </c>
      <c r="C29" s="11"/>
      <c r="D29" s="6">
        <v>5114.75</v>
      </c>
      <c r="E29" s="2"/>
      <c r="F29" s="7">
        <f t="shared" si="8"/>
        <v>0</v>
      </c>
      <c r="G29" s="2"/>
      <c r="H29" s="6">
        <v>5276</v>
      </c>
      <c r="I29" s="2"/>
      <c r="J29" s="7">
        <f t="shared" si="9"/>
        <v>0</v>
      </c>
      <c r="K29" s="2"/>
      <c r="L29" s="6">
        <f t="shared" si="10"/>
        <v>-161.25</v>
      </c>
      <c r="M29" s="2"/>
      <c r="N29" s="7">
        <f t="shared" si="11"/>
        <v>-3.056292645943897E-2</v>
      </c>
      <c r="O29" s="11"/>
      <c r="P29" s="6">
        <v>30523.16</v>
      </c>
      <c r="Q29" s="2"/>
      <c r="R29" s="7">
        <f t="shared" si="12"/>
        <v>0</v>
      </c>
      <c r="S29" s="2"/>
      <c r="T29" s="6">
        <v>30093.900000000005</v>
      </c>
      <c r="U29" s="2"/>
      <c r="V29" s="7">
        <f t="shared" si="13"/>
        <v>0</v>
      </c>
      <c r="W29" s="2"/>
      <c r="X29" s="6">
        <f t="shared" si="14"/>
        <v>429.25999999999476</v>
      </c>
      <c r="Y29" s="2"/>
      <c r="Z29" s="7">
        <f t="shared" si="15"/>
        <v>1.4264020283180136E-2</v>
      </c>
    </row>
    <row r="30" spans="1:26" s="26" customFormat="1" outlineLevel="1" collapsed="1" x14ac:dyDescent="0.25">
      <c r="A30" s="27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-238.8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-238.8</v>
      </c>
      <c r="M30" s="1"/>
      <c r="N30" s="5">
        <f t="shared" si="11"/>
        <v>0</v>
      </c>
      <c r="O30" s="13"/>
      <c r="P30" s="1">
        <f>SUM(OSRRefP22_2x_0)</f>
        <v>-238.8</v>
      </c>
      <c r="Q30" s="1"/>
      <c r="R30" s="5">
        <f t="shared" si="12"/>
        <v>0</v>
      </c>
      <c r="S30" s="1"/>
      <c r="T30" s="1">
        <f>SUM(OSRRefT22_2x_0)</f>
        <v>-618.78</v>
      </c>
      <c r="U30" s="1"/>
      <c r="V30" s="5">
        <f t="shared" si="13"/>
        <v>0</v>
      </c>
      <c r="W30" s="1"/>
      <c r="X30" s="1">
        <f t="shared" si="14"/>
        <v>379.97999999999996</v>
      </c>
      <c r="Y30" s="1"/>
      <c r="Z30" s="5">
        <f t="shared" si="15"/>
        <v>-0.61407931736643073</v>
      </c>
    </row>
    <row r="31" spans="1:26" s="24" customFormat="1" hidden="1" outlineLevel="2" x14ac:dyDescent="0.25">
      <c r="A31" s="25"/>
      <c r="B31" s="11" t="str">
        <f>CONCATENATE("          ", "6279", " - ", "GENERAL EXPENSE")</f>
        <v xml:space="preserve">          6279 - GENERAL EXPENSE</v>
      </c>
      <c r="C31" s="11"/>
      <c r="D31" s="6">
        <v>-238.8</v>
      </c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-238.8</v>
      </c>
      <c r="M31" s="2"/>
      <c r="N31" s="7">
        <f t="shared" si="11"/>
        <v>0</v>
      </c>
      <c r="O31" s="11"/>
      <c r="P31" s="6">
        <v>-238.8</v>
      </c>
      <c r="Q31" s="2"/>
      <c r="R31" s="7">
        <f t="shared" si="12"/>
        <v>0</v>
      </c>
      <c r="S31" s="2"/>
      <c r="T31" s="6">
        <v>-618.78</v>
      </c>
      <c r="U31" s="2"/>
      <c r="V31" s="7">
        <f t="shared" si="13"/>
        <v>0</v>
      </c>
      <c r="W31" s="2"/>
      <c r="X31" s="6">
        <f t="shared" si="14"/>
        <v>379.97999999999996</v>
      </c>
      <c r="Y31" s="2"/>
      <c r="Z31" s="7">
        <f t="shared" si="15"/>
        <v>-0.61407931736643073</v>
      </c>
    </row>
    <row r="32" spans="1:26" s="26" customFormat="1" outlineLevel="1" collapsed="1" x14ac:dyDescent="0.25">
      <c r="A32" s="27"/>
      <c r="B32" s="13" t="str">
        <f>CONCATENATE("     ","Insurance                                         ")</f>
        <v xml:space="preserve">     Insurance                                         </v>
      </c>
      <c r="C32" s="13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24.56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3"/>
      <c r="P32" s="1">
        <f>SUM(OSRRefP22_3x_0)</f>
        <v>171.92</v>
      </c>
      <c r="Q32" s="1"/>
      <c r="R32" s="5">
        <f t="shared" si="12"/>
        <v>0</v>
      </c>
      <c r="S32" s="1"/>
      <c r="T32" s="1">
        <f>SUM(OSRRefT22_3x_0)</f>
        <v>171.92</v>
      </c>
      <c r="U32" s="1"/>
      <c r="V32" s="5">
        <f t="shared" si="13"/>
        <v>0</v>
      </c>
      <c r="W32" s="1"/>
      <c r="X32" s="1">
        <f t="shared" si="14"/>
        <v>0</v>
      </c>
      <c r="Y32" s="1"/>
      <c r="Z32" s="5">
        <f t="shared" si="15"/>
        <v>0</v>
      </c>
    </row>
    <row r="33" spans="1:26" s="24" customFormat="1" hidden="1" outlineLevel="2" x14ac:dyDescent="0.25">
      <c r="A33" s="25"/>
      <c r="B33" s="11" t="str">
        <f>CONCATENATE("          ", "6314", " - ", "LIABILITY INSURANCE")</f>
        <v xml:space="preserve">          6314 - LIABILITY INSURANCE</v>
      </c>
      <c r="C33" s="11"/>
      <c r="D33" s="6">
        <v>24.56</v>
      </c>
      <c r="E33" s="2"/>
      <c r="F33" s="7">
        <f t="shared" si="8"/>
        <v>0</v>
      </c>
      <c r="G33" s="2"/>
      <c r="H33" s="6">
        <v>24.56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>
        <v>171.92</v>
      </c>
      <c r="Q33" s="2"/>
      <c r="R33" s="7">
        <f t="shared" si="12"/>
        <v>0</v>
      </c>
      <c r="S33" s="2"/>
      <c r="T33" s="6">
        <v>171.92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6" customFormat="1" outlineLevel="1" collapsed="1" x14ac:dyDescent="0.25">
      <c r="A34" s="27"/>
      <c r="B34" s="13" t="str">
        <f>CONCATENATE("     ","Repair and Maintenance                            ")</f>
        <v xml:space="preserve">     Repair and Maintenance                            </v>
      </c>
      <c r="C34" s="13"/>
      <c r="D34" s="1">
        <f>SUM(OSRRefD22_4x_0)</f>
        <v>891.98</v>
      </c>
      <c r="E34" s="1"/>
      <c r="F34" s="5">
        <f t="shared" si="8"/>
        <v>0</v>
      </c>
      <c r="G34" s="1"/>
      <c r="H34" s="1">
        <f>SUM(OSRRefH22_4x_0)</f>
        <v>1471.95</v>
      </c>
      <c r="I34" s="1"/>
      <c r="J34" s="5">
        <f t="shared" si="9"/>
        <v>0</v>
      </c>
      <c r="K34" s="1"/>
      <c r="L34" s="1">
        <f t="shared" si="10"/>
        <v>-579.97</v>
      </c>
      <c r="M34" s="1"/>
      <c r="N34" s="5">
        <f t="shared" si="11"/>
        <v>-0.39401474234858519</v>
      </c>
      <c r="O34" s="13"/>
      <c r="P34" s="1">
        <f>SUM(OSRRefP22_4x_0)</f>
        <v>7392.2699999999995</v>
      </c>
      <c r="Q34" s="1"/>
      <c r="R34" s="5">
        <f t="shared" si="12"/>
        <v>0</v>
      </c>
      <c r="S34" s="1"/>
      <c r="T34" s="1">
        <f>SUM(OSRRefT22_4x_0)</f>
        <v>8996.8100000000013</v>
      </c>
      <c r="U34" s="1"/>
      <c r="V34" s="5">
        <f t="shared" si="13"/>
        <v>0</v>
      </c>
      <c r="W34" s="1"/>
      <c r="X34" s="1">
        <f t="shared" si="14"/>
        <v>-1604.5400000000018</v>
      </c>
      <c r="Y34" s="1"/>
      <c r="Z34" s="5">
        <f t="shared" si="15"/>
        <v>-0.17834543577112349</v>
      </c>
    </row>
    <row r="35" spans="1:26" s="24" customFormat="1" hidden="1" outlineLevel="2" x14ac:dyDescent="0.25">
      <c r="A35" s="25"/>
      <c r="B35" s="11" t="str">
        <f>CONCATENATE("          ", "6373", " - ", "MAINTENANCE CONTRACTS")</f>
        <v xml:space="preserve">          6373 - MAINTENANCE CONTRACTS</v>
      </c>
      <c r="C35" s="11"/>
      <c r="D35" s="6">
        <v>891.98</v>
      </c>
      <c r="E35" s="2"/>
      <c r="F35" s="7">
        <f t="shared" si="8"/>
        <v>0</v>
      </c>
      <c r="G35" s="2"/>
      <c r="H35" s="6">
        <v>1405.95</v>
      </c>
      <c r="I35" s="2"/>
      <c r="J35" s="7">
        <f t="shared" si="9"/>
        <v>0</v>
      </c>
      <c r="K35" s="2"/>
      <c r="L35" s="6">
        <f t="shared" si="10"/>
        <v>-513.97</v>
      </c>
      <c r="M35" s="2"/>
      <c r="N35" s="7">
        <f t="shared" si="11"/>
        <v>-0.3655677655677656</v>
      </c>
      <c r="O35" s="11"/>
      <c r="P35" s="6">
        <v>5221.9799999999996</v>
      </c>
      <c r="Q35" s="2"/>
      <c r="R35" s="7">
        <f t="shared" si="12"/>
        <v>0</v>
      </c>
      <c r="S35" s="2"/>
      <c r="T35" s="6">
        <v>8435.7000000000007</v>
      </c>
      <c r="U35" s="2"/>
      <c r="V35" s="7">
        <f t="shared" si="13"/>
        <v>0</v>
      </c>
      <c r="W35" s="2"/>
      <c r="X35" s="6">
        <f t="shared" si="14"/>
        <v>-3213.7200000000012</v>
      </c>
      <c r="Y35" s="2"/>
      <c r="Z35" s="7">
        <f t="shared" si="15"/>
        <v>-0.38096660620932477</v>
      </c>
    </row>
    <row r="36" spans="1:26" s="24" customFormat="1" hidden="1" outlineLevel="2" x14ac:dyDescent="0.25">
      <c r="A36" s="25"/>
      <c r="B36" s="11" t="str">
        <f>CONCATENATE("          ", "6375", " - ", "OUTSIDE REPAIRS &amp; MAINTENANCE")</f>
        <v xml:space="preserve">          6375 - OUTSIDE REPAIRS &amp; MAINTENANCE</v>
      </c>
      <c r="C36" s="11"/>
      <c r="D36" s="6"/>
      <c r="E36" s="2"/>
      <c r="F36" s="7">
        <f t="shared" si="8"/>
        <v>0</v>
      </c>
      <c r="G36" s="2"/>
      <c r="H36" s="6">
        <v>66</v>
      </c>
      <c r="I36" s="2"/>
      <c r="J36" s="7">
        <f t="shared" si="9"/>
        <v>0</v>
      </c>
      <c r="K36" s="2"/>
      <c r="L36" s="6">
        <f t="shared" si="10"/>
        <v>-66</v>
      </c>
      <c r="M36" s="2"/>
      <c r="N36" s="7">
        <f t="shared" si="11"/>
        <v>-1</v>
      </c>
      <c r="O36" s="11"/>
      <c r="P36" s="6">
        <v>2170.29</v>
      </c>
      <c r="Q36" s="2"/>
      <c r="R36" s="7">
        <f t="shared" si="12"/>
        <v>0</v>
      </c>
      <c r="S36" s="2"/>
      <c r="T36" s="6">
        <v>561.11</v>
      </c>
      <c r="U36" s="2"/>
      <c r="V36" s="7">
        <f t="shared" si="13"/>
        <v>0</v>
      </c>
      <c r="W36" s="2"/>
      <c r="X36" s="6">
        <f t="shared" si="14"/>
        <v>1609.1799999999998</v>
      </c>
      <c r="Y36" s="2"/>
      <c r="Z36" s="7">
        <f t="shared" si="15"/>
        <v>2.8678512234677687</v>
      </c>
    </row>
    <row r="37" spans="1:26" s="26" customFormat="1" outlineLevel="1" collapsed="1" x14ac:dyDescent="0.25">
      <c r="A37" s="27"/>
      <c r="B37" s="13" t="str">
        <f>CONCATENATE("     ","Services                                          ")</f>
        <v xml:space="preserve">     Services                                          </v>
      </c>
      <c r="C37" s="13"/>
      <c r="D37" s="1">
        <f>SUM(OSRRefD22_5x_0)</f>
        <v>0</v>
      </c>
      <c r="E37" s="1"/>
      <c r="F37" s="5">
        <f t="shared" ref="F37:F42" si="16">IF(D$12=0,0,D37/D$12)</f>
        <v>0</v>
      </c>
      <c r="G37" s="1"/>
      <c r="H37" s="1">
        <f>SUM(OSRRefH22_5x_0)</f>
        <v>8.84</v>
      </c>
      <c r="I37" s="1"/>
      <c r="J37" s="5">
        <f t="shared" ref="J37:J42" si="17">IF(H$12=0,0,H37/H$12)</f>
        <v>0</v>
      </c>
      <c r="K37" s="1"/>
      <c r="L37" s="1">
        <f t="shared" ref="L37:L42" si="18">+D37-H37</f>
        <v>-8.84</v>
      </c>
      <c r="M37" s="1"/>
      <c r="N37" s="5">
        <f t="shared" ref="N37:N42" si="19">IF(H37=0,0,L37/H37)</f>
        <v>-1</v>
      </c>
      <c r="O37" s="13"/>
      <c r="P37" s="1">
        <f>SUM(OSRRefP22_5x_0)</f>
        <v>0</v>
      </c>
      <c r="Q37" s="1"/>
      <c r="R37" s="5">
        <f t="shared" ref="R37:R42" si="20">IF(P$12=0,0,P37/P$12)</f>
        <v>0</v>
      </c>
      <c r="S37" s="1"/>
      <c r="T37" s="1">
        <f>SUM(OSRRefT22_5x_0)</f>
        <v>57.46</v>
      </c>
      <c r="U37" s="1"/>
      <c r="V37" s="5">
        <f t="shared" ref="V37:V42" si="21">IF(T$12=0,0,T37/T$12)</f>
        <v>0</v>
      </c>
      <c r="W37" s="1"/>
      <c r="X37" s="1">
        <f t="shared" ref="X37:X42" si="22">+P37-T37</f>
        <v>-57.46</v>
      </c>
      <c r="Y37" s="1"/>
      <c r="Z37" s="5">
        <f t="shared" ref="Z37:Z42" si="23">IF(T37=0,0,X37/T37)</f>
        <v>-1</v>
      </c>
    </row>
    <row r="38" spans="1:26" s="24" customFormat="1" hidden="1" outlineLevel="2" x14ac:dyDescent="0.25">
      <c r="A38" s="25"/>
      <c r="B38" s="11" t="str">
        <f>CONCATENATE("          ", "6286", " - ", "LAUNDRY EXPENSE")</f>
        <v xml:space="preserve">          6286 - LAUNDRY EXPENSE</v>
      </c>
      <c r="C38" s="11"/>
      <c r="D38" s="6"/>
      <c r="E38" s="2"/>
      <c r="F38" s="7">
        <f t="shared" si="16"/>
        <v>0</v>
      </c>
      <c r="G38" s="2"/>
      <c r="H38" s="6">
        <v>8.84</v>
      </c>
      <c r="I38" s="2"/>
      <c r="J38" s="7">
        <f t="shared" si="17"/>
        <v>0</v>
      </c>
      <c r="K38" s="2"/>
      <c r="L38" s="6">
        <f t="shared" si="18"/>
        <v>-8.84</v>
      </c>
      <c r="M38" s="2"/>
      <c r="N38" s="7">
        <f t="shared" si="19"/>
        <v>-1</v>
      </c>
      <c r="O38" s="11"/>
      <c r="P38" s="6"/>
      <c r="Q38" s="2"/>
      <c r="R38" s="7">
        <f t="shared" si="20"/>
        <v>0</v>
      </c>
      <c r="S38" s="2"/>
      <c r="T38" s="6">
        <v>57.46</v>
      </c>
      <c r="U38" s="2"/>
      <c r="V38" s="7">
        <f t="shared" si="21"/>
        <v>0</v>
      </c>
      <c r="W38" s="2"/>
      <c r="X38" s="6">
        <f t="shared" si="22"/>
        <v>-57.46</v>
      </c>
      <c r="Y38" s="2"/>
      <c r="Z38" s="7">
        <f t="shared" si="23"/>
        <v>-1</v>
      </c>
    </row>
    <row r="39" spans="1:26" s="26" customFormat="1" outlineLevel="1" collapsed="1" x14ac:dyDescent="0.25">
      <c r="A39" s="27"/>
      <c r="B39" s="13" t="str">
        <f>CONCATENATE("     ","Supplies                                          ")</f>
        <v xml:space="preserve">     Supplies                                          </v>
      </c>
      <c r="C39" s="13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3"/>
      <c r="P39" s="1">
        <f>SUM(OSRRefP22_6x_0)</f>
        <v>82.04</v>
      </c>
      <c r="Q39" s="1"/>
      <c r="R39" s="5">
        <f t="shared" si="20"/>
        <v>0</v>
      </c>
      <c r="S39" s="1"/>
      <c r="T39" s="1">
        <f>SUM(OSRRefT22_6x_0)</f>
        <v>1058.01</v>
      </c>
      <c r="U39" s="1"/>
      <c r="V39" s="5">
        <f t="shared" si="21"/>
        <v>0</v>
      </c>
      <c r="W39" s="1"/>
      <c r="X39" s="1">
        <f t="shared" si="22"/>
        <v>-975.97</v>
      </c>
      <c r="Y39" s="1"/>
      <c r="Z39" s="5">
        <f t="shared" si="23"/>
        <v>-0.92245819982797894</v>
      </c>
    </row>
    <row r="40" spans="1:26" s="24" customFormat="1" hidden="1" outlineLevel="2" x14ac:dyDescent="0.25">
      <c r="A40" s="25"/>
      <c r="B40" s="11" t="str">
        <f>CONCATENATE("          ", "6234", " - ", "EXPENDABLE SUPPLIES &amp; EQUIPMEN")</f>
        <v xml:space="preserve">          6234 - EXPENDABLE SUPPLIES &amp; EQUIPMEN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1006.59</v>
      </c>
      <c r="U40" s="2"/>
      <c r="V40" s="7">
        <f t="shared" si="21"/>
        <v>0</v>
      </c>
      <c r="W40" s="2"/>
      <c r="X40" s="6">
        <f t="shared" si="22"/>
        <v>-1006.59</v>
      </c>
      <c r="Y40" s="2"/>
      <c r="Z40" s="7">
        <f t="shared" si="23"/>
        <v>-1</v>
      </c>
    </row>
    <row r="41" spans="1:26" s="24" customFormat="1" hidden="1" outlineLevel="2" x14ac:dyDescent="0.25">
      <c r="A41" s="25"/>
      <c r="B41" s="11" t="str">
        <f>CONCATENATE("          ", "6235", " - ", "COVID-19 EXPENSES")</f>
        <v xml:space="preserve">          6235 - COVID-19 EXPENSES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66.12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66.12</v>
      </c>
      <c r="Y41" s="2"/>
      <c r="Z41" s="7">
        <f t="shared" si="23"/>
        <v>0</v>
      </c>
    </row>
    <row r="42" spans="1:26" s="24" customFormat="1" hidden="1" outlineLevel="2" x14ac:dyDescent="0.25">
      <c r="A42" s="25"/>
      <c r="B42" s="11" t="str">
        <f>CONCATENATE("          ", "6241", " - ", "OFFICE EXPENSE")</f>
        <v xml:space="preserve">          6241 - OFFICE EXPENSE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15.92</v>
      </c>
      <c r="Q42" s="2"/>
      <c r="R42" s="7">
        <f t="shared" si="20"/>
        <v>0</v>
      </c>
      <c r="S42" s="2"/>
      <c r="T42" s="6">
        <v>51.42</v>
      </c>
      <c r="U42" s="2"/>
      <c r="V42" s="7">
        <f t="shared" si="21"/>
        <v>0</v>
      </c>
      <c r="W42" s="2"/>
      <c r="X42" s="6">
        <f t="shared" si="22"/>
        <v>-35.5</v>
      </c>
      <c r="Y42" s="2"/>
      <c r="Z42" s="7">
        <f t="shared" si="23"/>
        <v>-0.69039284325165307</v>
      </c>
    </row>
    <row r="43" spans="1:26" s="26" customFormat="1" outlineLevel="1" collapsed="1" x14ac:dyDescent="0.25">
      <c r="A43" s="27"/>
      <c r="B43" s="13" t="str">
        <f>CONCATENATE("     ","Telephone/Data Lines                              ")</f>
        <v xml:space="preserve">     Telephone/Data Lines                              </v>
      </c>
      <c r="C43" s="13"/>
      <c r="D43" s="1">
        <f>SUM(OSRRefD22_7x_0)</f>
        <v>-127</v>
      </c>
      <c r="E43" s="1"/>
      <c r="F43" s="5">
        <f t="shared" ref="F43:F46" si="24">IF(D$12=0,0,D43/D$12)</f>
        <v>0</v>
      </c>
      <c r="G43" s="1"/>
      <c r="H43" s="1">
        <f>SUM(OSRRefH22_7x_0)</f>
        <v>224</v>
      </c>
      <c r="I43" s="1"/>
      <c r="J43" s="5">
        <f t="shared" ref="J43:J46" si="25">IF(H$12=0,0,H43/H$12)</f>
        <v>0</v>
      </c>
      <c r="K43" s="1"/>
      <c r="L43" s="1">
        <f t="shared" ref="L43:L46" si="26">+D43-H43</f>
        <v>-351</v>
      </c>
      <c r="M43" s="1"/>
      <c r="N43" s="5">
        <f t="shared" ref="N43:N46" si="27">IF(H43=0,0,L43/H43)</f>
        <v>-1.5669642857142858</v>
      </c>
      <c r="O43" s="13"/>
      <c r="P43" s="1">
        <f>SUM(OSRRefP22_7x_0)</f>
        <v>440</v>
      </c>
      <c r="Q43" s="1"/>
      <c r="R43" s="5">
        <f t="shared" ref="R43:R46" si="28">IF(P$12=0,0,P43/P$12)</f>
        <v>0</v>
      </c>
      <c r="S43" s="1"/>
      <c r="T43" s="1">
        <f>SUM(OSRRefT22_7x_0)</f>
        <v>610.20000000000005</v>
      </c>
      <c r="U43" s="1"/>
      <c r="V43" s="5">
        <f t="shared" ref="V43:V46" si="29">IF(T$12=0,0,T43/T$12)</f>
        <v>0</v>
      </c>
      <c r="W43" s="1"/>
      <c r="X43" s="1">
        <f t="shared" ref="X43:X46" si="30">+P43-T43</f>
        <v>-170.20000000000005</v>
      </c>
      <c r="Y43" s="1"/>
      <c r="Z43" s="5">
        <f t="shared" ref="Z43:Z46" si="31">IF(T43=0,0,X43/T43)</f>
        <v>-0.27892494264175688</v>
      </c>
    </row>
    <row r="44" spans="1:26" s="24" customFormat="1" hidden="1" outlineLevel="2" x14ac:dyDescent="0.25">
      <c r="A44" s="25"/>
      <c r="B44" s="11" t="str">
        <f>CONCATENATE("          ", "6309", " - ", "TELEPHONE")</f>
        <v xml:space="preserve">          6309 - TELEPHONE</v>
      </c>
      <c r="C44" s="11"/>
      <c r="D44" s="6">
        <v>-127</v>
      </c>
      <c r="E44" s="2"/>
      <c r="F44" s="7">
        <f t="shared" si="24"/>
        <v>0</v>
      </c>
      <c r="G44" s="2"/>
      <c r="H44" s="6">
        <v>224</v>
      </c>
      <c r="I44" s="2"/>
      <c r="J44" s="7">
        <f t="shared" si="25"/>
        <v>0</v>
      </c>
      <c r="K44" s="2"/>
      <c r="L44" s="6">
        <f t="shared" si="26"/>
        <v>-351</v>
      </c>
      <c r="M44" s="2"/>
      <c r="N44" s="7">
        <f t="shared" si="27"/>
        <v>-1.5669642857142858</v>
      </c>
      <c r="O44" s="11"/>
      <c r="P44" s="6">
        <v>440</v>
      </c>
      <c r="Q44" s="2"/>
      <c r="R44" s="7">
        <f t="shared" si="28"/>
        <v>0</v>
      </c>
      <c r="S44" s="2"/>
      <c r="T44" s="6">
        <v>610.20000000000005</v>
      </c>
      <c r="U44" s="2"/>
      <c r="V44" s="7">
        <f t="shared" si="29"/>
        <v>0</v>
      </c>
      <c r="W44" s="2"/>
      <c r="X44" s="6">
        <f t="shared" si="30"/>
        <v>-170.20000000000005</v>
      </c>
      <c r="Y44" s="2"/>
      <c r="Z44" s="7">
        <f t="shared" si="31"/>
        <v>-0.27892494264175688</v>
      </c>
    </row>
    <row r="45" spans="1:26" s="26" customFormat="1" outlineLevel="1" collapsed="1" x14ac:dyDescent="0.25">
      <c r="A45" s="27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SUM(OSRRefD22_8x_0)</f>
        <v>0</v>
      </c>
      <c r="E45" s="1"/>
      <c r="F45" s="5">
        <f t="shared" si="24"/>
        <v>0</v>
      </c>
      <c r="G45" s="1"/>
      <c r="H45" s="1">
        <f>SUM(OSRRefH22_8x_0)</f>
        <v>0</v>
      </c>
      <c r="I45" s="1"/>
      <c r="J45" s="5">
        <f t="shared" si="25"/>
        <v>0</v>
      </c>
      <c r="K45" s="1"/>
      <c r="L45" s="1">
        <f t="shared" si="26"/>
        <v>0</v>
      </c>
      <c r="M45" s="1"/>
      <c r="N45" s="5">
        <f t="shared" si="27"/>
        <v>0</v>
      </c>
      <c r="O45" s="13"/>
      <c r="P45" s="1">
        <f>SUM(OSRRefP22_8x_0)</f>
        <v>0</v>
      </c>
      <c r="Q45" s="1"/>
      <c r="R45" s="5">
        <f t="shared" si="28"/>
        <v>0</v>
      </c>
      <c r="S45" s="1"/>
      <c r="T45" s="1">
        <f>SUM(OSRRefT22_8x_0)</f>
        <v>256.86</v>
      </c>
      <c r="U45" s="1"/>
      <c r="V45" s="5">
        <f t="shared" si="29"/>
        <v>0</v>
      </c>
      <c r="W45" s="1"/>
      <c r="X45" s="1">
        <f t="shared" si="30"/>
        <v>-256.86</v>
      </c>
      <c r="Y45" s="1"/>
      <c r="Z45" s="5">
        <f t="shared" si="31"/>
        <v>-1</v>
      </c>
    </row>
    <row r="46" spans="1:26" s="24" customFormat="1" hidden="1" outlineLevel="2" x14ac:dyDescent="0.25">
      <c r="A46" s="25"/>
      <c r="B46" s="11" t="str">
        <f>CONCATENATE("          ", "6292", " - ", "TRAVEL/CONFERENCE")</f>
        <v xml:space="preserve">          6292 - TRAVEL/CONFERENCE</v>
      </c>
      <c r="C46" s="11"/>
      <c r="D46" s="6"/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/>
      <c r="Q46" s="2"/>
      <c r="R46" s="7">
        <f t="shared" si="28"/>
        <v>0</v>
      </c>
      <c r="S46" s="2"/>
      <c r="T46" s="6">
        <v>256.86</v>
      </c>
      <c r="U46" s="2"/>
      <c r="V46" s="7">
        <f t="shared" si="29"/>
        <v>0</v>
      </c>
      <c r="W46" s="2"/>
      <c r="X46" s="6">
        <f t="shared" si="30"/>
        <v>-256.86</v>
      </c>
      <c r="Y46" s="2"/>
      <c r="Z46" s="7">
        <f t="shared" si="31"/>
        <v>-1</v>
      </c>
    </row>
    <row r="47" spans="1:26" s="61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9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8" t="s">
        <v>3</v>
      </c>
      <c r="C50" s="28"/>
      <c r="D50" s="20">
        <f>+D16-D18+D48</f>
        <v>-8201.44</v>
      </c>
      <c r="E50" s="14"/>
      <c r="F50" s="22">
        <f>IF(D$12=0,0,D50/D$12)</f>
        <v>0</v>
      </c>
      <c r="G50" s="14"/>
      <c r="H50" s="20">
        <f>+H16-H18+H48</f>
        <v>-9742.5400000000009</v>
      </c>
      <c r="I50" s="14"/>
      <c r="J50" s="22">
        <f>IF(H$12=0,0,H50/H$12)</f>
        <v>0</v>
      </c>
      <c r="K50" s="15"/>
      <c r="L50" s="20">
        <f>+D50-H50</f>
        <v>1541.1000000000004</v>
      </c>
      <c r="M50" s="15"/>
      <c r="N50" s="22">
        <f>IF(H50=0,0,L50/H50)</f>
        <v>-0.15818256840618569</v>
      </c>
      <c r="O50" s="29"/>
      <c r="P50" s="20">
        <f>+P16-P18+P48</f>
        <v>-55789.599999999991</v>
      </c>
      <c r="Q50" s="14"/>
      <c r="R50" s="22">
        <f>IF(P$12=0,0,P50/P$12)</f>
        <v>0</v>
      </c>
      <c r="S50" s="14"/>
      <c r="T50" s="20">
        <f>+T16-T18+T48</f>
        <v>-59625.219999999994</v>
      </c>
      <c r="U50" s="14"/>
      <c r="V50" s="22">
        <f>IF(T$12=0,0,T50/T$12)</f>
        <v>0</v>
      </c>
      <c r="W50" s="15"/>
      <c r="X50" s="20">
        <f>+P50-T50</f>
        <v>3835.6200000000026</v>
      </c>
      <c r="Y50" s="15"/>
      <c r="Z50" s="22">
        <f>IF(T50=0,0,X50/T50)</f>
        <v>-6.4328819247962576E-2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13</v>
      </c>
      <c r="C52" s="10"/>
      <c r="D52" s="4"/>
      <c r="E52" s="4"/>
      <c r="F52" s="12">
        <f>IF(D$12=0,0,D52/D$12)</f>
        <v>0</v>
      </c>
      <c r="G52" s="4"/>
      <c r="H52" s="4"/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/>
      <c r="Q52" s="4"/>
      <c r="R52" s="12">
        <f>IF(P$12=0,0,P52/P$12)</f>
        <v>0</v>
      </c>
      <c r="S52" s="4"/>
      <c r="T52" s="4"/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8" t="s">
        <v>4</v>
      </c>
      <c r="C54" s="28"/>
      <c r="D54" s="30">
        <f>+D50-D52</f>
        <v>-8201.44</v>
      </c>
      <c r="E54" s="14"/>
      <c r="F54" s="36">
        <f>IF(D$12=0,0,D54/D$12)</f>
        <v>0</v>
      </c>
      <c r="G54" s="14"/>
      <c r="H54" s="30">
        <f>+H50-H52</f>
        <v>-9742.5400000000009</v>
      </c>
      <c r="I54" s="14"/>
      <c r="J54" s="36">
        <f>IF(H$12=0,0,H54/H$12)</f>
        <v>0</v>
      </c>
      <c r="K54" s="15"/>
      <c r="L54" s="30">
        <f>D54-H54</f>
        <v>1541.1000000000004</v>
      </c>
      <c r="M54" s="15"/>
      <c r="N54" s="36">
        <f>IF(H54=0,0,L54/H54)</f>
        <v>-0.15818256840618569</v>
      </c>
      <c r="O54" s="29"/>
      <c r="P54" s="30">
        <f>+P50-P52</f>
        <v>-55789.599999999991</v>
      </c>
      <c r="Q54" s="14"/>
      <c r="R54" s="36">
        <f>IF(P$12=0,0,P54/P$12)</f>
        <v>0</v>
      </c>
      <c r="S54" s="14"/>
      <c r="T54" s="30">
        <f>+T50-T52</f>
        <v>-59625.219999999994</v>
      </c>
      <c r="U54" s="14"/>
      <c r="V54" s="36">
        <f>IF(T$12=0,0,T54/T$12)</f>
        <v>0</v>
      </c>
      <c r="W54" s="15"/>
      <c r="X54" s="30">
        <f>P54-T54</f>
        <v>3835.6200000000026</v>
      </c>
      <c r="Y54" s="15"/>
      <c r="Z54" s="36">
        <f>IF(T54=0,0,X54/T54)</f>
        <v>-6.4328819247962576E-2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5</v>
      </c>
      <c r="C57" s="28"/>
      <c r="D57" s="32">
        <f>SUM(D54:D56)</f>
        <v>-8201.44</v>
      </c>
      <c r="E57" s="14"/>
      <c r="F57" s="31">
        <f>IF(D$12=0,0,D57/D$12)</f>
        <v>0</v>
      </c>
      <c r="G57" s="14"/>
      <c r="H57" s="32">
        <f>SUM(H54:H56)</f>
        <v>-9742.5400000000009</v>
      </c>
      <c r="I57" s="14"/>
      <c r="J57" s="31">
        <f>IF(H$12=0,0,H57/H$12)</f>
        <v>0</v>
      </c>
      <c r="K57" s="15"/>
      <c r="L57" s="32">
        <f>+D57-H57</f>
        <v>1541.1000000000004</v>
      </c>
      <c r="M57" s="15"/>
      <c r="N57" s="31">
        <f>IF(H57=0,0,L57/H57)</f>
        <v>-0.15818256840618569</v>
      </c>
      <c r="O57" s="29"/>
      <c r="P57" s="32">
        <f>SUM(P54:P56)</f>
        <v>-55789.599999999991</v>
      </c>
      <c r="Q57" s="14"/>
      <c r="R57" s="31">
        <f>IF(P$12=0,0,P57/P$12)</f>
        <v>0</v>
      </c>
      <c r="S57" s="14"/>
      <c r="T57" s="32">
        <f>SUM(T54:T56)</f>
        <v>-59625.219999999994</v>
      </c>
      <c r="U57" s="14"/>
      <c r="V57" s="31">
        <f>IF(T$12=0,0,T57/T$12)</f>
        <v>0</v>
      </c>
      <c r="W57" s="15"/>
      <c r="X57" s="32">
        <f>+P57-T57</f>
        <v>3835.6200000000026</v>
      </c>
      <c r="Y57" s="15"/>
      <c r="Z57" s="31">
        <f>IF(T57=0,0,X57/T57)</f>
        <v>-6.4328819247962576E-2</v>
      </c>
    </row>
    <row r="58" spans="1:26" ht="15.75" thickTop="1" x14ac:dyDescent="0.25">
      <c r="A58" s="9"/>
      <c r="C58" s="9"/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62">
        <v>44238.496080983794</v>
      </c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59" t="s">
        <v>313</v>
      </c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A61" s="9"/>
      <c r="B61" s="56"/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  <row r="62" spans="1:26" x14ac:dyDescent="0.25">
      <c r="D62" s="18"/>
      <c r="E62" s="18"/>
      <c r="G62" s="18"/>
      <c r="H62" s="18"/>
      <c r="I62" s="18"/>
      <c r="J62" s="42"/>
      <c r="K62" s="18"/>
      <c r="L62" s="18"/>
      <c r="M62" s="18"/>
      <c r="P62" s="18"/>
      <c r="Q62" s="18"/>
      <c r="R62" s="42"/>
      <c r="S62" s="18"/>
      <c r="T62" s="18"/>
      <c r="U62" s="18"/>
      <c r="V62" s="42"/>
      <c r="W62" s="18"/>
      <c r="X62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","206", " - ", "Graphics")</f>
        <v>Department 206 - Graphics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10403.06</v>
      </c>
      <c r="E18" s="21"/>
      <c r="F18" s="35">
        <f t="shared" ref="F18:F27" si="0">IF(D$12=0,0,D18/D$12)</f>
        <v>0</v>
      </c>
      <c r="G18" s="21"/>
      <c r="H18" s="21">
        <f>SUM(OSRRefH22x_0)</f>
        <v>8096.0500000000011</v>
      </c>
      <c r="I18" s="21"/>
      <c r="J18" s="35">
        <f t="shared" ref="J18:J27" si="1">IF(H$12=0,0,H18/H$12)</f>
        <v>0</v>
      </c>
      <c r="K18" s="4"/>
      <c r="L18" s="21">
        <f t="shared" ref="L18:L27" si="2">+D18-H18</f>
        <v>2307.0099999999984</v>
      </c>
      <c r="M18" s="4"/>
      <c r="N18" s="35">
        <f t="shared" ref="N18:N27" si="3">IF(H18=0,0,L18/H18)</f>
        <v>0.28495500892410475</v>
      </c>
      <c r="O18" s="10"/>
      <c r="P18" s="21">
        <f>SUM(OSRRefP22x_0)</f>
        <v>62645.850000000006</v>
      </c>
      <c r="Q18" s="21"/>
      <c r="R18" s="35">
        <f t="shared" ref="R18:R27" si="4">IF(P$12=0,0,P18/P$12)</f>
        <v>0</v>
      </c>
      <c r="S18" s="21"/>
      <c r="T18" s="21">
        <f>SUM(OSRRefT22x_0)</f>
        <v>51817.57</v>
      </c>
      <c r="U18" s="21"/>
      <c r="V18" s="35">
        <f t="shared" ref="V18:V27" si="5">IF(T$12=0,0,T18/T$12)</f>
        <v>0</v>
      </c>
      <c r="W18" s="4"/>
      <c r="X18" s="21">
        <f t="shared" ref="X18:X27" si="6">+P18-T18</f>
        <v>10828.280000000006</v>
      </c>
      <c r="Y18" s="4"/>
      <c r="Z18" s="35">
        <f t="shared" ref="Z18:Z27" si="7">IF(T18=0,0,X18/T18)</f>
        <v>0.20896927432143203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2024.67</v>
      </c>
      <c r="E19" s="1"/>
      <c r="F19" s="5">
        <f t="shared" si="0"/>
        <v>0</v>
      </c>
      <c r="G19" s="1"/>
      <c r="H19" s="1">
        <f>SUM(OSRRefH22_0x_0)</f>
        <v>1686.26</v>
      </c>
      <c r="I19" s="1"/>
      <c r="J19" s="5">
        <f t="shared" si="1"/>
        <v>0</v>
      </c>
      <c r="K19" s="1"/>
      <c r="L19" s="1">
        <f t="shared" si="2"/>
        <v>338.41000000000008</v>
      </c>
      <c r="M19" s="1"/>
      <c r="N19" s="5">
        <f t="shared" si="3"/>
        <v>0.20068672683927749</v>
      </c>
      <c r="O19" s="13"/>
      <c r="P19" s="1">
        <f>SUM(OSRRefP22_0x_0)</f>
        <v>11515.07</v>
      </c>
      <c r="Q19" s="1"/>
      <c r="R19" s="5">
        <f t="shared" si="4"/>
        <v>0</v>
      </c>
      <c r="S19" s="1"/>
      <c r="T19" s="1">
        <f>SUM(OSRRefT22_0x_0)</f>
        <v>12899.28</v>
      </c>
      <c r="U19" s="1"/>
      <c r="V19" s="5">
        <f t="shared" si="5"/>
        <v>0</v>
      </c>
      <c r="W19" s="1"/>
      <c r="X19" s="1">
        <f t="shared" si="6"/>
        <v>-1384.2100000000009</v>
      </c>
      <c r="Y19" s="1"/>
      <c r="Z19" s="5">
        <f t="shared" si="7"/>
        <v>-0.10730909011975868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380.68</v>
      </c>
      <c r="E20" s="2"/>
      <c r="F20" s="7">
        <f t="shared" si="0"/>
        <v>0</v>
      </c>
      <c r="G20" s="2"/>
      <c r="H20" s="6">
        <v>342.68</v>
      </c>
      <c r="I20" s="2"/>
      <c r="J20" s="7">
        <f t="shared" si="1"/>
        <v>0</v>
      </c>
      <c r="K20" s="2"/>
      <c r="L20" s="6">
        <f t="shared" si="2"/>
        <v>38</v>
      </c>
      <c r="M20" s="2"/>
      <c r="N20" s="7">
        <f t="shared" si="3"/>
        <v>0.11089062682385899</v>
      </c>
      <c r="O20" s="11"/>
      <c r="P20" s="6">
        <v>2804.09</v>
      </c>
      <c r="Q20" s="2"/>
      <c r="R20" s="7">
        <f t="shared" si="4"/>
        <v>0</v>
      </c>
      <c r="S20" s="2"/>
      <c r="T20" s="6">
        <v>3485.22</v>
      </c>
      <c r="U20" s="2"/>
      <c r="V20" s="7">
        <f t="shared" si="5"/>
        <v>0</v>
      </c>
      <c r="W20" s="2"/>
      <c r="X20" s="6">
        <f t="shared" si="6"/>
        <v>-681.12999999999965</v>
      </c>
      <c r="Y20" s="2"/>
      <c r="Z20" s="7">
        <f t="shared" si="7"/>
        <v>-0.19543386070319799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12.97</v>
      </c>
      <c r="E21" s="2"/>
      <c r="F21" s="7">
        <f t="shared" si="0"/>
        <v>0</v>
      </c>
      <c r="G21" s="2"/>
      <c r="H21" s="6">
        <v>36.020000000000003</v>
      </c>
      <c r="I21" s="2"/>
      <c r="J21" s="7">
        <f t="shared" si="1"/>
        <v>0</v>
      </c>
      <c r="K21" s="2"/>
      <c r="L21" s="6">
        <f t="shared" si="2"/>
        <v>-23.050000000000004</v>
      </c>
      <c r="M21" s="2"/>
      <c r="N21" s="7">
        <f t="shared" si="3"/>
        <v>-0.63992226540810671</v>
      </c>
      <c r="O21" s="11"/>
      <c r="P21" s="6">
        <v>149.28</v>
      </c>
      <c r="Q21" s="2"/>
      <c r="R21" s="7">
        <f t="shared" si="4"/>
        <v>0</v>
      </c>
      <c r="S21" s="2"/>
      <c r="T21" s="6">
        <v>147.26</v>
      </c>
      <c r="U21" s="2"/>
      <c r="V21" s="7">
        <f t="shared" si="5"/>
        <v>0</v>
      </c>
      <c r="W21" s="2"/>
      <c r="X21" s="6">
        <f t="shared" si="6"/>
        <v>2.0200000000000102</v>
      </c>
      <c r="Y21" s="2"/>
      <c r="Z21" s="7">
        <f t="shared" si="7"/>
        <v>1.3717234822762532E-2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704.62</v>
      </c>
      <c r="E22" s="2"/>
      <c r="F22" s="7">
        <f t="shared" si="0"/>
        <v>0</v>
      </c>
      <c r="G22" s="2"/>
      <c r="H22" s="6">
        <v>700.87</v>
      </c>
      <c r="I22" s="2"/>
      <c r="J22" s="7">
        <f t="shared" si="1"/>
        <v>0</v>
      </c>
      <c r="K22" s="2"/>
      <c r="L22" s="6">
        <f t="shared" si="2"/>
        <v>3.75</v>
      </c>
      <c r="M22" s="2"/>
      <c r="N22" s="7">
        <f t="shared" si="3"/>
        <v>5.350492958751266E-3</v>
      </c>
      <c r="O22" s="11"/>
      <c r="P22" s="6">
        <v>4909.84</v>
      </c>
      <c r="Q22" s="2"/>
      <c r="R22" s="7">
        <f t="shared" si="4"/>
        <v>0</v>
      </c>
      <c r="S22" s="2"/>
      <c r="T22" s="6">
        <v>4906.33</v>
      </c>
      <c r="U22" s="2"/>
      <c r="V22" s="7">
        <f t="shared" si="5"/>
        <v>0</v>
      </c>
      <c r="W22" s="2"/>
      <c r="X22" s="6">
        <f t="shared" si="6"/>
        <v>3.5100000000002183</v>
      </c>
      <c r="Y22" s="2"/>
      <c r="Z22" s="7">
        <f t="shared" si="7"/>
        <v>7.1540234757959994E-4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32.46</v>
      </c>
      <c r="E23" s="2"/>
      <c r="F23" s="7">
        <f t="shared" si="0"/>
        <v>0</v>
      </c>
      <c r="G23" s="2"/>
      <c r="H23" s="6">
        <v>27.55</v>
      </c>
      <c r="I23" s="2"/>
      <c r="J23" s="7">
        <f t="shared" si="1"/>
        <v>0</v>
      </c>
      <c r="K23" s="2"/>
      <c r="L23" s="6">
        <f t="shared" si="2"/>
        <v>4.91</v>
      </c>
      <c r="M23" s="2"/>
      <c r="N23" s="7">
        <f t="shared" si="3"/>
        <v>0.17822141560798549</v>
      </c>
      <c r="O23" s="11"/>
      <c r="P23" s="6">
        <v>117.62</v>
      </c>
      <c r="Q23" s="2"/>
      <c r="R23" s="7">
        <f t="shared" si="4"/>
        <v>0</v>
      </c>
      <c r="S23" s="2"/>
      <c r="T23" s="6">
        <v>188.78</v>
      </c>
      <c r="U23" s="2"/>
      <c r="V23" s="7">
        <f t="shared" si="5"/>
        <v>0</v>
      </c>
      <c r="W23" s="2"/>
      <c r="X23" s="6">
        <f t="shared" si="6"/>
        <v>-71.16</v>
      </c>
      <c r="Y23" s="2"/>
      <c r="Z23" s="7">
        <f t="shared" si="7"/>
        <v>-0.37694671045661615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441.84</v>
      </c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441.84</v>
      </c>
      <c r="M24" s="2"/>
      <c r="N24" s="7">
        <f t="shared" si="3"/>
        <v>0</v>
      </c>
      <c r="O24" s="11"/>
      <c r="P24" s="6">
        <v>441.84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441.84</v>
      </c>
      <c r="Y24" s="2"/>
      <c r="Z24" s="7">
        <f t="shared" si="7"/>
        <v>0</v>
      </c>
    </row>
    <row r="25" spans="1:26" s="24" customFormat="1" hidden="1" outlineLevel="2" x14ac:dyDescent="0.25">
      <c r="A25" s="25"/>
      <c r="B25" s="11" t="str">
        <f>CONCATENATE("          ", "6118", " - ", "VACATION")</f>
        <v xml:space="preserve">          6118 - VACATION</v>
      </c>
      <c r="C25" s="11"/>
      <c r="D25" s="6">
        <v>230.7</v>
      </c>
      <c r="E25" s="2"/>
      <c r="F25" s="7">
        <f t="shared" si="0"/>
        <v>0</v>
      </c>
      <c r="G25" s="2"/>
      <c r="H25" s="6">
        <v>184.8</v>
      </c>
      <c r="I25" s="2"/>
      <c r="J25" s="7">
        <f t="shared" si="1"/>
        <v>0</v>
      </c>
      <c r="K25" s="2"/>
      <c r="L25" s="6">
        <f t="shared" si="2"/>
        <v>45.899999999999977</v>
      </c>
      <c r="M25" s="2"/>
      <c r="N25" s="7">
        <f t="shared" si="3"/>
        <v>0.24837662337662325</v>
      </c>
      <c r="O25" s="11"/>
      <c r="P25" s="6">
        <v>1431.9</v>
      </c>
      <c r="Q25" s="2"/>
      <c r="R25" s="7">
        <f t="shared" si="4"/>
        <v>0</v>
      </c>
      <c r="S25" s="2"/>
      <c r="T25" s="6">
        <v>1386</v>
      </c>
      <c r="U25" s="2"/>
      <c r="V25" s="7">
        <f t="shared" si="5"/>
        <v>0</v>
      </c>
      <c r="W25" s="2"/>
      <c r="X25" s="6">
        <f t="shared" si="6"/>
        <v>45.900000000000091</v>
      </c>
      <c r="Y25" s="2"/>
      <c r="Z25" s="7">
        <f t="shared" si="7"/>
        <v>3.3116883116883183E-2</v>
      </c>
    </row>
    <row r="26" spans="1:26" s="24" customFormat="1" hidden="1" outlineLevel="2" x14ac:dyDescent="0.25">
      <c r="A26" s="25"/>
      <c r="B26" s="11" t="str">
        <f>CONCATENATE("          ", "6119", " - ", "SICK LEAVE")</f>
        <v xml:space="preserve">          6119 - SICK LEAVE</v>
      </c>
      <c r="C26" s="11"/>
      <c r="D26" s="6">
        <v>221.4</v>
      </c>
      <c r="E26" s="2"/>
      <c r="F26" s="7">
        <f t="shared" si="0"/>
        <v>0</v>
      </c>
      <c r="G26" s="2"/>
      <c r="H26" s="6">
        <v>221.4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1660.5</v>
      </c>
      <c r="Q26" s="2"/>
      <c r="R26" s="7">
        <f t="shared" si="4"/>
        <v>0</v>
      </c>
      <c r="S26" s="2"/>
      <c r="T26" s="6">
        <v>1660.5</v>
      </c>
      <c r="U26" s="2"/>
      <c r="V26" s="7">
        <f t="shared" si="5"/>
        <v>0</v>
      </c>
      <c r="W26" s="2"/>
      <c r="X26" s="6">
        <f t="shared" si="6"/>
        <v>0</v>
      </c>
      <c r="Y26" s="2"/>
      <c r="Z26" s="7">
        <f t="shared" si="7"/>
        <v>0</v>
      </c>
    </row>
    <row r="27" spans="1:26" s="24" customFormat="1" hidden="1" outlineLevel="2" x14ac:dyDescent="0.25">
      <c r="A27" s="25"/>
      <c r="B27" s="11" t="str">
        <f>CONCATENATE("          ", "6156", " - ", "EMPLOYEE MEALS")</f>
        <v xml:space="preserve">          6156 - EMPLOYEE MEALS</v>
      </c>
      <c r="C27" s="11"/>
      <c r="D27" s="6"/>
      <c r="E27" s="2"/>
      <c r="F27" s="7">
        <f t="shared" si="0"/>
        <v>0</v>
      </c>
      <c r="G27" s="2"/>
      <c r="H27" s="6">
        <v>172.94</v>
      </c>
      <c r="I27" s="2"/>
      <c r="J27" s="7">
        <f t="shared" si="1"/>
        <v>0</v>
      </c>
      <c r="K27" s="2"/>
      <c r="L27" s="6">
        <f t="shared" si="2"/>
        <v>-172.94</v>
      </c>
      <c r="M27" s="2"/>
      <c r="N27" s="7">
        <f t="shared" si="3"/>
        <v>-1</v>
      </c>
      <c r="O27" s="11"/>
      <c r="P27" s="6"/>
      <c r="Q27" s="2"/>
      <c r="R27" s="7">
        <f t="shared" si="4"/>
        <v>0</v>
      </c>
      <c r="S27" s="2"/>
      <c r="T27" s="6">
        <v>1125.19</v>
      </c>
      <c r="U27" s="2"/>
      <c r="V27" s="7">
        <f t="shared" si="5"/>
        <v>0</v>
      </c>
      <c r="W27" s="2"/>
      <c r="X27" s="6">
        <f t="shared" si="6"/>
        <v>-1125.19</v>
      </c>
      <c r="Y27" s="2"/>
      <c r="Z27" s="7">
        <f t="shared" si="7"/>
        <v>-1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7897.76</v>
      </c>
      <c r="E28" s="1"/>
      <c r="F28" s="5">
        <f t="shared" ref="F28:F32" si="8">IF(D$12=0,0,D28/D$12)</f>
        <v>0</v>
      </c>
      <c r="G28" s="1"/>
      <c r="H28" s="1">
        <f>SUM(OSRRefH22_1x_0)</f>
        <v>13149.53</v>
      </c>
      <c r="I28" s="1"/>
      <c r="J28" s="5">
        <f t="shared" ref="J28:J32" si="9">IF(H$12=0,0,H28/H$12)</f>
        <v>0</v>
      </c>
      <c r="K28" s="1"/>
      <c r="L28" s="1">
        <f t="shared" ref="L28:L32" si="10">+D28-H28</f>
        <v>-5251.77</v>
      </c>
      <c r="M28" s="1"/>
      <c r="N28" s="5">
        <f t="shared" ref="N28:N32" si="11">IF(H28=0,0,L28/H28)</f>
        <v>-0.39938841920585755</v>
      </c>
      <c r="O28" s="13"/>
      <c r="P28" s="1">
        <f>SUM(OSRRefP22_1x_0)</f>
        <v>47976.480000000003</v>
      </c>
      <c r="Q28" s="1"/>
      <c r="R28" s="5">
        <f t="shared" ref="R28:R32" si="12">IF(P$12=0,0,P28/P$12)</f>
        <v>0</v>
      </c>
      <c r="S28" s="1"/>
      <c r="T28" s="1">
        <f>SUM(OSRRefT22_1x_0)</f>
        <v>77032.53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-29056.049999999996</v>
      </c>
      <c r="Y28" s="1"/>
      <c r="Z28" s="5">
        <f t="shared" ref="Z28:Z32" si="15">IF(T28=0,0,X28/T28)</f>
        <v>-0.37719194735003508</v>
      </c>
    </row>
    <row r="29" spans="1:26" s="24" customFormat="1" hidden="1" outlineLevel="2" x14ac:dyDescent="0.25">
      <c r="A29" s="25"/>
      <c r="B29" s="11" t="str">
        <f>CONCATENATE("          ", "6004", " - ", "STAFF HOURLY")</f>
        <v xml:space="preserve">          6004 - STAFF HOURLY</v>
      </c>
      <c r="C29" s="11"/>
      <c r="D29" s="6">
        <v>4755</v>
      </c>
      <c r="E29" s="2"/>
      <c r="F29" s="7">
        <f t="shared" si="8"/>
        <v>0</v>
      </c>
      <c r="G29" s="2"/>
      <c r="H29" s="6">
        <v>4136.25</v>
      </c>
      <c r="I29" s="2"/>
      <c r="J29" s="7">
        <f t="shared" si="9"/>
        <v>0</v>
      </c>
      <c r="K29" s="2"/>
      <c r="L29" s="6">
        <f t="shared" si="10"/>
        <v>618.75</v>
      </c>
      <c r="M29" s="2"/>
      <c r="N29" s="7">
        <f t="shared" si="11"/>
        <v>0.14959202175883954</v>
      </c>
      <c r="O29" s="11"/>
      <c r="P29" s="6">
        <v>36605.100000000006</v>
      </c>
      <c r="Q29" s="2"/>
      <c r="R29" s="7">
        <f t="shared" si="12"/>
        <v>0</v>
      </c>
      <c r="S29" s="2"/>
      <c r="T29" s="6">
        <v>35973.75</v>
      </c>
      <c r="U29" s="2"/>
      <c r="V29" s="7">
        <f t="shared" si="13"/>
        <v>0</v>
      </c>
      <c r="W29" s="2"/>
      <c r="X29" s="6">
        <f t="shared" si="14"/>
        <v>631.35000000000582</v>
      </c>
      <c r="Y29" s="2"/>
      <c r="Z29" s="7">
        <f t="shared" si="15"/>
        <v>1.7550297091629474E-2</v>
      </c>
    </row>
    <row r="30" spans="1:26" s="24" customFormat="1" hidden="1" outlineLevel="2" x14ac:dyDescent="0.25">
      <c r="A30" s="25"/>
      <c r="B30" s="11" t="str">
        <f>CONCATENATE("          ", "6006", " - ", "TEMPORARY PART TIME")</f>
        <v xml:space="preserve">          6006 - TEMPORARY PART TIME</v>
      </c>
      <c r="C30" s="11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2361.4299999999998</v>
      </c>
      <c r="U30" s="2"/>
      <c r="V30" s="7">
        <f t="shared" si="13"/>
        <v>0</v>
      </c>
      <c r="W30" s="2"/>
      <c r="X30" s="6">
        <f t="shared" si="14"/>
        <v>-2361.4299999999998</v>
      </c>
      <c r="Y30" s="2"/>
      <c r="Z30" s="7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"6007", " - ", "STUDENT HOURLY")</f>
        <v xml:space="preserve">          6007 - STUDENT HOURLY</v>
      </c>
      <c r="C31" s="11"/>
      <c r="D31" s="6">
        <v>1776</v>
      </c>
      <c r="E31" s="2"/>
      <c r="F31" s="7">
        <f t="shared" si="8"/>
        <v>0</v>
      </c>
      <c r="G31" s="2"/>
      <c r="H31" s="6">
        <v>7904.6</v>
      </c>
      <c r="I31" s="2"/>
      <c r="J31" s="7">
        <f t="shared" si="9"/>
        <v>0</v>
      </c>
      <c r="K31" s="2"/>
      <c r="L31" s="6">
        <f t="shared" si="10"/>
        <v>-6128.6</v>
      </c>
      <c r="M31" s="2"/>
      <c r="N31" s="7">
        <f t="shared" si="11"/>
        <v>-0.775320699339625</v>
      </c>
      <c r="O31" s="11"/>
      <c r="P31" s="6">
        <v>1776</v>
      </c>
      <c r="Q31" s="2"/>
      <c r="R31" s="7">
        <f t="shared" si="12"/>
        <v>0</v>
      </c>
      <c r="S31" s="2"/>
      <c r="T31" s="6">
        <v>32870.03</v>
      </c>
      <c r="U31" s="2"/>
      <c r="V31" s="7">
        <f t="shared" si="13"/>
        <v>0</v>
      </c>
      <c r="W31" s="2"/>
      <c r="X31" s="6">
        <f t="shared" si="14"/>
        <v>-31094.03</v>
      </c>
      <c r="Y31" s="2"/>
      <c r="Z31" s="7">
        <f t="shared" si="15"/>
        <v>-0.94596901797777488</v>
      </c>
    </row>
    <row r="32" spans="1:26" s="24" customFormat="1" hidden="1" outlineLevel="2" x14ac:dyDescent="0.25">
      <c r="A32" s="25"/>
      <c r="B32" s="11" t="str">
        <f>CONCATENATE("          ", "6008", " - ", "STUDENT HOURLY-FICA EXEMPT")</f>
        <v xml:space="preserve">          6008 - STUDENT HOURLY-FICA EXEMPT</v>
      </c>
      <c r="C32" s="11"/>
      <c r="D32" s="6">
        <v>1366.76</v>
      </c>
      <c r="E32" s="2"/>
      <c r="F32" s="7">
        <f t="shared" si="8"/>
        <v>0</v>
      </c>
      <c r="G32" s="2"/>
      <c r="H32" s="6">
        <v>1108.68</v>
      </c>
      <c r="I32" s="2"/>
      <c r="J32" s="7">
        <f t="shared" si="9"/>
        <v>0</v>
      </c>
      <c r="K32" s="2"/>
      <c r="L32" s="6">
        <f t="shared" si="10"/>
        <v>258.07999999999993</v>
      </c>
      <c r="M32" s="2"/>
      <c r="N32" s="7">
        <f t="shared" si="11"/>
        <v>0.23278132554028205</v>
      </c>
      <c r="O32" s="11"/>
      <c r="P32" s="6">
        <v>9595.3799999999992</v>
      </c>
      <c r="Q32" s="2"/>
      <c r="R32" s="7">
        <f t="shared" si="12"/>
        <v>0</v>
      </c>
      <c r="S32" s="2"/>
      <c r="T32" s="6">
        <v>5827.32</v>
      </c>
      <c r="U32" s="2"/>
      <c r="V32" s="7">
        <f t="shared" si="13"/>
        <v>0</v>
      </c>
      <c r="W32" s="2"/>
      <c r="X32" s="6">
        <f t="shared" si="14"/>
        <v>3768.0599999999995</v>
      </c>
      <c r="Y32" s="2"/>
      <c r="Z32" s="7">
        <f t="shared" si="15"/>
        <v>0.64661971540948493</v>
      </c>
    </row>
    <row r="33" spans="1:26" s="26" customFormat="1" outlineLevel="1" collapsed="1" x14ac:dyDescent="0.25">
      <c r="A33" s="27"/>
      <c r="B33" s="13" t="str">
        <f>CONCATENATE("     ","Advertising/Promo                                 ")</f>
        <v xml:space="preserve">     Advertising/Promo                                 </v>
      </c>
      <c r="C33" s="13"/>
      <c r="D33" s="1">
        <f>SUM(OSRRefD22_2x_0)</f>
        <v>173.21</v>
      </c>
      <c r="E33" s="1"/>
      <c r="F33" s="5">
        <f t="shared" ref="F33:F41" si="16">IF(D$12=0,0,D33/D$12)</f>
        <v>0</v>
      </c>
      <c r="G33" s="1"/>
      <c r="H33" s="1">
        <f>SUM(OSRRefH22_2x_0)</f>
        <v>-7382.72</v>
      </c>
      <c r="I33" s="1"/>
      <c r="J33" s="5">
        <f t="shared" ref="J33:J41" si="17">IF(H$12=0,0,H33/H$12)</f>
        <v>0</v>
      </c>
      <c r="K33" s="1"/>
      <c r="L33" s="1">
        <f t="shared" ref="L33:L41" si="18">+D33-H33</f>
        <v>7555.93</v>
      </c>
      <c r="M33" s="1"/>
      <c r="N33" s="5">
        <f t="shared" ref="N33:N41" si="19">IF(H33=0,0,L33/H33)</f>
        <v>-1.0234615426292748</v>
      </c>
      <c r="O33" s="13"/>
      <c r="P33" s="1">
        <f>SUM(OSRRefP22_2x_0)</f>
        <v>1039.26</v>
      </c>
      <c r="Q33" s="1"/>
      <c r="R33" s="5">
        <f t="shared" ref="R33:R41" si="20">IF(P$12=0,0,P33/P$12)</f>
        <v>0</v>
      </c>
      <c r="S33" s="1"/>
      <c r="T33" s="1">
        <f>SUM(OSRRefT22_2x_0)</f>
        <v>-42957.08</v>
      </c>
      <c r="U33" s="1"/>
      <c r="V33" s="5">
        <f t="shared" ref="V33:V41" si="21">IF(T$12=0,0,T33/T$12)</f>
        <v>0</v>
      </c>
      <c r="W33" s="1"/>
      <c r="X33" s="1">
        <f t="shared" ref="X33:X41" si="22">+P33-T33</f>
        <v>43996.340000000004</v>
      </c>
      <c r="Y33" s="1"/>
      <c r="Z33" s="5">
        <f t="shared" ref="Z33:Z41" si="23">IF(T33=0,0,X33/T33)</f>
        <v>-1.0241929851842817</v>
      </c>
    </row>
    <row r="34" spans="1:26" s="24" customFormat="1" hidden="1" outlineLevel="2" x14ac:dyDescent="0.25">
      <c r="A34" s="25"/>
      <c r="B34" s="11" t="str">
        <f>CONCATENATE("          ", "6362", " - ", "ADVERTISING EXPENSE")</f>
        <v xml:space="preserve">          6362 - ADVERTISING EXPENSE</v>
      </c>
      <c r="C34" s="11"/>
      <c r="D34" s="6">
        <v>173.21</v>
      </c>
      <c r="E34" s="2"/>
      <c r="F34" s="7">
        <f t="shared" si="16"/>
        <v>0</v>
      </c>
      <c r="G34" s="2"/>
      <c r="H34" s="6">
        <v>-7382.72</v>
      </c>
      <c r="I34" s="2"/>
      <c r="J34" s="7">
        <f t="shared" si="17"/>
        <v>0</v>
      </c>
      <c r="K34" s="2"/>
      <c r="L34" s="6">
        <f t="shared" si="18"/>
        <v>7555.93</v>
      </c>
      <c r="M34" s="2"/>
      <c r="N34" s="7">
        <f t="shared" si="19"/>
        <v>-1.0234615426292748</v>
      </c>
      <c r="O34" s="11"/>
      <c r="P34" s="6">
        <v>1039.26</v>
      </c>
      <c r="Q34" s="2"/>
      <c r="R34" s="7">
        <f t="shared" si="20"/>
        <v>0</v>
      </c>
      <c r="S34" s="2"/>
      <c r="T34" s="6">
        <v>-42957.08</v>
      </c>
      <c r="U34" s="2"/>
      <c r="V34" s="7">
        <f t="shared" si="21"/>
        <v>0</v>
      </c>
      <c r="W34" s="2"/>
      <c r="X34" s="6">
        <f t="shared" si="22"/>
        <v>43996.340000000004</v>
      </c>
      <c r="Y34" s="2"/>
      <c r="Z34" s="7">
        <f t="shared" si="23"/>
        <v>-1.0241929851842817</v>
      </c>
    </row>
    <row r="35" spans="1:26" s="26" customFormat="1" outlineLevel="1" collapsed="1" x14ac:dyDescent="0.25">
      <c r="A35" s="27"/>
      <c r="B35" s="13" t="str">
        <f>CONCATENATE("     ","Depreciation                                      ")</f>
        <v xml:space="preserve">     Depreciation                                      </v>
      </c>
      <c r="C35" s="13"/>
      <c r="D35" s="1">
        <f>SUM(OSRRefD22_3x_0)</f>
        <v>271.27</v>
      </c>
      <c r="E35" s="1"/>
      <c r="F35" s="5">
        <f t="shared" si="16"/>
        <v>0</v>
      </c>
      <c r="G35" s="1"/>
      <c r="H35" s="1">
        <f>SUM(OSRRefH22_3x_0)</f>
        <v>295.67</v>
      </c>
      <c r="I35" s="1"/>
      <c r="J35" s="5">
        <f t="shared" si="17"/>
        <v>0</v>
      </c>
      <c r="K35" s="1"/>
      <c r="L35" s="1">
        <f t="shared" si="18"/>
        <v>-24.400000000000034</v>
      </c>
      <c r="M35" s="1"/>
      <c r="N35" s="5">
        <f t="shared" si="19"/>
        <v>-8.2524436026651452E-2</v>
      </c>
      <c r="O35" s="13"/>
      <c r="P35" s="1">
        <f>SUM(OSRRefP22_3x_0)</f>
        <v>1898.89</v>
      </c>
      <c r="Q35" s="1"/>
      <c r="R35" s="5">
        <f t="shared" si="20"/>
        <v>0</v>
      </c>
      <c r="S35" s="1"/>
      <c r="T35" s="1">
        <f>SUM(OSRRefT22_3x_0)</f>
        <v>2069.69</v>
      </c>
      <c r="U35" s="1"/>
      <c r="V35" s="5">
        <f t="shared" si="21"/>
        <v>0</v>
      </c>
      <c r="W35" s="1"/>
      <c r="X35" s="1">
        <f t="shared" si="22"/>
        <v>-170.79999999999995</v>
      </c>
      <c r="Y35" s="1"/>
      <c r="Z35" s="5">
        <f t="shared" si="23"/>
        <v>-8.2524436026651313E-2</v>
      </c>
    </row>
    <row r="36" spans="1:26" s="24" customFormat="1" hidden="1" outlineLevel="2" x14ac:dyDescent="0.25">
      <c r="A36" s="25"/>
      <c r="B36" s="11" t="str">
        <f>CONCATENATE("          ", "6322", " - ", "EQUIPMENT DEPRECIATION EXPENSE")</f>
        <v xml:space="preserve">          6322 - EQUIPMENT DEPRECIATION EXPENSE</v>
      </c>
      <c r="C36" s="11"/>
      <c r="D36" s="6">
        <v>271.27</v>
      </c>
      <c r="E36" s="2"/>
      <c r="F36" s="7">
        <f t="shared" si="16"/>
        <v>0</v>
      </c>
      <c r="G36" s="2"/>
      <c r="H36" s="6">
        <v>295.67</v>
      </c>
      <c r="I36" s="2"/>
      <c r="J36" s="7">
        <f t="shared" si="17"/>
        <v>0</v>
      </c>
      <c r="K36" s="2"/>
      <c r="L36" s="6">
        <f t="shared" si="18"/>
        <v>-24.400000000000034</v>
      </c>
      <c r="M36" s="2"/>
      <c r="N36" s="7">
        <f t="shared" si="19"/>
        <v>-8.2524436026651452E-2</v>
      </c>
      <c r="O36" s="11"/>
      <c r="P36" s="6">
        <v>1898.89</v>
      </c>
      <c r="Q36" s="2"/>
      <c r="R36" s="7">
        <f t="shared" si="20"/>
        <v>0</v>
      </c>
      <c r="S36" s="2"/>
      <c r="T36" s="6">
        <v>2069.69</v>
      </c>
      <c r="U36" s="2"/>
      <c r="V36" s="7">
        <f t="shared" si="21"/>
        <v>0</v>
      </c>
      <c r="W36" s="2"/>
      <c r="X36" s="6">
        <f t="shared" si="22"/>
        <v>-170.79999999999995</v>
      </c>
      <c r="Y36" s="2"/>
      <c r="Z36" s="7">
        <f t="shared" si="23"/>
        <v>-8.2524436026651313E-2</v>
      </c>
    </row>
    <row r="37" spans="1:26" s="26" customFormat="1" outlineLevel="1" collapsed="1" x14ac:dyDescent="0.25">
      <c r="A37" s="27"/>
      <c r="B37" s="13" t="str">
        <f>CONCATENATE("     ","General                                           ")</f>
        <v xml:space="preserve">     General                                           </v>
      </c>
      <c r="C37" s="13"/>
      <c r="D37" s="1">
        <f>SUM(OSRRefD22_4x_0)</f>
        <v>0</v>
      </c>
      <c r="E37" s="1"/>
      <c r="F37" s="5">
        <f t="shared" si="16"/>
        <v>0</v>
      </c>
      <c r="G37" s="1"/>
      <c r="H37" s="1">
        <f>SUM(OSRRefH22_4x_0)</f>
        <v>173.21</v>
      </c>
      <c r="I37" s="1"/>
      <c r="J37" s="5">
        <f t="shared" si="17"/>
        <v>0</v>
      </c>
      <c r="K37" s="1"/>
      <c r="L37" s="1">
        <f t="shared" si="18"/>
        <v>-173.21</v>
      </c>
      <c r="M37" s="1"/>
      <c r="N37" s="5">
        <f t="shared" si="19"/>
        <v>-1</v>
      </c>
      <c r="O37" s="13"/>
      <c r="P37" s="1">
        <f>SUM(OSRRefP22_4x_0)</f>
        <v>0</v>
      </c>
      <c r="Q37" s="1"/>
      <c r="R37" s="5">
        <f t="shared" si="20"/>
        <v>0</v>
      </c>
      <c r="S37" s="1"/>
      <c r="T37" s="1">
        <f>SUM(OSRRefT22_4x_0)</f>
        <v>1026.8</v>
      </c>
      <c r="U37" s="1"/>
      <c r="V37" s="5">
        <f t="shared" si="21"/>
        <v>0</v>
      </c>
      <c r="W37" s="1"/>
      <c r="X37" s="1">
        <f t="shared" si="22"/>
        <v>-1026.8</v>
      </c>
      <c r="Y37" s="1"/>
      <c r="Z37" s="5">
        <f t="shared" si="23"/>
        <v>-1</v>
      </c>
    </row>
    <row r="38" spans="1:26" s="24" customFormat="1" hidden="1" outlineLevel="2" x14ac:dyDescent="0.25">
      <c r="A38" s="25"/>
      <c r="B38" s="11" t="str">
        <f>CONCATENATE("          ", "6279", " - ", "GENERAL EXPENSE")</f>
        <v xml:space="preserve">          6279 - GENERAL EXPENSE</v>
      </c>
      <c r="C38" s="11"/>
      <c r="D38" s="6"/>
      <c r="E38" s="2"/>
      <c r="F38" s="7">
        <f t="shared" si="16"/>
        <v>0</v>
      </c>
      <c r="G38" s="2"/>
      <c r="H38" s="6">
        <v>173.21</v>
      </c>
      <c r="I38" s="2"/>
      <c r="J38" s="7">
        <f t="shared" si="17"/>
        <v>0</v>
      </c>
      <c r="K38" s="2"/>
      <c r="L38" s="6">
        <f t="shared" si="18"/>
        <v>-173.21</v>
      </c>
      <c r="M38" s="2"/>
      <c r="N38" s="7">
        <f t="shared" si="19"/>
        <v>-1</v>
      </c>
      <c r="O38" s="11"/>
      <c r="P38" s="6"/>
      <c r="Q38" s="2"/>
      <c r="R38" s="7">
        <f t="shared" si="20"/>
        <v>0</v>
      </c>
      <c r="S38" s="2"/>
      <c r="T38" s="6">
        <v>1026.8</v>
      </c>
      <c r="U38" s="2"/>
      <c r="V38" s="7">
        <f t="shared" si="21"/>
        <v>0</v>
      </c>
      <c r="W38" s="2"/>
      <c r="X38" s="6">
        <f t="shared" si="22"/>
        <v>-1026.8</v>
      </c>
      <c r="Y38" s="2"/>
      <c r="Z38" s="7">
        <f t="shared" si="23"/>
        <v>-1</v>
      </c>
    </row>
    <row r="39" spans="1:26" s="26" customFormat="1" outlineLevel="1" collapsed="1" x14ac:dyDescent="0.25">
      <c r="A39" s="27"/>
      <c r="B39" s="13" t="str">
        <f>CONCATENATE("     ","Supplies                                          ")</f>
        <v xml:space="preserve">     Supplies                                          </v>
      </c>
      <c r="C39" s="13"/>
      <c r="D39" s="1">
        <f>SUM(OSRRefD22_5x_0)</f>
        <v>0</v>
      </c>
      <c r="E39" s="1"/>
      <c r="F39" s="5">
        <f t="shared" si="16"/>
        <v>0</v>
      </c>
      <c r="G39" s="1"/>
      <c r="H39" s="1">
        <f>SUM(OSRRefH22_5x_0)</f>
        <v>102</v>
      </c>
      <c r="I39" s="1"/>
      <c r="J39" s="5">
        <f t="shared" si="17"/>
        <v>0</v>
      </c>
      <c r="K39" s="1"/>
      <c r="L39" s="1">
        <f t="shared" si="18"/>
        <v>-102</v>
      </c>
      <c r="M39" s="1"/>
      <c r="N39" s="5">
        <f t="shared" si="19"/>
        <v>-1</v>
      </c>
      <c r="O39" s="13"/>
      <c r="P39" s="1">
        <f>SUM(OSRRefP22_5x_0)</f>
        <v>0</v>
      </c>
      <c r="Q39" s="1"/>
      <c r="R39" s="5">
        <f t="shared" si="20"/>
        <v>0</v>
      </c>
      <c r="S39" s="1"/>
      <c r="T39" s="1">
        <f>SUM(OSRRefT22_5x_0)</f>
        <v>1114.1300000000001</v>
      </c>
      <c r="U39" s="1"/>
      <c r="V39" s="5">
        <f t="shared" si="21"/>
        <v>0</v>
      </c>
      <c r="W39" s="1"/>
      <c r="X39" s="1">
        <f t="shared" si="22"/>
        <v>-1114.1300000000001</v>
      </c>
      <c r="Y39" s="1"/>
      <c r="Z39" s="5">
        <f t="shared" si="23"/>
        <v>-1</v>
      </c>
    </row>
    <row r="40" spans="1:26" s="24" customFormat="1" hidden="1" outlineLevel="2" x14ac:dyDescent="0.25">
      <c r="A40" s="25"/>
      <c r="B40" s="11" t="str">
        <f>CONCATENATE("          ", "6241", " - ", "OFFICE EXPENSE")</f>
        <v xml:space="preserve">          6241 - OFFICE EXPENSE</v>
      </c>
      <c r="C40" s="11"/>
      <c r="D40" s="6"/>
      <c r="E40" s="2"/>
      <c r="F40" s="7">
        <f t="shared" si="16"/>
        <v>0</v>
      </c>
      <c r="G40" s="2"/>
      <c r="H40" s="6">
        <v>102</v>
      </c>
      <c r="I40" s="2"/>
      <c r="J40" s="7">
        <f t="shared" si="17"/>
        <v>0</v>
      </c>
      <c r="K40" s="2"/>
      <c r="L40" s="6">
        <f t="shared" si="18"/>
        <v>-102</v>
      </c>
      <c r="M40" s="2"/>
      <c r="N40" s="7">
        <f t="shared" si="19"/>
        <v>-1</v>
      </c>
      <c r="O40" s="11"/>
      <c r="P40" s="6"/>
      <c r="Q40" s="2"/>
      <c r="R40" s="7">
        <f t="shared" si="20"/>
        <v>0</v>
      </c>
      <c r="S40" s="2"/>
      <c r="T40" s="6">
        <v>767.71</v>
      </c>
      <c r="U40" s="2"/>
      <c r="V40" s="7">
        <f t="shared" si="21"/>
        <v>0</v>
      </c>
      <c r="W40" s="2"/>
      <c r="X40" s="6">
        <f t="shared" si="22"/>
        <v>-767.71</v>
      </c>
      <c r="Y40" s="2"/>
      <c r="Z40" s="7">
        <f t="shared" si="23"/>
        <v>-1</v>
      </c>
    </row>
    <row r="41" spans="1:26" s="24" customFormat="1" hidden="1" outlineLevel="2" x14ac:dyDescent="0.25">
      <c r="A41" s="25"/>
      <c r="B41" s="11" t="str">
        <f>CONCATENATE("          ", "6245", " - ", "PRINTING")</f>
        <v xml:space="preserve">          6245 - PRINTING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/>
      <c r="Q41" s="2"/>
      <c r="R41" s="7">
        <f t="shared" si="20"/>
        <v>0</v>
      </c>
      <c r="S41" s="2"/>
      <c r="T41" s="6">
        <v>346.42</v>
      </c>
      <c r="U41" s="2"/>
      <c r="V41" s="7">
        <f t="shared" si="21"/>
        <v>0</v>
      </c>
      <c r="W41" s="2"/>
      <c r="X41" s="6">
        <f t="shared" si="22"/>
        <v>-346.42</v>
      </c>
      <c r="Y41" s="2"/>
      <c r="Z41" s="7">
        <f t="shared" si="23"/>
        <v>-1</v>
      </c>
    </row>
    <row r="42" spans="1:26" s="26" customFormat="1" outlineLevel="1" collapsed="1" x14ac:dyDescent="0.25">
      <c r="A42" s="27"/>
      <c r="B42" s="13" t="str">
        <f>CONCATENATE("     ","Telephone/Data Lines                              ")</f>
        <v xml:space="preserve">     Telephone/Data Lines                              </v>
      </c>
      <c r="C42" s="13"/>
      <c r="D42" s="1">
        <f>SUM(OSRRefD22_6x_0)</f>
        <v>36.15</v>
      </c>
      <c r="E42" s="1"/>
      <c r="F42" s="5">
        <f t="shared" ref="F42:F45" si="24">IF(D$12=0,0,D42/D$12)</f>
        <v>0</v>
      </c>
      <c r="G42" s="1"/>
      <c r="H42" s="1">
        <f>SUM(OSRRefH22_6x_0)</f>
        <v>72.099999999999994</v>
      </c>
      <c r="I42" s="1"/>
      <c r="J42" s="5">
        <f t="shared" ref="J42:J45" si="25">IF(H$12=0,0,H42/H$12)</f>
        <v>0</v>
      </c>
      <c r="K42" s="1"/>
      <c r="L42" s="1">
        <f t="shared" ref="L42:L45" si="26">+D42-H42</f>
        <v>-35.949999999999996</v>
      </c>
      <c r="M42" s="1"/>
      <c r="N42" s="5">
        <f t="shared" ref="N42:N45" si="27">IF(H42=0,0,L42/H42)</f>
        <v>-0.4986130374479889</v>
      </c>
      <c r="O42" s="13"/>
      <c r="P42" s="1">
        <f>SUM(OSRRefP22_6x_0)</f>
        <v>216.15</v>
      </c>
      <c r="Q42" s="1"/>
      <c r="R42" s="5">
        <f t="shared" ref="R42:R45" si="28">IF(P$12=0,0,P42/P$12)</f>
        <v>0</v>
      </c>
      <c r="S42" s="1"/>
      <c r="T42" s="1">
        <f>SUM(OSRRefT22_6x_0)</f>
        <v>513.9</v>
      </c>
      <c r="U42" s="1"/>
      <c r="V42" s="5">
        <f t="shared" ref="V42:V45" si="29">IF(T$12=0,0,T42/T$12)</f>
        <v>0</v>
      </c>
      <c r="W42" s="1"/>
      <c r="X42" s="1">
        <f t="shared" ref="X42:X45" si="30">+P42-T42</f>
        <v>-297.75</v>
      </c>
      <c r="Y42" s="1"/>
      <c r="Z42" s="5">
        <f t="shared" ref="Z42:Z45" si="31">IF(T42=0,0,X42/T42)</f>
        <v>-0.57939287799182726</v>
      </c>
    </row>
    <row r="43" spans="1:26" s="24" customFormat="1" hidden="1" outlineLevel="2" x14ac:dyDescent="0.25">
      <c r="A43" s="25"/>
      <c r="B43" s="11" t="str">
        <f>CONCATENATE("          ", "6309", " - ", "TELEPHONE")</f>
        <v xml:space="preserve">          6309 - TELEPHONE</v>
      </c>
      <c r="C43" s="11"/>
      <c r="D43" s="6">
        <v>36.15</v>
      </c>
      <c r="E43" s="2"/>
      <c r="F43" s="7">
        <f t="shared" si="24"/>
        <v>0</v>
      </c>
      <c r="G43" s="2"/>
      <c r="H43" s="6">
        <v>72.099999999999994</v>
      </c>
      <c r="I43" s="2"/>
      <c r="J43" s="7">
        <f t="shared" si="25"/>
        <v>0</v>
      </c>
      <c r="K43" s="2"/>
      <c r="L43" s="6">
        <f t="shared" si="26"/>
        <v>-35.949999999999996</v>
      </c>
      <c r="M43" s="2"/>
      <c r="N43" s="7">
        <f t="shared" si="27"/>
        <v>-0.4986130374479889</v>
      </c>
      <c r="O43" s="11"/>
      <c r="P43" s="6">
        <v>216.15</v>
      </c>
      <c r="Q43" s="2"/>
      <c r="R43" s="7">
        <f t="shared" si="28"/>
        <v>0</v>
      </c>
      <c r="S43" s="2"/>
      <c r="T43" s="6">
        <v>513.9</v>
      </c>
      <c r="U43" s="2"/>
      <c r="V43" s="7">
        <f t="shared" si="29"/>
        <v>0</v>
      </c>
      <c r="W43" s="2"/>
      <c r="X43" s="6">
        <f t="shared" si="30"/>
        <v>-297.75</v>
      </c>
      <c r="Y43" s="2"/>
      <c r="Z43" s="7">
        <f t="shared" si="31"/>
        <v>-0.57939287799182726</v>
      </c>
    </row>
    <row r="44" spans="1:26" s="26" customFormat="1" outlineLevel="1" collapsed="1" x14ac:dyDescent="0.25">
      <c r="A44" s="27"/>
      <c r="B44" s="13" t="str">
        <f>CONCATENATE("     ","Travel                                            ")</f>
        <v xml:space="preserve">     Travel                                            </v>
      </c>
      <c r="C44" s="13"/>
      <c r="D44" s="1">
        <f>SUM(OSRRefD22_7x_0)</f>
        <v>0</v>
      </c>
      <c r="E44" s="1"/>
      <c r="F44" s="5">
        <f t="shared" si="24"/>
        <v>0</v>
      </c>
      <c r="G44" s="1"/>
      <c r="H44" s="1">
        <f>SUM(OSRRefH22_7x_0)</f>
        <v>0</v>
      </c>
      <c r="I44" s="1"/>
      <c r="J44" s="5">
        <f t="shared" si="25"/>
        <v>0</v>
      </c>
      <c r="K44" s="1"/>
      <c r="L44" s="1">
        <f t="shared" si="26"/>
        <v>0</v>
      </c>
      <c r="M44" s="1"/>
      <c r="N44" s="5">
        <f t="shared" si="27"/>
        <v>0</v>
      </c>
      <c r="O44" s="13"/>
      <c r="P44" s="1">
        <f>SUM(OSRRefP22_7x_0)</f>
        <v>0</v>
      </c>
      <c r="Q44" s="1"/>
      <c r="R44" s="5">
        <f t="shared" si="28"/>
        <v>0</v>
      </c>
      <c r="S44" s="1"/>
      <c r="T44" s="1">
        <f>SUM(OSRRefT22_7x_0)</f>
        <v>118.32</v>
      </c>
      <c r="U44" s="1"/>
      <c r="V44" s="5">
        <f t="shared" si="29"/>
        <v>0</v>
      </c>
      <c r="W44" s="1"/>
      <c r="X44" s="1">
        <f t="shared" si="30"/>
        <v>-118.32</v>
      </c>
      <c r="Y44" s="1"/>
      <c r="Z44" s="5">
        <f t="shared" si="31"/>
        <v>-1</v>
      </c>
    </row>
    <row r="45" spans="1:26" s="24" customFormat="1" hidden="1" outlineLevel="2" x14ac:dyDescent="0.25">
      <c r="A45" s="25"/>
      <c r="B45" s="11" t="str">
        <f>CONCATENATE("          ", "6292", " - ", "TRAVEL/CONFERENCE")</f>
        <v xml:space="preserve">          6292 - TRAVEL/CONFERENCE</v>
      </c>
      <c r="C45" s="11"/>
      <c r="D45" s="6"/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1"/>
      <c r="P45" s="6"/>
      <c r="Q45" s="2"/>
      <c r="R45" s="7">
        <f t="shared" si="28"/>
        <v>0</v>
      </c>
      <c r="S45" s="2"/>
      <c r="T45" s="6">
        <v>118.32</v>
      </c>
      <c r="U45" s="2"/>
      <c r="V45" s="7">
        <f t="shared" si="29"/>
        <v>0</v>
      </c>
      <c r="W45" s="2"/>
      <c r="X45" s="6">
        <f t="shared" si="30"/>
        <v>-118.32</v>
      </c>
      <c r="Y45" s="2"/>
      <c r="Z45" s="7">
        <f t="shared" si="31"/>
        <v>-1</v>
      </c>
    </row>
    <row r="46" spans="1:26" s="61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9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8" t="s">
        <v>3</v>
      </c>
      <c r="C49" s="28"/>
      <c r="D49" s="20">
        <f>+D16-D18+D47</f>
        <v>-10403.06</v>
      </c>
      <c r="E49" s="14"/>
      <c r="F49" s="22">
        <f>IF(D$12=0,0,D49/D$12)</f>
        <v>0</v>
      </c>
      <c r="G49" s="14"/>
      <c r="H49" s="20">
        <f>+H16-H18+H47</f>
        <v>-8096.0500000000011</v>
      </c>
      <c r="I49" s="14"/>
      <c r="J49" s="22">
        <f>IF(H$12=0,0,H49/H$12)</f>
        <v>0</v>
      </c>
      <c r="K49" s="15"/>
      <c r="L49" s="20">
        <f>+D49-H49</f>
        <v>-2307.0099999999984</v>
      </c>
      <c r="M49" s="15"/>
      <c r="N49" s="22">
        <f>IF(H49=0,0,L49/H49)</f>
        <v>0.28495500892410475</v>
      </c>
      <c r="O49" s="29"/>
      <c r="P49" s="20">
        <f>+P16-P18+P47</f>
        <v>-62645.850000000006</v>
      </c>
      <c r="Q49" s="14"/>
      <c r="R49" s="22">
        <f>IF(P$12=0,0,P49/P$12)</f>
        <v>0</v>
      </c>
      <c r="S49" s="14"/>
      <c r="T49" s="20">
        <f>+T16-T18+T47</f>
        <v>-51817.57</v>
      </c>
      <c r="U49" s="14"/>
      <c r="V49" s="22">
        <f>IF(T$12=0,0,T49/T$12)</f>
        <v>0</v>
      </c>
      <c r="W49" s="15"/>
      <c r="X49" s="20">
        <f>+P49-T49</f>
        <v>-10828.280000000006</v>
      </c>
      <c r="Y49" s="15"/>
      <c r="Z49" s="22">
        <f>IF(T49=0,0,X49/T49)</f>
        <v>0.20896927432143203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1"/>
      <c r="B51" s="10" t="s">
        <v>13</v>
      </c>
      <c r="C51" s="10"/>
      <c r="D51" s="4"/>
      <c r="E51" s="4"/>
      <c r="F51" s="12">
        <f>IF(D$12=0,0,D51/D$12)</f>
        <v>0</v>
      </c>
      <c r="G51" s="4"/>
      <c r="H51" s="4"/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/>
      <c r="Q51" s="4"/>
      <c r="R51" s="12">
        <f>IF(P$12=0,0,P51/P$12)</f>
        <v>0</v>
      </c>
      <c r="S51" s="4"/>
      <c r="T51" s="4"/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8" t="s">
        <v>4</v>
      </c>
      <c r="C53" s="28"/>
      <c r="D53" s="30">
        <f>+D49-D51</f>
        <v>-10403.06</v>
      </c>
      <c r="E53" s="14"/>
      <c r="F53" s="36">
        <f>IF(D$12=0,0,D53/D$12)</f>
        <v>0</v>
      </c>
      <c r="G53" s="14"/>
      <c r="H53" s="30">
        <f>+H49-H51</f>
        <v>-8096.0500000000011</v>
      </c>
      <c r="I53" s="14"/>
      <c r="J53" s="36">
        <f>IF(H$12=0,0,H53/H$12)</f>
        <v>0</v>
      </c>
      <c r="K53" s="15"/>
      <c r="L53" s="30">
        <f>D53-H53</f>
        <v>-2307.0099999999984</v>
      </c>
      <c r="M53" s="15"/>
      <c r="N53" s="36">
        <f>IF(H53=0,0,L53/H53)</f>
        <v>0.28495500892410475</v>
      </c>
      <c r="O53" s="29"/>
      <c r="P53" s="30">
        <f>+P49-P51</f>
        <v>-62645.850000000006</v>
      </c>
      <c r="Q53" s="14"/>
      <c r="R53" s="36">
        <f>IF(P$12=0,0,P53/P$12)</f>
        <v>0</v>
      </c>
      <c r="S53" s="14"/>
      <c r="T53" s="30">
        <f>+T49-T51</f>
        <v>-51817.57</v>
      </c>
      <c r="U53" s="14"/>
      <c r="V53" s="36">
        <f>IF(T$12=0,0,T53/T$12)</f>
        <v>0</v>
      </c>
      <c r="W53" s="15"/>
      <c r="X53" s="30">
        <f>P53-T53</f>
        <v>-10828.280000000006</v>
      </c>
      <c r="Y53" s="15"/>
      <c r="Z53" s="36">
        <f>IF(T53=0,0,X53/T53)</f>
        <v>0.20896927432143203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8" t="s">
        <v>5</v>
      </c>
      <c r="C56" s="28"/>
      <c r="D56" s="32">
        <f>SUM(D53:D55)</f>
        <v>-10403.06</v>
      </c>
      <c r="E56" s="14"/>
      <c r="F56" s="31">
        <f>IF(D$12=0,0,D56/D$12)</f>
        <v>0</v>
      </c>
      <c r="G56" s="14"/>
      <c r="H56" s="32">
        <f>SUM(H53:H55)</f>
        <v>-8096.0500000000011</v>
      </c>
      <c r="I56" s="14"/>
      <c r="J56" s="31">
        <f>IF(H$12=0,0,H56/H$12)</f>
        <v>0</v>
      </c>
      <c r="K56" s="15"/>
      <c r="L56" s="32">
        <f>+D56-H56</f>
        <v>-2307.0099999999984</v>
      </c>
      <c r="M56" s="15"/>
      <c r="N56" s="31">
        <f>IF(H56=0,0,L56/H56)</f>
        <v>0.28495500892410475</v>
      </c>
      <c r="O56" s="29"/>
      <c r="P56" s="32">
        <f>SUM(P53:P55)</f>
        <v>-62645.850000000006</v>
      </c>
      <c r="Q56" s="14"/>
      <c r="R56" s="31">
        <f>IF(P$12=0,0,P56/P$12)</f>
        <v>0</v>
      </c>
      <c r="S56" s="14"/>
      <c r="T56" s="32">
        <f>SUM(T53:T55)</f>
        <v>-51817.57</v>
      </c>
      <c r="U56" s="14"/>
      <c r="V56" s="31">
        <f>IF(T$12=0,0,T56/T$12)</f>
        <v>0</v>
      </c>
      <c r="W56" s="15"/>
      <c r="X56" s="32">
        <f>+P56-T56</f>
        <v>-10828.280000000006</v>
      </c>
      <c r="Y56" s="15"/>
      <c r="Z56" s="31">
        <f>IF(T56=0,0,X56/T56)</f>
        <v>0.20896927432143203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A58" s="9"/>
      <c r="B58" s="62">
        <v>44238.496092557871</v>
      </c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59" t="s">
        <v>313</v>
      </c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56"/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8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307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1178823.73</v>
      </c>
      <c r="E12" s="4"/>
      <c r="F12" s="12"/>
      <c r="G12" s="4"/>
      <c r="H12" s="4">
        <f>SUM(OSRRefH13x_0)</f>
        <v>2354621.2199999997</v>
      </c>
      <c r="I12" s="4"/>
      <c r="J12" s="12"/>
      <c r="K12" s="4"/>
      <c r="L12" s="4">
        <f t="shared" ref="L12:L108" si="0">+D12-H12</f>
        <v>-1175797.4899999998</v>
      </c>
      <c r="M12" s="4"/>
      <c r="N12" s="12">
        <f t="shared" ref="N12:N108" si="1">IF(H12=0,0,L12/H12)</f>
        <v>-0.49935738284054021</v>
      </c>
      <c r="O12" s="10"/>
      <c r="P12" s="4">
        <f>SUM(OSRRefP13x_0)</f>
        <v>3880024.8599999994</v>
      </c>
      <c r="Q12" s="4"/>
      <c r="R12" s="12"/>
      <c r="S12" s="4"/>
      <c r="T12" s="4">
        <f>SUM(OSRRefT13x_0)</f>
        <v>9496598.349999994</v>
      </c>
      <c r="U12" s="4"/>
      <c r="V12" s="12"/>
      <c r="W12" s="4"/>
      <c r="X12" s="4">
        <f t="shared" ref="X12:X108" si="2">+P12-T12</f>
        <v>-5616573.4899999946</v>
      </c>
      <c r="Y12" s="4"/>
      <c r="Z12" s="12">
        <f t="shared" ref="Z12:Z108" si="3">IF(T12=0,0,X12/T12)</f>
        <v>-0.59143003452388798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-12178.94</f>
        <v>-12178.94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-12178.94</v>
      </c>
      <c r="M13" s="2"/>
      <c r="N13" s="19">
        <f t="shared" si="1"/>
        <v>0</v>
      </c>
      <c r="O13" s="11"/>
      <c r="P13" s="2">
        <f>-101008.03</f>
        <v>-101008.03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-101008.03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--459430.32</f>
        <v>459430.32</v>
      </c>
      <c r="E14" s="2"/>
      <c r="F14" s="19"/>
      <c r="G14" s="2"/>
      <c r="H14" s="2">
        <f>--745942.38</f>
        <v>745942.38</v>
      </c>
      <c r="I14" s="2"/>
      <c r="J14" s="19"/>
      <c r="K14" s="2"/>
      <c r="L14" s="2">
        <f t="shared" si="0"/>
        <v>-286512.06</v>
      </c>
      <c r="M14" s="2"/>
      <c r="N14" s="19">
        <f t="shared" si="1"/>
        <v>-0.38409409048457605</v>
      </c>
      <c r="O14" s="11"/>
      <c r="P14" s="2">
        <f>--1190096.34</f>
        <v>1190096.3400000001</v>
      </c>
      <c r="Q14" s="2"/>
      <c r="R14" s="19"/>
      <c r="S14" s="2"/>
      <c r="T14" s="2">
        <f>--2285976.76</f>
        <v>2285976.7599999998</v>
      </c>
      <c r="U14" s="2"/>
      <c r="V14" s="19"/>
      <c r="W14" s="2"/>
      <c r="X14" s="2">
        <f t="shared" si="2"/>
        <v>-1095880.4199999997</v>
      </c>
      <c r="Y14" s="2"/>
      <c r="Z14" s="19">
        <f t="shared" si="3"/>
        <v>-0.47939263389536813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--238947.44</f>
        <v>238947.44</v>
      </c>
      <c r="E15" s="2"/>
      <c r="F15" s="19"/>
      <c r="G15" s="2"/>
      <c r="H15" s="2">
        <f>--512319.44</f>
        <v>512319.44</v>
      </c>
      <c r="I15" s="2"/>
      <c r="J15" s="19"/>
      <c r="K15" s="2"/>
      <c r="L15" s="2">
        <f t="shared" si="0"/>
        <v>-273372</v>
      </c>
      <c r="M15" s="2"/>
      <c r="N15" s="19">
        <f t="shared" si="1"/>
        <v>-0.53359677313825915</v>
      </c>
      <c r="O15" s="11"/>
      <c r="P15" s="2">
        <f>--562401.5</f>
        <v>562401.5</v>
      </c>
      <c r="Q15" s="2"/>
      <c r="R15" s="19"/>
      <c r="S15" s="2"/>
      <c r="T15" s="2">
        <f>--1193414.41</f>
        <v>1193414.4099999999</v>
      </c>
      <c r="U15" s="2"/>
      <c r="V15" s="19"/>
      <c r="W15" s="2"/>
      <c r="X15" s="2">
        <f t="shared" si="2"/>
        <v>-631012.90999999992</v>
      </c>
      <c r="Y15" s="2"/>
      <c r="Z15" s="19">
        <f t="shared" si="3"/>
        <v>-0.52874584445481931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--7222.26</f>
        <v>7222.26</v>
      </c>
      <c r="E16" s="2"/>
      <c r="F16" s="19"/>
      <c r="G16" s="2"/>
      <c r="H16" s="2">
        <f>--15841.34</f>
        <v>15841.34</v>
      </c>
      <c r="I16" s="2"/>
      <c r="J16" s="19"/>
      <c r="K16" s="2"/>
      <c r="L16" s="2">
        <f t="shared" si="0"/>
        <v>-8619.08</v>
      </c>
      <c r="M16" s="2"/>
      <c r="N16" s="19">
        <f t="shared" si="1"/>
        <v>-0.54408781075338319</v>
      </c>
      <c r="O16" s="11"/>
      <c r="P16" s="2">
        <f>--17887.89</f>
        <v>17887.89</v>
      </c>
      <c r="Q16" s="2"/>
      <c r="R16" s="19"/>
      <c r="S16" s="2"/>
      <c r="T16" s="2">
        <f>--32272.01</f>
        <v>32272.01</v>
      </c>
      <c r="U16" s="2"/>
      <c r="V16" s="19"/>
      <c r="W16" s="2"/>
      <c r="X16" s="2">
        <f t="shared" si="2"/>
        <v>-14384.119999999999</v>
      </c>
      <c r="Y16" s="2"/>
      <c r="Z16" s="19">
        <f t="shared" si="3"/>
        <v>-0.44571503293411224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--200.1</f>
        <v>200.1</v>
      </c>
      <c r="E17" s="2"/>
      <c r="F17" s="19"/>
      <c r="G17" s="2"/>
      <c r="H17" s="2">
        <f>--10921.53</f>
        <v>10921.53</v>
      </c>
      <c r="I17" s="2"/>
      <c r="J17" s="19"/>
      <c r="K17" s="2"/>
      <c r="L17" s="2">
        <f t="shared" si="0"/>
        <v>-10721.43</v>
      </c>
      <c r="M17" s="2"/>
      <c r="N17" s="19">
        <f t="shared" si="1"/>
        <v>-0.98167839121441769</v>
      </c>
      <c r="O17" s="11"/>
      <c r="P17" s="2">
        <f>--2659.66</f>
        <v>2659.66</v>
      </c>
      <c r="Q17" s="2"/>
      <c r="R17" s="19"/>
      <c r="S17" s="2"/>
      <c r="T17" s="2">
        <f>--41201.41</f>
        <v>41201.410000000003</v>
      </c>
      <c r="U17" s="2"/>
      <c r="V17" s="19"/>
      <c r="W17" s="2"/>
      <c r="X17" s="2">
        <f t="shared" si="2"/>
        <v>-38541.75</v>
      </c>
      <c r="Y17" s="2"/>
      <c r="Z17" s="19">
        <f t="shared" si="3"/>
        <v>-0.93544735483567176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--13.22</f>
        <v>13.22</v>
      </c>
      <c r="U18" s="2"/>
      <c r="V18" s="19"/>
      <c r="W18" s="2"/>
      <c r="X18" s="2">
        <f t="shared" si="2"/>
        <v>-13.22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--346.55</f>
        <v>346.55</v>
      </c>
      <c r="E19" s="2"/>
      <c r="F19" s="19"/>
      <c r="G19" s="2"/>
      <c r="H19" s="2">
        <f>--229.57</f>
        <v>229.57</v>
      </c>
      <c r="I19" s="2"/>
      <c r="J19" s="19"/>
      <c r="K19" s="2"/>
      <c r="L19" s="2">
        <f t="shared" si="0"/>
        <v>116.98000000000002</v>
      </c>
      <c r="M19" s="2"/>
      <c r="N19" s="19">
        <f t="shared" si="1"/>
        <v>0.50956135383543155</v>
      </c>
      <c r="O19" s="11"/>
      <c r="P19" s="2">
        <f>--930.52</f>
        <v>930.52</v>
      </c>
      <c r="Q19" s="2"/>
      <c r="R19" s="19"/>
      <c r="S19" s="2"/>
      <c r="T19" s="2">
        <f>--1509.89</f>
        <v>1509.89</v>
      </c>
      <c r="U19" s="2"/>
      <c r="V19" s="19"/>
      <c r="W19" s="2"/>
      <c r="X19" s="2">
        <f t="shared" si="2"/>
        <v>-579.37000000000012</v>
      </c>
      <c r="Y19" s="2"/>
      <c r="Z19" s="19">
        <f t="shared" si="3"/>
        <v>-0.38371669459364594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--3.98</f>
        <v>3.98</v>
      </c>
      <c r="E20" s="2"/>
      <c r="F20" s="19"/>
      <c r="G20" s="2"/>
      <c r="H20" s="2">
        <f>--107.48</f>
        <v>107.48</v>
      </c>
      <c r="I20" s="2"/>
      <c r="J20" s="19"/>
      <c r="K20" s="2"/>
      <c r="L20" s="2">
        <f t="shared" si="0"/>
        <v>-103.5</v>
      </c>
      <c r="M20" s="2"/>
      <c r="N20" s="19">
        <f t="shared" si="1"/>
        <v>-0.96296985485671749</v>
      </c>
      <c r="O20" s="11"/>
      <c r="P20" s="2">
        <f>--380.04</f>
        <v>380.04</v>
      </c>
      <c r="Q20" s="2"/>
      <c r="R20" s="19"/>
      <c r="S20" s="2"/>
      <c r="T20" s="2">
        <f>--1100.17</f>
        <v>1100.17</v>
      </c>
      <c r="U20" s="2"/>
      <c r="V20" s="19"/>
      <c r="W20" s="2"/>
      <c r="X20" s="2">
        <f t="shared" si="2"/>
        <v>-720.13000000000011</v>
      </c>
      <c r="Y20" s="2"/>
      <c r="Z20" s="19">
        <f t="shared" si="3"/>
        <v>-0.65456247670814516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--12.98</f>
        <v>12.98</v>
      </c>
      <c r="I21" s="2"/>
      <c r="J21" s="19"/>
      <c r="K21" s="2"/>
      <c r="L21" s="2">
        <f t="shared" si="0"/>
        <v>-12.98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--255.12</f>
        <v>255.12</v>
      </c>
      <c r="U21" s="2"/>
      <c r="V21" s="19"/>
      <c r="W21" s="2"/>
      <c r="X21" s="2">
        <f t="shared" si="2"/>
        <v>-255.12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--100.3</f>
        <v>100.3</v>
      </c>
      <c r="E22" s="2"/>
      <c r="F22" s="19"/>
      <c r="G22" s="2"/>
      <c r="H22" s="2">
        <f>--737.51</f>
        <v>737.51</v>
      </c>
      <c r="I22" s="2"/>
      <c r="J22" s="19"/>
      <c r="K22" s="2"/>
      <c r="L22" s="2">
        <f t="shared" si="0"/>
        <v>-637.21</v>
      </c>
      <c r="M22" s="2"/>
      <c r="N22" s="19">
        <f t="shared" si="1"/>
        <v>-0.86400184404279268</v>
      </c>
      <c r="O22" s="11"/>
      <c r="P22" s="2">
        <f>--291.14</f>
        <v>291.14</v>
      </c>
      <c r="Q22" s="2"/>
      <c r="R22" s="19"/>
      <c r="S22" s="2"/>
      <c r="T22" s="2">
        <f>--3627.9</f>
        <v>3627.9</v>
      </c>
      <c r="U22" s="2"/>
      <c r="V22" s="19"/>
      <c r="W22" s="2"/>
      <c r="X22" s="2">
        <f t="shared" si="2"/>
        <v>-3336.76</v>
      </c>
      <c r="Y22" s="2"/>
      <c r="Z22" s="19">
        <f t="shared" si="3"/>
        <v>-0.91974971746740541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ref="D23:D24" si="4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5">0</f>
        <v>0</v>
      </c>
      <c r="Q23" s="2"/>
      <c r="R23" s="19"/>
      <c r="S23" s="2"/>
      <c r="T23" s="2">
        <f>--33.88</f>
        <v>33.880000000000003</v>
      </c>
      <c r="U23" s="2"/>
      <c r="V23" s="19"/>
      <c r="W23" s="2"/>
      <c r="X23" s="2">
        <f t="shared" si="2"/>
        <v>-33.880000000000003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4"/>
        <v>0</v>
      </c>
      <c r="E24" s="2"/>
      <c r="F24" s="19"/>
      <c r="G24" s="2"/>
      <c r="H24" s="2">
        <f>--5307.35</f>
        <v>5307.35</v>
      </c>
      <c r="I24" s="2"/>
      <c r="J24" s="19"/>
      <c r="K24" s="2"/>
      <c r="L24" s="2">
        <f t="shared" si="0"/>
        <v>-5307.35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--40440.45</f>
        <v>40440.449999999997</v>
      </c>
      <c r="U24" s="2"/>
      <c r="V24" s="19"/>
      <c r="W24" s="2"/>
      <c r="X24" s="2">
        <f t="shared" si="2"/>
        <v>-40440.449999999997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--34.62</f>
        <v>34.619999999999997</v>
      </c>
      <c r="E25" s="2"/>
      <c r="F25" s="19"/>
      <c r="G25" s="2"/>
      <c r="H25" s="2">
        <f>--13761.32</f>
        <v>13761.32</v>
      </c>
      <c r="I25" s="2"/>
      <c r="J25" s="19"/>
      <c r="K25" s="2"/>
      <c r="L25" s="2">
        <f t="shared" si="0"/>
        <v>-13726.699999999999</v>
      </c>
      <c r="M25" s="2"/>
      <c r="N25" s="19">
        <f t="shared" si="1"/>
        <v>-0.99748425296410514</v>
      </c>
      <c r="O25" s="11"/>
      <c r="P25" s="2">
        <f>--407</f>
        <v>407</v>
      </c>
      <c r="Q25" s="2"/>
      <c r="R25" s="19"/>
      <c r="S25" s="2"/>
      <c r="T25" s="2">
        <f>--63689.49</f>
        <v>63689.49</v>
      </c>
      <c r="U25" s="2"/>
      <c r="V25" s="19"/>
      <c r="W25" s="2"/>
      <c r="X25" s="2">
        <f t="shared" si="2"/>
        <v>-63282.49</v>
      </c>
      <c r="Y25" s="2"/>
      <c r="Z25" s="19">
        <f t="shared" si="3"/>
        <v>-0.99360962067681813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--8701.79</f>
        <v>8701.7900000000009</v>
      </c>
      <c r="E26" s="2"/>
      <c r="F26" s="19"/>
      <c r="G26" s="2"/>
      <c r="H26" s="2">
        <f>--66289.85</f>
        <v>66289.850000000006</v>
      </c>
      <c r="I26" s="2"/>
      <c r="J26" s="19"/>
      <c r="K26" s="2"/>
      <c r="L26" s="2">
        <f t="shared" si="0"/>
        <v>-57588.060000000005</v>
      </c>
      <c r="M26" s="2"/>
      <c r="N26" s="19">
        <f t="shared" si="1"/>
        <v>-0.86873118584519349</v>
      </c>
      <c r="O26" s="11"/>
      <c r="P26" s="2">
        <f>--48676.22</f>
        <v>48676.22</v>
      </c>
      <c r="Q26" s="2"/>
      <c r="R26" s="19"/>
      <c r="S26" s="2"/>
      <c r="T26" s="2">
        <f>--231647.32</f>
        <v>231647.32</v>
      </c>
      <c r="U26" s="2"/>
      <c r="V26" s="19"/>
      <c r="W26" s="2"/>
      <c r="X26" s="2">
        <f t="shared" si="2"/>
        <v>-182971.1</v>
      </c>
      <c r="Y26" s="2"/>
      <c r="Z26" s="19">
        <f t="shared" si="3"/>
        <v>-0.78986927196049583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--21773.01</f>
        <v>21773.01</v>
      </c>
      <c r="E27" s="2"/>
      <c r="F27" s="19"/>
      <c r="G27" s="2"/>
      <c r="H27" s="2">
        <f>--43035.21</f>
        <v>43035.21</v>
      </c>
      <c r="I27" s="2"/>
      <c r="J27" s="19"/>
      <c r="K27" s="2"/>
      <c r="L27" s="2">
        <f t="shared" si="0"/>
        <v>-21262.2</v>
      </c>
      <c r="M27" s="2"/>
      <c r="N27" s="19">
        <f t="shared" si="1"/>
        <v>-0.49406520846534735</v>
      </c>
      <c r="O27" s="11"/>
      <c r="P27" s="2">
        <f>--38951.82</f>
        <v>38951.82</v>
      </c>
      <c r="Q27" s="2"/>
      <c r="R27" s="19"/>
      <c r="S27" s="2"/>
      <c r="T27" s="2">
        <f>--232672.78</f>
        <v>232672.78</v>
      </c>
      <c r="U27" s="2"/>
      <c r="V27" s="19"/>
      <c r="W27" s="2"/>
      <c r="X27" s="2">
        <f t="shared" si="2"/>
        <v>-193720.95999999999</v>
      </c>
      <c r="Y27" s="2"/>
      <c r="Z27" s="19">
        <f t="shared" si="3"/>
        <v>-0.83258969957723461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--477.59</f>
        <v>477.59</v>
      </c>
      <c r="E28" s="2"/>
      <c r="F28" s="19"/>
      <c r="G28" s="2"/>
      <c r="H28" s="2">
        <f>--43.03</f>
        <v>43.03</v>
      </c>
      <c r="I28" s="2"/>
      <c r="J28" s="19"/>
      <c r="K28" s="2"/>
      <c r="L28" s="2">
        <f t="shared" si="0"/>
        <v>434.55999999999995</v>
      </c>
      <c r="M28" s="2"/>
      <c r="N28" s="19">
        <f t="shared" si="1"/>
        <v>10.099000697188007</v>
      </c>
      <c r="O28" s="11"/>
      <c r="P28" s="2">
        <f>--2587.24</f>
        <v>2587.2399999999998</v>
      </c>
      <c r="Q28" s="2"/>
      <c r="R28" s="19"/>
      <c r="S28" s="2"/>
      <c r="T28" s="2">
        <f>--349.97</f>
        <v>349.97</v>
      </c>
      <c r="U28" s="2"/>
      <c r="V28" s="19"/>
      <c r="W28" s="2"/>
      <c r="X28" s="2">
        <f t="shared" si="2"/>
        <v>2237.2699999999995</v>
      </c>
      <c r="Y28" s="2"/>
      <c r="Z28" s="19">
        <f t="shared" si="3"/>
        <v>6.392747949824269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6">0</f>
        <v>0</v>
      </c>
      <c r="E29" s="2"/>
      <c r="F29" s="19"/>
      <c r="G29" s="2"/>
      <c r="H29" s="2">
        <f>--21699.65</f>
        <v>21699.65</v>
      </c>
      <c r="I29" s="2"/>
      <c r="J29" s="19"/>
      <c r="K29" s="2"/>
      <c r="L29" s="2">
        <f t="shared" si="0"/>
        <v>-21699.65</v>
      </c>
      <c r="M29" s="2"/>
      <c r="N29" s="19">
        <f t="shared" si="1"/>
        <v>-1</v>
      </c>
      <c r="O29" s="11"/>
      <c r="P29" s="2">
        <f>--444.59</f>
        <v>444.59</v>
      </c>
      <c r="Q29" s="2"/>
      <c r="R29" s="19"/>
      <c r="S29" s="2"/>
      <c r="T29" s="2">
        <f>--212514.87</f>
        <v>212514.87</v>
      </c>
      <c r="U29" s="2"/>
      <c r="V29" s="19"/>
      <c r="W29" s="2"/>
      <c r="X29" s="2">
        <f t="shared" si="2"/>
        <v>-212070.28</v>
      </c>
      <c r="Y29" s="2"/>
      <c r="Z29" s="19">
        <f t="shared" si="3"/>
        <v>-0.99790795815841027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>
        <f>--15.13</f>
        <v>15.13</v>
      </c>
      <c r="I30" s="2"/>
      <c r="J30" s="19"/>
      <c r="K30" s="2"/>
      <c r="L30" s="2">
        <f t="shared" si="0"/>
        <v>-15.13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f>--146.15</f>
        <v>146.15</v>
      </c>
      <c r="U30" s="2"/>
      <c r="V30" s="19"/>
      <c r="W30" s="2"/>
      <c r="X30" s="2">
        <f t="shared" si="2"/>
        <v>-146.15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>
        <f>--781.82</f>
        <v>781.82</v>
      </c>
      <c r="I31" s="2"/>
      <c r="J31" s="19"/>
      <c r="K31" s="2"/>
      <c r="L31" s="2">
        <f t="shared" si="0"/>
        <v>-781.82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--8255.25</f>
        <v>8255.25</v>
      </c>
      <c r="U31" s="2"/>
      <c r="V31" s="19"/>
      <c r="W31" s="2"/>
      <c r="X31" s="2">
        <f t="shared" si="2"/>
        <v>-8248.4699999999993</v>
      </c>
      <c r="Y31" s="2"/>
      <c r="Z31" s="19">
        <f t="shared" si="3"/>
        <v>-0.9991787044607976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>
        <f>--171.4</f>
        <v>171.4</v>
      </c>
      <c r="I32" s="2"/>
      <c r="J32" s="19"/>
      <c r="K32" s="2"/>
      <c r="L32" s="2">
        <f t="shared" si="0"/>
        <v>-171.4</v>
      </c>
      <c r="M32" s="2"/>
      <c r="N32" s="19">
        <f t="shared" si="1"/>
        <v>-1</v>
      </c>
      <c r="O32" s="11"/>
      <c r="P32" s="2">
        <f t="shared" ref="P32:P33" si="7">0</f>
        <v>0</v>
      </c>
      <c r="Q32" s="2"/>
      <c r="R32" s="19"/>
      <c r="S32" s="2"/>
      <c r="T32" s="2">
        <f>--1438.49</f>
        <v>1438.49</v>
      </c>
      <c r="U32" s="2"/>
      <c r="V32" s="19"/>
      <c r="W32" s="2"/>
      <c r="X32" s="2">
        <f t="shared" si="2"/>
        <v>-1438.49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>
        <f>--17.84</f>
        <v>17.84</v>
      </c>
      <c r="I33" s="2"/>
      <c r="J33" s="19"/>
      <c r="K33" s="2"/>
      <c r="L33" s="2">
        <f t="shared" si="0"/>
        <v>-17.84</v>
      </c>
      <c r="M33" s="2"/>
      <c r="N33" s="19">
        <f t="shared" si="1"/>
        <v>-1</v>
      </c>
      <c r="O33" s="11"/>
      <c r="P33" s="2">
        <f t="shared" si="7"/>
        <v>0</v>
      </c>
      <c r="Q33" s="2"/>
      <c r="R33" s="19"/>
      <c r="S33" s="2"/>
      <c r="T33" s="2">
        <f>--414.1</f>
        <v>414.1</v>
      </c>
      <c r="U33" s="2"/>
      <c r="V33" s="19"/>
      <c r="W33" s="2"/>
      <c r="X33" s="2">
        <f t="shared" si="2"/>
        <v>-414.1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--89991.91</f>
        <v>89991.91</v>
      </c>
      <c r="E34" s="2"/>
      <c r="F34" s="19"/>
      <c r="G34" s="2"/>
      <c r="H34" s="2">
        <f>--192827.81</f>
        <v>192827.81</v>
      </c>
      <c r="I34" s="2"/>
      <c r="J34" s="19"/>
      <c r="K34" s="2"/>
      <c r="L34" s="2">
        <f t="shared" si="0"/>
        <v>-102835.9</v>
      </c>
      <c r="M34" s="2"/>
      <c r="N34" s="19">
        <f t="shared" si="1"/>
        <v>-0.53330429879383057</v>
      </c>
      <c r="O34" s="11"/>
      <c r="P34" s="2">
        <f>--598102.9</f>
        <v>598102.9</v>
      </c>
      <c r="Q34" s="2"/>
      <c r="R34" s="19"/>
      <c r="S34" s="2"/>
      <c r="T34" s="2">
        <f>--1484618.99</f>
        <v>1484618.99</v>
      </c>
      <c r="U34" s="2"/>
      <c r="V34" s="19"/>
      <c r="W34" s="2"/>
      <c r="X34" s="2">
        <f t="shared" si="2"/>
        <v>-886516.09</v>
      </c>
      <c r="Y34" s="2"/>
      <c r="Z34" s="19">
        <f t="shared" si="3"/>
        <v>-0.5971337400176997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--51480.95</f>
        <v>51480.95</v>
      </c>
      <c r="E35" s="2"/>
      <c r="F35" s="19"/>
      <c r="G35" s="2"/>
      <c r="H35" s="2">
        <f>--104441.67</f>
        <v>104441.67</v>
      </c>
      <c r="I35" s="2"/>
      <c r="J35" s="19"/>
      <c r="K35" s="2"/>
      <c r="L35" s="2">
        <f t="shared" si="0"/>
        <v>-52960.72</v>
      </c>
      <c r="M35" s="2"/>
      <c r="N35" s="19">
        <f t="shared" si="1"/>
        <v>-0.50708419350245937</v>
      </c>
      <c r="O35" s="11"/>
      <c r="P35" s="2">
        <f>--249099.27</f>
        <v>249099.27</v>
      </c>
      <c r="Q35" s="2"/>
      <c r="R35" s="19"/>
      <c r="S35" s="2"/>
      <c r="T35" s="2">
        <f>--400568.48</f>
        <v>400568.48</v>
      </c>
      <c r="U35" s="2"/>
      <c r="V35" s="19"/>
      <c r="W35" s="2"/>
      <c r="X35" s="2">
        <f t="shared" si="2"/>
        <v>-151469.21</v>
      </c>
      <c r="Y35" s="2"/>
      <c r="Z35" s="19">
        <f t="shared" si="3"/>
        <v>-0.37813561865876216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--9303.18</f>
        <v>9303.18</v>
      </c>
      <c r="E36" s="2"/>
      <c r="F36" s="19"/>
      <c r="G36" s="2"/>
      <c r="H36" s="2">
        <f>--33043.12</f>
        <v>33043.120000000003</v>
      </c>
      <c r="I36" s="2"/>
      <c r="J36" s="19"/>
      <c r="K36" s="2"/>
      <c r="L36" s="2">
        <f t="shared" si="0"/>
        <v>-23739.940000000002</v>
      </c>
      <c r="M36" s="2"/>
      <c r="N36" s="19">
        <f t="shared" si="1"/>
        <v>-0.71845334217834156</v>
      </c>
      <c r="O36" s="11"/>
      <c r="P36" s="2">
        <f>--74200.88</f>
        <v>74200.88</v>
      </c>
      <c r="Q36" s="2"/>
      <c r="R36" s="19"/>
      <c r="S36" s="2"/>
      <c r="T36" s="2">
        <f>--232995.22</f>
        <v>232995.22</v>
      </c>
      <c r="U36" s="2"/>
      <c r="V36" s="19"/>
      <c r="W36" s="2"/>
      <c r="X36" s="2">
        <f t="shared" si="2"/>
        <v>-158794.34</v>
      </c>
      <c r="Y36" s="2"/>
      <c r="Z36" s="19">
        <f t="shared" si="3"/>
        <v>-0.68153475423229715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--24845.66</f>
        <v>24845.66</v>
      </c>
      <c r="E37" s="2"/>
      <c r="F37" s="19"/>
      <c r="G37" s="2"/>
      <c r="H37" s="2">
        <f>--8310.25</f>
        <v>8310.25</v>
      </c>
      <c r="I37" s="2"/>
      <c r="J37" s="19"/>
      <c r="K37" s="2"/>
      <c r="L37" s="2">
        <f t="shared" si="0"/>
        <v>16535.41</v>
      </c>
      <c r="M37" s="2"/>
      <c r="N37" s="19">
        <f t="shared" si="1"/>
        <v>1.9897608375199303</v>
      </c>
      <c r="O37" s="11"/>
      <c r="P37" s="2">
        <f>--117954.81</f>
        <v>117954.81</v>
      </c>
      <c r="Q37" s="2"/>
      <c r="R37" s="19"/>
      <c r="S37" s="2"/>
      <c r="T37" s="2">
        <f>--22630.71</f>
        <v>22630.71</v>
      </c>
      <c r="U37" s="2"/>
      <c r="V37" s="19"/>
      <c r="W37" s="2"/>
      <c r="X37" s="2">
        <f t="shared" si="2"/>
        <v>95324.1</v>
      </c>
      <c r="Y37" s="2"/>
      <c r="Z37" s="19">
        <f t="shared" si="3"/>
        <v>4.2121568435104342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--1261.95</f>
        <v>1261.95</v>
      </c>
      <c r="E38" s="2"/>
      <c r="F38" s="19"/>
      <c r="G38" s="2"/>
      <c r="H38" s="2">
        <f>--6349.96</f>
        <v>6349.96</v>
      </c>
      <c r="I38" s="2"/>
      <c r="J38" s="19"/>
      <c r="K38" s="2"/>
      <c r="L38" s="2">
        <f t="shared" si="0"/>
        <v>-5088.01</v>
      </c>
      <c r="M38" s="2"/>
      <c r="N38" s="19">
        <f t="shared" si="1"/>
        <v>-0.80126646467064366</v>
      </c>
      <c r="O38" s="11"/>
      <c r="P38" s="2">
        <f>--27535.62</f>
        <v>27535.62</v>
      </c>
      <c r="Q38" s="2"/>
      <c r="R38" s="19"/>
      <c r="S38" s="2"/>
      <c r="T38" s="2">
        <f>--53086.16</f>
        <v>53086.16</v>
      </c>
      <c r="U38" s="2"/>
      <c r="V38" s="19"/>
      <c r="W38" s="2"/>
      <c r="X38" s="2">
        <f t="shared" si="2"/>
        <v>-25550.540000000005</v>
      </c>
      <c r="Y38" s="2"/>
      <c r="Z38" s="19">
        <f t="shared" si="3"/>
        <v>-0.48130322479531396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--3388.52</f>
        <v>3388.52</v>
      </c>
      <c r="E39" s="2"/>
      <c r="F39" s="19"/>
      <c r="G39" s="2"/>
      <c r="H39" s="2">
        <f>--8732.21</f>
        <v>8732.2099999999991</v>
      </c>
      <c r="I39" s="2"/>
      <c r="J39" s="19"/>
      <c r="K39" s="2"/>
      <c r="L39" s="2">
        <f t="shared" si="0"/>
        <v>-5343.6899999999987</v>
      </c>
      <c r="M39" s="2"/>
      <c r="N39" s="19">
        <f t="shared" si="1"/>
        <v>-0.6119516136235843</v>
      </c>
      <c r="O39" s="11"/>
      <c r="P39" s="2">
        <f>--125449.67</f>
        <v>125449.67</v>
      </c>
      <c r="Q39" s="2"/>
      <c r="R39" s="19"/>
      <c r="S39" s="2"/>
      <c r="T39" s="2">
        <f>--69738.03</f>
        <v>69738.03</v>
      </c>
      <c r="U39" s="2"/>
      <c r="V39" s="19"/>
      <c r="W39" s="2"/>
      <c r="X39" s="2">
        <f t="shared" si="2"/>
        <v>55711.64</v>
      </c>
      <c r="Y39" s="2"/>
      <c r="Z39" s="19">
        <f t="shared" si="3"/>
        <v>0.79887028641330993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7" si="8">0</f>
        <v>0</v>
      </c>
      <c r="E40" s="2"/>
      <c r="F40" s="19"/>
      <c r="G40" s="2"/>
      <c r="H40" s="2">
        <f>--183.1</f>
        <v>183.1</v>
      </c>
      <c r="I40" s="2"/>
      <c r="J40" s="19"/>
      <c r="K40" s="2"/>
      <c r="L40" s="2">
        <f t="shared" si="0"/>
        <v>-183.1</v>
      </c>
      <c r="M40" s="2"/>
      <c r="N40" s="19">
        <f t="shared" si="1"/>
        <v>-1</v>
      </c>
      <c r="O40" s="11"/>
      <c r="P40" s="2">
        <f t="shared" ref="P40:P41" si="9">0</f>
        <v>0</v>
      </c>
      <c r="Q40" s="2"/>
      <c r="R40" s="19"/>
      <c r="S40" s="2"/>
      <c r="T40" s="2">
        <f>--1977.04</f>
        <v>1977.04</v>
      </c>
      <c r="U40" s="2"/>
      <c r="V40" s="19"/>
      <c r="W40" s="2"/>
      <c r="X40" s="2">
        <f t="shared" si="2"/>
        <v>-1977.04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8"/>
        <v>0</v>
      </c>
      <c r="E41" s="2"/>
      <c r="F41" s="19"/>
      <c r="G41" s="2"/>
      <c r="H41" s="2">
        <f>--8565.55</f>
        <v>8565.5499999999993</v>
      </c>
      <c r="I41" s="2"/>
      <c r="J41" s="19"/>
      <c r="K41" s="2"/>
      <c r="L41" s="2">
        <f t="shared" si="0"/>
        <v>-8565.5499999999993</v>
      </c>
      <c r="M41" s="2"/>
      <c r="N41" s="19">
        <f t="shared" si="1"/>
        <v>-1</v>
      </c>
      <c r="O41" s="11"/>
      <c r="P41" s="2">
        <f t="shared" si="9"/>
        <v>0</v>
      </c>
      <c r="Q41" s="2"/>
      <c r="R41" s="19"/>
      <c r="S41" s="2"/>
      <c r="T41" s="2">
        <f>--116936.71</f>
        <v>116936.71</v>
      </c>
      <c r="U41" s="2"/>
      <c r="V41" s="19"/>
      <c r="W41" s="2"/>
      <c r="X41" s="2">
        <f t="shared" si="2"/>
        <v>-116936.71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 t="shared" si="8"/>
        <v>0</v>
      </c>
      <c r="E42" s="2"/>
      <c r="F42" s="19"/>
      <c r="G42" s="2"/>
      <c r="H42" s="2">
        <f>--266.85</f>
        <v>266.85000000000002</v>
      </c>
      <c r="I42" s="2"/>
      <c r="J42" s="19"/>
      <c r="K42" s="2"/>
      <c r="L42" s="2">
        <f t="shared" si="0"/>
        <v>-266.85000000000002</v>
      </c>
      <c r="M42" s="2"/>
      <c r="N42" s="19">
        <f t="shared" si="1"/>
        <v>-1</v>
      </c>
      <c r="O42" s="11"/>
      <c r="P42" s="2">
        <f>--71.95</f>
        <v>71.95</v>
      </c>
      <c r="Q42" s="2"/>
      <c r="R42" s="19"/>
      <c r="S42" s="2"/>
      <c r="T42" s="2">
        <f>--2801.28</f>
        <v>2801.28</v>
      </c>
      <c r="U42" s="2"/>
      <c r="V42" s="19"/>
      <c r="W42" s="2"/>
      <c r="X42" s="2">
        <f t="shared" si="2"/>
        <v>-2729.3300000000004</v>
      </c>
      <c r="Y42" s="2"/>
      <c r="Z42" s="19">
        <f t="shared" si="3"/>
        <v>-0.97431531299977159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 t="shared" si="8"/>
        <v>0</v>
      </c>
      <c r="E43" s="2"/>
      <c r="F43" s="19"/>
      <c r="G43" s="2"/>
      <c r="H43" s="2">
        <f>--38</f>
        <v>38</v>
      </c>
      <c r="I43" s="2"/>
      <c r="J43" s="19"/>
      <c r="K43" s="2"/>
      <c r="L43" s="2">
        <f t="shared" si="0"/>
        <v>-38</v>
      </c>
      <c r="M43" s="2"/>
      <c r="N43" s="19">
        <f t="shared" si="1"/>
        <v>-1</v>
      </c>
      <c r="O43" s="11"/>
      <c r="P43" s="2">
        <f>0</f>
        <v>0</v>
      </c>
      <c r="Q43" s="2"/>
      <c r="R43" s="19"/>
      <c r="S43" s="2"/>
      <c r="T43" s="2">
        <f>--219</f>
        <v>219</v>
      </c>
      <c r="U43" s="2"/>
      <c r="V43" s="19"/>
      <c r="W43" s="2"/>
      <c r="X43" s="2">
        <f t="shared" si="2"/>
        <v>-219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 t="shared" si="8"/>
        <v>0</v>
      </c>
      <c r="E44" s="2"/>
      <c r="F44" s="19"/>
      <c r="G44" s="2"/>
      <c r="H44" s="2">
        <f>--149.91</f>
        <v>149.91</v>
      </c>
      <c r="I44" s="2"/>
      <c r="J44" s="19"/>
      <c r="K44" s="2"/>
      <c r="L44" s="2">
        <f t="shared" si="0"/>
        <v>-149.91</v>
      </c>
      <c r="M44" s="2"/>
      <c r="N44" s="19">
        <f t="shared" si="1"/>
        <v>-1</v>
      </c>
      <c r="O44" s="11"/>
      <c r="P44" s="2">
        <f>--9.99</f>
        <v>9.99</v>
      </c>
      <c r="Q44" s="2"/>
      <c r="R44" s="19"/>
      <c r="S44" s="2"/>
      <c r="T44" s="2">
        <f>--849.39</f>
        <v>849.39</v>
      </c>
      <c r="U44" s="2"/>
      <c r="V44" s="19"/>
      <c r="W44" s="2"/>
      <c r="X44" s="2">
        <f t="shared" si="2"/>
        <v>-839.4</v>
      </c>
      <c r="Y44" s="2"/>
      <c r="Z44" s="19">
        <f t="shared" si="3"/>
        <v>-0.98823861830254656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 t="shared" si="8"/>
        <v>0</v>
      </c>
      <c r="E45" s="2"/>
      <c r="F45" s="19"/>
      <c r="G45" s="2"/>
      <c r="H45" s="2">
        <f>--76.99</f>
        <v>76.989999999999995</v>
      </c>
      <c r="I45" s="2"/>
      <c r="J45" s="19"/>
      <c r="K45" s="2"/>
      <c r="L45" s="2">
        <f t="shared" si="0"/>
        <v>-76.989999999999995</v>
      </c>
      <c r="M45" s="2"/>
      <c r="N45" s="19">
        <f t="shared" si="1"/>
        <v>-1</v>
      </c>
      <c r="O45" s="11"/>
      <c r="P45" s="2">
        <f t="shared" ref="P45:P47" si="10">0</f>
        <v>0</v>
      </c>
      <c r="Q45" s="2"/>
      <c r="R45" s="19"/>
      <c r="S45" s="2"/>
      <c r="T45" s="2">
        <f>--775.76</f>
        <v>775.76</v>
      </c>
      <c r="U45" s="2"/>
      <c r="V45" s="19"/>
      <c r="W45" s="2"/>
      <c r="X45" s="2">
        <f t="shared" si="2"/>
        <v>-775.76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 t="shared" si="8"/>
        <v>0</v>
      </c>
      <c r="E46" s="2"/>
      <c r="F46" s="19"/>
      <c r="G46" s="2"/>
      <c r="H46" s="2">
        <f>0</f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si="10"/>
        <v>0</v>
      </c>
      <c r="Q46" s="2"/>
      <c r="R46" s="19"/>
      <c r="S46" s="2"/>
      <c r="T46" s="2">
        <f>--7659.37</f>
        <v>7659.37</v>
      </c>
      <c r="U46" s="2"/>
      <c r="V46" s="19"/>
      <c r="W46" s="2"/>
      <c r="X46" s="2">
        <f t="shared" si="2"/>
        <v>-7659.37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 t="shared" si="8"/>
        <v>0</v>
      </c>
      <c r="E47" s="2"/>
      <c r="F47" s="19"/>
      <c r="G47" s="2"/>
      <c r="H47" s="2">
        <f>--11.93</f>
        <v>11.93</v>
      </c>
      <c r="I47" s="2"/>
      <c r="J47" s="19"/>
      <c r="K47" s="2"/>
      <c r="L47" s="2">
        <f t="shared" si="0"/>
        <v>-11.93</v>
      </c>
      <c r="M47" s="2"/>
      <c r="N47" s="19">
        <f t="shared" si="1"/>
        <v>-1</v>
      </c>
      <c r="O47" s="11"/>
      <c r="P47" s="2">
        <f t="shared" si="10"/>
        <v>0</v>
      </c>
      <c r="Q47" s="2"/>
      <c r="R47" s="19"/>
      <c r="S47" s="2"/>
      <c r="T47" s="2">
        <f>--309.26</f>
        <v>309.26</v>
      </c>
      <c r="U47" s="2"/>
      <c r="V47" s="19"/>
      <c r="W47" s="2"/>
      <c r="X47" s="2">
        <f t="shared" si="2"/>
        <v>-309.26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--112968.19</f>
        <v>112968.19</v>
      </c>
      <c r="E48" s="2"/>
      <c r="F48" s="19"/>
      <c r="G48" s="2"/>
      <c r="H48" s="2">
        <f>--214291.61</f>
        <v>214291.61</v>
      </c>
      <c r="I48" s="2"/>
      <c r="J48" s="19"/>
      <c r="K48" s="2"/>
      <c r="L48" s="2">
        <f t="shared" si="0"/>
        <v>-101323.41999999998</v>
      </c>
      <c r="M48" s="2"/>
      <c r="N48" s="19">
        <f t="shared" si="1"/>
        <v>-0.47282961754778918</v>
      </c>
      <c r="O48" s="11"/>
      <c r="P48" s="2">
        <f>--278555.86</f>
        <v>278555.86</v>
      </c>
      <c r="Q48" s="2"/>
      <c r="R48" s="19"/>
      <c r="S48" s="2"/>
      <c r="T48" s="2">
        <f>--550220.16</f>
        <v>550220.16</v>
      </c>
      <c r="U48" s="2"/>
      <c r="V48" s="19"/>
      <c r="W48" s="2"/>
      <c r="X48" s="2">
        <f t="shared" si="2"/>
        <v>-271664.30000000005</v>
      </c>
      <c r="Y48" s="2"/>
      <c r="Z48" s="19">
        <f t="shared" si="3"/>
        <v>-0.4937374522954594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--22084.7</f>
        <v>22084.7</v>
      </c>
      <c r="E49" s="2"/>
      <c r="F49" s="19"/>
      <c r="G49" s="2"/>
      <c r="H49" s="2">
        <f>--37117.66</f>
        <v>37117.660000000003</v>
      </c>
      <c r="I49" s="2"/>
      <c r="J49" s="19"/>
      <c r="K49" s="2"/>
      <c r="L49" s="2">
        <f t="shared" si="0"/>
        <v>-15032.960000000003</v>
      </c>
      <c r="M49" s="2"/>
      <c r="N49" s="19">
        <f t="shared" si="1"/>
        <v>-0.40500828985447901</v>
      </c>
      <c r="O49" s="11"/>
      <c r="P49" s="2">
        <f>--104225.63</f>
        <v>104225.63</v>
      </c>
      <c r="Q49" s="2"/>
      <c r="R49" s="19"/>
      <c r="S49" s="2"/>
      <c r="T49" s="2">
        <f>--132405.23</f>
        <v>132405.23000000001</v>
      </c>
      <c r="U49" s="2"/>
      <c r="V49" s="19"/>
      <c r="W49" s="2"/>
      <c r="X49" s="2">
        <f t="shared" si="2"/>
        <v>-28179.600000000006</v>
      </c>
      <c r="Y49" s="2"/>
      <c r="Z49" s="19">
        <f t="shared" si="3"/>
        <v>-0.21282845096073624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--9330.01</f>
        <v>9330.01</v>
      </c>
      <c r="E50" s="2"/>
      <c r="F50" s="19"/>
      <c r="G50" s="2"/>
      <c r="H50" s="2">
        <f>--28414.21</f>
        <v>28414.21</v>
      </c>
      <c r="I50" s="2"/>
      <c r="J50" s="19"/>
      <c r="K50" s="2"/>
      <c r="L50" s="2">
        <f t="shared" si="0"/>
        <v>-19084.199999999997</v>
      </c>
      <c r="M50" s="2"/>
      <c r="N50" s="19">
        <f t="shared" si="1"/>
        <v>-0.67164281533781856</v>
      </c>
      <c r="O50" s="11"/>
      <c r="P50" s="2">
        <f>--42961.32</f>
        <v>42961.32</v>
      </c>
      <c r="Q50" s="2"/>
      <c r="R50" s="19"/>
      <c r="S50" s="2"/>
      <c r="T50" s="2">
        <f>--66616.8</f>
        <v>66616.800000000003</v>
      </c>
      <c r="U50" s="2"/>
      <c r="V50" s="19"/>
      <c r="W50" s="2"/>
      <c r="X50" s="2">
        <f t="shared" si="2"/>
        <v>-23655.480000000003</v>
      </c>
      <c r="Y50" s="2"/>
      <c r="Z50" s="19">
        <f t="shared" si="3"/>
        <v>-0.35509781316424688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--853.98</f>
        <v>853.98</v>
      </c>
      <c r="E51" s="2"/>
      <c r="F51" s="19"/>
      <c r="G51" s="2"/>
      <c r="H51" s="2">
        <f>--334.99</f>
        <v>334.99</v>
      </c>
      <c r="I51" s="2"/>
      <c r="J51" s="19"/>
      <c r="K51" s="2"/>
      <c r="L51" s="2">
        <f t="shared" si="0"/>
        <v>518.99</v>
      </c>
      <c r="M51" s="2"/>
      <c r="N51" s="19">
        <f t="shared" si="1"/>
        <v>1.5492701274664915</v>
      </c>
      <c r="O51" s="11"/>
      <c r="P51" s="2">
        <f>--1138.95</f>
        <v>1138.95</v>
      </c>
      <c r="Q51" s="2"/>
      <c r="R51" s="19"/>
      <c r="S51" s="2"/>
      <c r="T51" s="2">
        <f>--664.97</f>
        <v>664.97</v>
      </c>
      <c r="U51" s="2"/>
      <c r="V51" s="19"/>
      <c r="W51" s="2"/>
      <c r="X51" s="2">
        <f t="shared" si="2"/>
        <v>473.98</v>
      </c>
      <c r="Y51" s="2"/>
      <c r="Z51" s="19">
        <f t="shared" si="3"/>
        <v>0.71278403537001667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--161977.12</f>
        <v>161977.12</v>
      </c>
      <c r="E52" s="2"/>
      <c r="F52" s="19"/>
      <c r="G52" s="2"/>
      <c r="H52" s="2">
        <f>--169179.13</f>
        <v>169179.13</v>
      </c>
      <c r="I52" s="2"/>
      <c r="J52" s="19"/>
      <c r="K52" s="2"/>
      <c r="L52" s="2">
        <f t="shared" si="0"/>
        <v>-7202.0100000000093</v>
      </c>
      <c r="M52" s="2"/>
      <c r="N52" s="19">
        <f t="shared" si="1"/>
        <v>-4.2570321764865499E-2</v>
      </c>
      <c r="O52" s="11"/>
      <c r="P52" s="2">
        <f>--458168.13</f>
        <v>458168.13</v>
      </c>
      <c r="Q52" s="2"/>
      <c r="R52" s="19"/>
      <c r="S52" s="2"/>
      <c r="T52" s="2">
        <f>--502067.96</f>
        <v>502067.96</v>
      </c>
      <c r="U52" s="2"/>
      <c r="V52" s="19"/>
      <c r="W52" s="2"/>
      <c r="X52" s="2">
        <f t="shared" si="2"/>
        <v>-43899.830000000016</v>
      </c>
      <c r="Y52" s="2"/>
      <c r="Z52" s="19">
        <f t="shared" si="3"/>
        <v>-8.743802333054676E-2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0</f>
        <v>0</v>
      </c>
      <c r="E53" s="2"/>
      <c r="F53" s="19"/>
      <c r="G53" s="2"/>
      <c r="H53" s="2">
        <f>--4684.53</f>
        <v>4684.53</v>
      </c>
      <c r="I53" s="2"/>
      <c r="J53" s="19"/>
      <c r="K53" s="2"/>
      <c r="L53" s="2">
        <f t="shared" si="0"/>
        <v>-4684.53</v>
      </c>
      <c r="M53" s="2"/>
      <c r="N53" s="19">
        <f t="shared" si="1"/>
        <v>-1</v>
      </c>
      <c r="O53" s="11"/>
      <c r="P53" s="2">
        <f>0</f>
        <v>0</v>
      </c>
      <c r="Q53" s="2"/>
      <c r="R53" s="19"/>
      <c r="S53" s="2"/>
      <c r="T53" s="2">
        <f>--12708.5</f>
        <v>12708.5</v>
      </c>
      <c r="U53" s="2"/>
      <c r="V53" s="19"/>
      <c r="W53" s="2"/>
      <c r="X53" s="2">
        <f t="shared" si="2"/>
        <v>-12708.5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--4661.75</f>
        <v>4661.75</v>
      </c>
      <c r="E54" s="2"/>
      <c r="F54" s="19"/>
      <c r="G54" s="2"/>
      <c r="H54" s="2">
        <f t="shared" ref="H54:H55" si="11">0</f>
        <v>0</v>
      </c>
      <c r="I54" s="2"/>
      <c r="J54" s="19"/>
      <c r="K54" s="2"/>
      <c r="L54" s="2">
        <f t="shared" si="0"/>
        <v>4661.75</v>
      </c>
      <c r="M54" s="2"/>
      <c r="N54" s="19">
        <f t="shared" si="1"/>
        <v>0</v>
      </c>
      <c r="O54" s="11"/>
      <c r="P54" s="2">
        <f>--6989.25</f>
        <v>6989.25</v>
      </c>
      <c r="Q54" s="2"/>
      <c r="R54" s="19"/>
      <c r="S54" s="2"/>
      <c r="T54" s="2">
        <f>--1146.72</f>
        <v>1146.72</v>
      </c>
      <c r="U54" s="2"/>
      <c r="V54" s="19"/>
      <c r="W54" s="2"/>
      <c r="X54" s="2">
        <f t="shared" si="2"/>
        <v>5842.53</v>
      </c>
      <c r="Y54" s="2"/>
      <c r="Z54" s="19">
        <f t="shared" si="3"/>
        <v>5.0949926747593128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>--538.3</f>
        <v>538.29999999999995</v>
      </c>
      <c r="E55" s="2"/>
      <c r="F55" s="19"/>
      <c r="G55" s="2"/>
      <c r="H55" s="2">
        <f t="shared" si="11"/>
        <v>0</v>
      </c>
      <c r="I55" s="2"/>
      <c r="J55" s="19"/>
      <c r="K55" s="2"/>
      <c r="L55" s="2">
        <f t="shared" si="0"/>
        <v>538.29999999999995</v>
      </c>
      <c r="M55" s="2"/>
      <c r="N55" s="19">
        <f t="shared" si="1"/>
        <v>0</v>
      </c>
      <c r="O55" s="11"/>
      <c r="P55" s="2">
        <f>--771.73</f>
        <v>771.73</v>
      </c>
      <c r="Q55" s="2"/>
      <c r="R55" s="19"/>
      <c r="S55" s="2"/>
      <c r="T55" s="2">
        <f>--41.91</f>
        <v>41.91</v>
      </c>
      <c r="U55" s="2"/>
      <c r="V55" s="19"/>
      <c r="W55" s="2"/>
      <c r="X55" s="2">
        <f t="shared" si="2"/>
        <v>729.82</v>
      </c>
      <c r="Y55" s="2"/>
      <c r="Z55" s="19">
        <f t="shared" si="3"/>
        <v>17.413982343116203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 t="shared" ref="D56:D57" si="12">0</f>
        <v>0</v>
      </c>
      <c r="E56" s="2"/>
      <c r="F56" s="19"/>
      <c r="G56" s="2"/>
      <c r="H56" s="2">
        <f>--98.5</f>
        <v>98.5</v>
      </c>
      <c r="I56" s="2"/>
      <c r="J56" s="19"/>
      <c r="K56" s="2"/>
      <c r="L56" s="2">
        <f t="shared" si="0"/>
        <v>-98.5</v>
      </c>
      <c r="M56" s="2"/>
      <c r="N56" s="19">
        <f t="shared" si="1"/>
        <v>-1</v>
      </c>
      <c r="O56" s="11"/>
      <c r="P56" s="2">
        <f>0</f>
        <v>0</v>
      </c>
      <c r="Q56" s="2"/>
      <c r="R56" s="19"/>
      <c r="S56" s="2"/>
      <c r="T56" s="2">
        <f>--222.68</f>
        <v>222.68</v>
      </c>
      <c r="U56" s="2"/>
      <c r="V56" s="19"/>
      <c r="W56" s="2"/>
      <c r="X56" s="2">
        <f t="shared" si="2"/>
        <v>-222.68</v>
      </c>
      <c r="Y56" s="2"/>
      <c r="Z56" s="19">
        <f t="shared" si="3"/>
        <v>-1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 t="shared" si="12"/>
        <v>0</v>
      </c>
      <c r="E57" s="2"/>
      <c r="F57" s="19"/>
      <c r="G57" s="2"/>
      <c r="H57" s="2">
        <f>--1047.53</f>
        <v>1047.53</v>
      </c>
      <c r="I57" s="2"/>
      <c r="J57" s="19"/>
      <c r="K57" s="2"/>
      <c r="L57" s="2">
        <f t="shared" si="0"/>
        <v>-1047.53</v>
      </c>
      <c r="M57" s="2"/>
      <c r="N57" s="19">
        <f t="shared" si="1"/>
        <v>-1</v>
      </c>
      <c r="O57" s="11"/>
      <c r="P57" s="2">
        <f>--52.68</f>
        <v>52.68</v>
      </c>
      <c r="Q57" s="2"/>
      <c r="R57" s="19"/>
      <c r="S57" s="2"/>
      <c r="T57" s="2">
        <f>--2556.64</f>
        <v>2556.64</v>
      </c>
      <c r="U57" s="2"/>
      <c r="V57" s="19"/>
      <c r="W57" s="2"/>
      <c r="X57" s="2">
        <f t="shared" si="2"/>
        <v>-2503.96</v>
      </c>
      <c r="Y57" s="2"/>
      <c r="Z57" s="19">
        <f t="shared" si="3"/>
        <v>-0.97939483071531386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--2539.06</f>
        <v>2539.06</v>
      </c>
      <c r="E58" s="2"/>
      <c r="F58" s="19"/>
      <c r="G58" s="2"/>
      <c r="H58" s="2">
        <f>--1531.2</f>
        <v>1531.2</v>
      </c>
      <c r="I58" s="2"/>
      <c r="J58" s="19"/>
      <c r="K58" s="2"/>
      <c r="L58" s="2">
        <f t="shared" si="0"/>
        <v>1007.8599999999999</v>
      </c>
      <c r="M58" s="2"/>
      <c r="N58" s="19">
        <f t="shared" si="1"/>
        <v>0.65821577847439905</v>
      </c>
      <c r="O58" s="11"/>
      <c r="P58" s="2">
        <f>--5745.17</f>
        <v>5745.17</v>
      </c>
      <c r="Q58" s="2"/>
      <c r="R58" s="19"/>
      <c r="S58" s="2"/>
      <c r="T58" s="2">
        <f>--4134.6</f>
        <v>4134.6000000000004</v>
      </c>
      <c r="U58" s="2"/>
      <c r="V58" s="19"/>
      <c r="W58" s="2"/>
      <c r="X58" s="2">
        <f t="shared" si="2"/>
        <v>1610.5699999999997</v>
      </c>
      <c r="Y58" s="2"/>
      <c r="Z58" s="19">
        <f t="shared" si="3"/>
        <v>0.38953465873361381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--4.72</f>
        <v>4.72</v>
      </c>
      <c r="E59" s="2"/>
      <c r="F59" s="19"/>
      <c r="G59" s="2"/>
      <c r="H59" s="2">
        <f>--182.3</f>
        <v>182.3</v>
      </c>
      <c r="I59" s="2"/>
      <c r="J59" s="19"/>
      <c r="K59" s="2"/>
      <c r="L59" s="2">
        <f t="shared" si="0"/>
        <v>-177.58</v>
      </c>
      <c r="M59" s="2"/>
      <c r="N59" s="19">
        <f t="shared" si="1"/>
        <v>-0.97410861217772904</v>
      </c>
      <c r="O59" s="11"/>
      <c r="P59" s="2">
        <f>--29.5</f>
        <v>29.5</v>
      </c>
      <c r="Q59" s="2"/>
      <c r="R59" s="19"/>
      <c r="S59" s="2"/>
      <c r="T59" s="2">
        <f>--531.02</f>
        <v>531.02</v>
      </c>
      <c r="U59" s="2"/>
      <c r="V59" s="19"/>
      <c r="W59" s="2"/>
      <c r="X59" s="2">
        <f t="shared" si="2"/>
        <v>-501.52</v>
      </c>
      <c r="Y59" s="2"/>
      <c r="Z59" s="19">
        <f t="shared" si="3"/>
        <v>-0.94444653685360247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--1098.12</f>
        <v>1098.1199999999999</v>
      </c>
      <c r="E60" s="2"/>
      <c r="F60" s="19"/>
      <c r="G60" s="2"/>
      <c r="H60" s="2">
        <f>--3944.61</f>
        <v>3944.61</v>
      </c>
      <c r="I60" s="2"/>
      <c r="J60" s="19"/>
      <c r="K60" s="2"/>
      <c r="L60" s="2">
        <f t="shared" si="0"/>
        <v>-2846.4900000000002</v>
      </c>
      <c r="M60" s="2"/>
      <c r="N60" s="19">
        <f t="shared" si="1"/>
        <v>-0.72161506460714753</v>
      </c>
      <c r="O60" s="11"/>
      <c r="P60" s="2">
        <f>--8640.27</f>
        <v>8640.27</v>
      </c>
      <c r="Q60" s="2"/>
      <c r="R60" s="19"/>
      <c r="S60" s="2"/>
      <c r="T60" s="2">
        <f>--43030.34</f>
        <v>43030.34</v>
      </c>
      <c r="U60" s="2"/>
      <c r="V60" s="19"/>
      <c r="W60" s="2"/>
      <c r="X60" s="2">
        <f t="shared" si="2"/>
        <v>-34390.069999999992</v>
      </c>
      <c r="Y60" s="2"/>
      <c r="Z60" s="19">
        <f t="shared" si="3"/>
        <v>-0.79920516547161824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 t="shared" ref="D61:D65" si="13">0</f>
        <v>0</v>
      </c>
      <c r="E61" s="2"/>
      <c r="F61" s="19"/>
      <c r="G61" s="2"/>
      <c r="H61" s="2">
        <f>--92164.81</f>
        <v>92164.81</v>
      </c>
      <c r="I61" s="2"/>
      <c r="J61" s="19"/>
      <c r="K61" s="2"/>
      <c r="L61" s="2">
        <f t="shared" si="0"/>
        <v>-92164.81</v>
      </c>
      <c r="M61" s="2"/>
      <c r="N61" s="19">
        <f t="shared" si="1"/>
        <v>-1</v>
      </c>
      <c r="O61" s="11"/>
      <c r="P61" s="2">
        <f>--2054.37</f>
        <v>2054.37</v>
      </c>
      <c r="Q61" s="2"/>
      <c r="R61" s="19"/>
      <c r="S61" s="2"/>
      <c r="T61" s="2">
        <f>--842731.73</f>
        <v>842731.73</v>
      </c>
      <c r="U61" s="2"/>
      <c r="V61" s="19"/>
      <c r="W61" s="2"/>
      <c r="X61" s="2">
        <f t="shared" si="2"/>
        <v>-840677.36</v>
      </c>
      <c r="Y61" s="2"/>
      <c r="Z61" s="19">
        <f t="shared" si="3"/>
        <v>-0.99756224913947411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 t="shared" si="13"/>
        <v>0</v>
      </c>
      <c r="E62" s="2"/>
      <c r="F62" s="19"/>
      <c r="G62" s="2"/>
      <c r="H62" s="2">
        <f>--1437.99</f>
        <v>1437.99</v>
      </c>
      <c r="I62" s="2"/>
      <c r="J62" s="19"/>
      <c r="K62" s="2"/>
      <c r="L62" s="2">
        <f t="shared" si="0"/>
        <v>-1437.99</v>
      </c>
      <c r="M62" s="2"/>
      <c r="N62" s="19">
        <f t="shared" si="1"/>
        <v>-1</v>
      </c>
      <c r="O62" s="11"/>
      <c r="P62" s="2">
        <f>--80.71</f>
        <v>80.709999999999994</v>
      </c>
      <c r="Q62" s="2"/>
      <c r="R62" s="19"/>
      <c r="S62" s="2"/>
      <c r="T62" s="2">
        <f>--13559.77</f>
        <v>13559.77</v>
      </c>
      <c r="U62" s="2"/>
      <c r="V62" s="19"/>
      <c r="W62" s="2"/>
      <c r="X62" s="2">
        <f t="shared" si="2"/>
        <v>-13479.060000000001</v>
      </c>
      <c r="Y62" s="2"/>
      <c r="Z62" s="19">
        <f t="shared" si="3"/>
        <v>-0.99404783414467957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 t="shared" si="13"/>
        <v>0</v>
      </c>
      <c r="E63" s="2"/>
      <c r="F63" s="19"/>
      <c r="G63" s="2"/>
      <c r="H63" s="2">
        <f>--8.02</f>
        <v>8.02</v>
      </c>
      <c r="I63" s="2"/>
      <c r="J63" s="19"/>
      <c r="K63" s="2"/>
      <c r="L63" s="2">
        <f t="shared" si="0"/>
        <v>-8.02</v>
      </c>
      <c r="M63" s="2"/>
      <c r="N63" s="19">
        <f t="shared" si="1"/>
        <v>-1</v>
      </c>
      <c r="O63" s="11"/>
      <c r="P63" s="2">
        <f>--45.53</f>
        <v>45.53</v>
      </c>
      <c r="Q63" s="2"/>
      <c r="R63" s="19"/>
      <c r="S63" s="2"/>
      <c r="T63" s="2">
        <f>--8.41</f>
        <v>8.41</v>
      </c>
      <c r="U63" s="2"/>
      <c r="V63" s="19"/>
      <c r="W63" s="2"/>
      <c r="X63" s="2">
        <f t="shared" si="2"/>
        <v>37.120000000000005</v>
      </c>
      <c r="Y63" s="2"/>
      <c r="Z63" s="19">
        <f t="shared" si="3"/>
        <v>4.4137931034482767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 t="shared" si="13"/>
        <v>0</v>
      </c>
      <c r="E64" s="2"/>
      <c r="F64" s="19"/>
      <c r="G64" s="2"/>
      <c r="H64" s="2">
        <f>--21.54</f>
        <v>21.54</v>
      </c>
      <c r="I64" s="2"/>
      <c r="J64" s="19"/>
      <c r="K64" s="2"/>
      <c r="L64" s="2">
        <f t="shared" si="0"/>
        <v>-21.54</v>
      </c>
      <c r="M64" s="2"/>
      <c r="N64" s="19">
        <f t="shared" si="1"/>
        <v>-1</v>
      </c>
      <c r="O64" s="11"/>
      <c r="P64" s="2">
        <f>0</f>
        <v>0</v>
      </c>
      <c r="Q64" s="2"/>
      <c r="R64" s="19"/>
      <c r="S64" s="2"/>
      <c r="T64" s="2">
        <f>--139.86</f>
        <v>139.86000000000001</v>
      </c>
      <c r="U64" s="2"/>
      <c r="V64" s="19"/>
      <c r="W64" s="2"/>
      <c r="X64" s="2">
        <f t="shared" si="2"/>
        <v>-139.86000000000001</v>
      </c>
      <c r="Y64" s="2"/>
      <c r="Z64" s="19">
        <f t="shared" si="3"/>
        <v>-1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 t="shared" si="13"/>
        <v>0</v>
      </c>
      <c r="E65" s="2"/>
      <c r="F65" s="19"/>
      <c r="G65" s="2"/>
      <c r="H65" s="2">
        <f>--768.57</f>
        <v>768.57</v>
      </c>
      <c r="I65" s="2"/>
      <c r="J65" s="19"/>
      <c r="K65" s="2"/>
      <c r="L65" s="2">
        <f t="shared" si="0"/>
        <v>-768.57</v>
      </c>
      <c r="M65" s="2"/>
      <c r="N65" s="19">
        <f t="shared" si="1"/>
        <v>-1</v>
      </c>
      <c r="O65" s="11"/>
      <c r="P65" s="2">
        <f>--68.25</f>
        <v>68.25</v>
      </c>
      <c r="Q65" s="2"/>
      <c r="R65" s="19"/>
      <c r="S65" s="2"/>
      <c r="T65" s="2">
        <f>--7831.74</f>
        <v>7831.74</v>
      </c>
      <c r="U65" s="2"/>
      <c r="V65" s="19"/>
      <c r="W65" s="2"/>
      <c r="X65" s="2">
        <f t="shared" si="2"/>
        <v>-7763.49</v>
      </c>
      <c r="Y65" s="2"/>
      <c r="Z65" s="19">
        <f t="shared" si="3"/>
        <v>-0.99128546146833274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--9206.45</f>
        <v>9206.4500000000007</v>
      </c>
      <c r="E66" s="2"/>
      <c r="F66" s="19"/>
      <c r="G66" s="2"/>
      <c r="H66" s="2">
        <f>--3758.83</f>
        <v>3758.83</v>
      </c>
      <c r="I66" s="2"/>
      <c r="J66" s="19"/>
      <c r="K66" s="2"/>
      <c r="L66" s="2">
        <f t="shared" si="0"/>
        <v>5447.6200000000008</v>
      </c>
      <c r="M66" s="2"/>
      <c r="N66" s="19">
        <f t="shared" si="1"/>
        <v>1.4492860810411752</v>
      </c>
      <c r="O66" s="11"/>
      <c r="P66" s="2">
        <f>--113177.42</f>
        <v>113177.42</v>
      </c>
      <c r="Q66" s="2"/>
      <c r="R66" s="19"/>
      <c r="S66" s="2"/>
      <c r="T66" s="2">
        <f>--42582.67</f>
        <v>42582.67</v>
      </c>
      <c r="U66" s="2"/>
      <c r="V66" s="19"/>
      <c r="W66" s="2"/>
      <c r="X66" s="2">
        <f t="shared" si="2"/>
        <v>70594.75</v>
      </c>
      <c r="Y66" s="2"/>
      <c r="Z66" s="19">
        <f t="shared" si="3"/>
        <v>1.6578281728224182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--1872.52</f>
        <v>1872.52</v>
      </c>
      <c r="E67" s="2"/>
      <c r="F67" s="19"/>
      <c r="G67" s="2"/>
      <c r="H67" s="2">
        <f>--1719.12</f>
        <v>1719.12</v>
      </c>
      <c r="I67" s="2"/>
      <c r="J67" s="19"/>
      <c r="K67" s="2"/>
      <c r="L67" s="2">
        <f t="shared" si="0"/>
        <v>153.40000000000009</v>
      </c>
      <c r="M67" s="2"/>
      <c r="N67" s="19">
        <f t="shared" si="1"/>
        <v>8.9231699939503986E-2</v>
      </c>
      <c r="O67" s="11"/>
      <c r="P67" s="2">
        <f>--7841.77</f>
        <v>7841.77</v>
      </c>
      <c r="Q67" s="2"/>
      <c r="R67" s="19"/>
      <c r="S67" s="2"/>
      <c r="T67" s="2">
        <f>--4249</f>
        <v>4249</v>
      </c>
      <c r="U67" s="2"/>
      <c r="V67" s="19"/>
      <c r="W67" s="2"/>
      <c r="X67" s="2">
        <f t="shared" si="2"/>
        <v>3592.7700000000004</v>
      </c>
      <c r="Y67" s="2"/>
      <c r="Z67" s="19">
        <f t="shared" si="3"/>
        <v>0.84555660155330681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--51.7</f>
        <v>51.7</v>
      </c>
      <c r="E68" s="2"/>
      <c r="F68" s="19"/>
      <c r="G68" s="2"/>
      <c r="H68" s="2">
        <f>--1947.91</f>
        <v>1947.91</v>
      </c>
      <c r="I68" s="2"/>
      <c r="J68" s="19"/>
      <c r="K68" s="2"/>
      <c r="L68" s="2">
        <f t="shared" si="0"/>
        <v>-1896.21</v>
      </c>
      <c r="M68" s="2"/>
      <c r="N68" s="19">
        <f t="shared" si="1"/>
        <v>-0.97345873269298888</v>
      </c>
      <c r="O68" s="11"/>
      <c r="P68" s="2">
        <f>--2259.89</f>
        <v>2259.89</v>
      </c>
      <c r="Q68" s="2"/>
      <c r="R68" s="19"/>
      <c r="S68" s="2"/>
      <c r="T68" s="2">
        <f>--12435.29</f>
        <v>12435.29</v>
      </c>
      <c r="U68" s="2"/>
      <c r="V68" s="19"/>
      <c r="W68" s="2"/>
      <c r="X68" s="2">
        <f t="shared" si="2"/>
        <v>-10175.400000000001</v>
      </c>
      <c r="Y68" s="2"/>
      <c r="Z68" s="19">
        <f t="shared" si="3"/>
        <v>-0.81826800983330517</v>
      </c>
    </row>
    <row r="69" spans="1:26" s="24" customFormat="1" hidden="1" outlineLevel="1" x14ac:dyDescent="0.25">
      <c r="A69" s="44"/>
      <c r="B69" s="11" t="str">
        <f>CONCATENATE("          ", "4143", " - ", "NON-TAXABLE SALES-CARDS")</f>
        <v xml:space="preserve">          4143 - NON-TAXABLE SALES-CARDS</v>
      </c>
      <c r="C69" s="11"/>
      <c r="D69" s="2">
        <f>--232.71</f>
        <v>232.71</v>
      </c>
      <c r="E69" s="2"/>
      <c r="F69" s="19"/>
      <c r="G69" s="2"/>
      <c r="H69" s="2">
        <f>0</f>
        <v>0</v>
      </c>
      <c r="I69" s="2"/>
      <c r="J69" s="19"/>
      <c r="K69" s="2"/>
      <c r="L69" s="2">
        <f t="shared" si="0"/>
        <v>232.71</v>
      </c>
      <c r="M69" s="2"/>
      <c r="N69" s="19">
        <f t="shared" si="1"/>
        <v>0</v>
      </c>
      <c r="O69" s="11"/>
      <c r="P69" s="2">
        <f>--1969.74</f>
        <v>1969.74</v>
      </c>
      <c r="Q69" s="2"/>
      <c r="R69" s="19"/>
      <c r="S69" s="2"/>
      <c r="T69" s="2">
        <f>0</f>
        <v>0</v>
      </c>
      <c r="U69" s="2"/>
      <c r="V69" s="19"/>
      <c r="W69" s="2"/>
      <c r="X69" s="2">
        <f t="shared" si="2"/>
        <v>1969.74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--119.9</f>
        <v>119.9</v>
      </c>
      <c r="E70" s="2"/>
      <c r="F70" s="19"/>
      <c r="G70" s="2"/>
      <c r="H70" s="2">
        <f>--374.48</f>
        <v>374.48</v>
      </c>
      <c r="I70" s="2"/>
      <c r="J70" s="19"/>
      <c r="K70" s="2"/>
      <c r="L70" s="2">
        <f t="shared" si="0"/>
        <v>-254.58</v>
      </c>
      <c r="M70" s="2"/>
      <c r="N70" s="19">
        <f t="shared" si="1"/>
        <v>-0.67982268745994445</v>
      </c>
      <c r="O70" s="11"/>
      <c r="P70" s="2">
        <f>--609.4</f>
        <v>609.4</v>
      </c>
      <c r="Q70" s="2"/>
      <c r="R70" s="19"/>
      <c r="S70" s="2"/>
      <c r="T70" s="2">
        <f>--967.33</f>
        <v>967.33</v>
      </c>
      <c r="U70" s="2"/>
      <c r="V70" s="19"/>
      <c r="W70" s="2"/>
      <c r="X70" s="2">
        <f t="shared" si="2"/>
        <v>-357.93000000000006</v>
      </c>
      <c r="Y70" s="2"/>
      <c r="Z70" s="19">
        <f t="shared" si="3"/>
        <v>-0.37001850454343405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-1677.68</f>
        <v>-1677.68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-1677.68</v>
      </c>
      <c r="M71" s="2"/>
      <c r="N71" s="19">
        <f t="shared" si="1"/>
        <v>0</v>
      </c>
      <c r="O71" s="11"/>
      <c r="P71" s="2">
        <f>--53716.09</f>
        <v>53716.09</v>
      </c>
      <c r="Q71" s="2"/>
      <c r="R71" s="19"/>
      <c r="S71" s="2"/>
      <c r="T71" s="2">
        <f>--140</f>
        <v>140</v>
      </c>
      <c r="U71" s="2"/>
      <c r="V71" s="19"/>
      <c r="W71" s="2"/>
      <c r="X71" s="2">
        <f t="shared" si="2"/>
        <v>53576.09</v>
      </c>
      <c r="Y71" s="2"/>
      <c r="Z71" s="19">
        <f t="shared" si="3"/>
        <v>382.6863571428571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--12.7</f>
        <v>12.7</v>
      </c>
      <c r="E72" s="2"/>
      <c r="F72" s="19"/>
      <c r="G72" s="2"/>
      <c r="H72" s="2">
        <f>--17086.55</f>
        <v>17086.55</v>
      </c>
      <c r="I72" s="2"/>
      <c r="J72" s="19"/>
      <c r="K72" s="2"/>
      <c r="L72" s="2">
        <f t="shared" si="0"/>
        <v>-17073.849999999999</v>
      </c>
      <c r="M72" s="2"/>
      <c r="N72" s="19">
        <f t="shared" si="1"/>
        <v>-0.99925672531903742</v>
      </c>
      <c r="O72" s="11"/>
      <c r="P72" s="2">
        <f>--140.6</f>
        <v>140.6</v>
      </c>
      <c r="Q72" s="2"/>
      <c r="R72" s="19"/>
      <c r="S72" s="2"/>
      <c r="T72" s="2">
        <f>--163554.5</f>
        <v>163554.5</v>
      </c>
      <c r="U72" s="2"/>
      <c r="V72" s="19"/>
      <c r="W72" s="2"/>
      <c r="X72" s="2">
        <f t="shared" si="2"/>
        <v>-163413.9</v>
      </c>
      <c r="Y72" s="2"/>
      <c r="Z72" s="19">
        <f t="shared" si="3"/>
        <v>-0.99914034771284188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--11</f>
        <v>11</v>
      </c>
      <c r="E73" s="2"/>
      <c r="F73" s="19"/>
      <c r="G73" s="2"/>
      <c r="H73" s="2">
        <f>--11.5</f>
        <v>11.5</v>
      </c>
      <c r="I73" s="2"/>
      <c r="J73" s="19"/>
      <c r="K73" s="2"/>
      <c r="L73" s="2">
        <f t="shared" si="0"/>
        <v>-0.5</v>
      </c>
      <c r="M73" s="2"/>
      <c r="N73" s="19">
        <f t="shared" si="1"/>
        <v>-4.3478260869565216E-2</v>
      </c>
      <c r="O73" s="11"/>
      <c r="P73" s="2">
        <f>--115.5</f>
        <v>115.5</v>
      </c>
      <c r="Q73" s="2"/>
      <c r="R73" s="19"/>
      <c r="S73" s="2"/>
      <c r="T73" s="2">
        <f>--318.9</f>
        <v>318.89999999999998</v>
      </c>
      <c r="U73" s="2"/>
      <c r="V73" s="19"/>
      <c r="W73" s="2"/>
      <c r="X73" s="2">
        <f t="shared" si="2"/>
        <v>-203.39999999999998</v>
      </c>
      <c r="Y73" s="2"/>
      <c r="Z73" s="19">
        <f t="shared" si="3"/>
        <v>-0.63781749764816553</v>
      </c>
    </row>
    <row r="74" spans="1:26" s="24" customFormat="1" hidden="1" outlineLevel="1" x14ac:dyDescent="0.25">
      <c r="A74" s="44"/>
      <c r="B74" s="11" t="str">
        <f>CONCATENATE("          ", "4151", " - ", "NON-TAXABLE SALES-FOOD")</f>
        <v xml:space="preserve">          4151 - NON-TAXABLE SALES-FOOD</v>
      </c>
      <c r="C74" s="11"/>
      <c r="D74" s="2">
        <f t="shared" ref="D74:D76" si="14">0</f>
        <v>0</v>
      </c>
      <c r="E74" s="2"/>
      <c r="F74" s="19"/>
      <c r="G74" s="2"/>
      <c r="H74" s="2">
        <f>--58945.98</f>
        <v>58945.98</v>
      </c>
      <c r="I74" s="2"/>
      <c r="J74" s="19"/>
      <c r="K74" s="2"/>
      <c r="L74" s="2">
        <f t="shared" si="0"/>
        <v>-58945.98</v>
      </c>
      <c r="M74" s="2"/>
      <c r="N74" s="19">
        <f t="shared" si="1"/>
        <v>-1</v>
      </c>
      <c r="O74" s="11"/>
      <c r="P74" s="2">
        <f>0</f>
        <v>0</v>
      </c>
      <c r="Q74" s="2"/>
      <c r="R74" s="19"/>
      <c r="S74" s="2"/>
      <c r="T74" s="2">
        <f>--635384.63</f>
        <v>635384.63</v>
      </c>
      <c r="U74" s="2"/>
      <c r="V74" s="19"/>
      <c r="W74" s="2"/>
      <c r="X74" s="2">
        <f t="shared" si="2"/>
        <v>-635384.63</v>
      </c>
      <c r="Y74" s="2"/>
      <c r="Z74" s="19">
        <f t="shared" si="3"/>
        <v>-1</v>
      </c>
    </row>
    <row r="75" spans="1:26" s="24" customFormat="1" hidden="1" outlineLevel="1" x14ac:dyDescent="0.25">
      <c r="A75" s="44"/>
      <c r="B75" s="11" t="str">
        <f>CONCATENATE("          ", "4153", " - ", "NON-TAXABLE SALES-FOOD")</f>
        <v xml:space="preserve">          4153 - NON-TAXABLE SALES-FOOD</v>
      </c>
      <c r="C75" s="11"/>
      <c r="D75" s="2">
        <f t="shared" si="14"/>
        <v>0</v>
      </c>
      <c r="E75" s="2"/>
      <c r="F75" s="19"/>
      <c r="G75" s="2"/>
      <c r="H75" s="2">
        <f>--715</f>
        <v>715</v>
      </c>
      <c r="I75" s="2"/>
      <c r="J75" s="19"/>
      <c r="K75" s="2"/>
      <c r="L75" s="2">
        <f t="shared" si="0"/>
        <v>-715</v>
      </c>
      <c r="M75" s="2"/>
      <c r="N75" s="19">
        <f t="shared" si="1"/>
        <v>-1</v>
      </c>
      <c r="O75" s="11"/>
      <c r="P75" s="2">
        <f>--110</f>
        <v>110</v>
      </c>
      <c r="Q75" s="2"/>
      <c r="R75" s="19"/>
      <c r="S75" s="2"/>
      <c r="T75" s="2">
        <f>--10275</f>
        <v>10275</v>
      </c>
      <c r="U75" s="2"/>
      <c r="V75" s="19"/>
      <c r="W75" s="2"/>
      <c r="X75" s="2">
        <f t="shared" si="2"/>
        <v>-10165</v>
      </c>
      <c r="Y75" s="2"/>
      <c r="Z75" s="19">
        <f t="shared" si="3"/>
        <v>-0.98929440389294399</v>
      </c>
    </row>
    <row r="76" spans="1:26" s="24" customFormat="1" hidden="1" outlineLevel="1" x14ac:dyDescent="0.25">
      <c r="A76" s="44"/>
      <c r="B76" s="11" t="str">
        <f>CONCATENATE("          ", "4186", " - ", "NON-TAXABLE SALES-COMPUTER SUP")</f>
        <v xml:space="preserve">          4186 - NON-TAXABLE SALES-COMPUTER SUP</v>
      </c>
      <c r="C76" s="11"/>
      <c r="D76" s="2">
        <f t="shared" si="14"/>
        <v>0</v>
      </c>
      <c r="E76" s="2"/>
      <c r="F76" s="19"/>
      <c r="G76" s="2"/>
      <c r="H76" s="2">
        <f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0</f>
        <v>0</v>
      </c>
      <c r="Q76" s="2"/>
      <c r="R76" s="19"/>
      <c r="S76" s="2"/>
      <c r="T76" s="2">
        <f>-30.97</f>
        <v>-30.97</v>
      </c>
      <c r="U76" s="2"/>
      <c r="V76" s="19"/>
      <c r="W76" s="2"/>
      <c r="X76" s="2">
        <f t="shared" si="2"/>
        <v>30.97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"4201", " - ", "SALES RETURN TAXABLE-NEW TEXT")</f>
        <v xml:space="preserve">          4201 - SALES RETURN TAXABLE-NEW TEXT</v>
      </c>
      <c r="C77" s="11"/>
      <c r="D77" s="2">
        <f>-12741.9</f>
        <v>-12741.9</v>
      </c>
      <c r="E77" s="2"/>
      <c r="F77" s="19"/>
      <c r="G77" s="2"/>
      <c r="H77" s="2">
        <f>-37895.48</f>
        <v>-37895.480000000003</v>
      </c>
      <c r="I77" s="2"/>
      <c r="J77" s="19"/>
      <c r="K77" s="2"/>
      <c r="L77" s="2">
        <f t="shared" si="0"/>
        <v>25153.58</v>
      </c>
      <c r="M77" s="2"/>
      <c r="N77" s="19">
        <f t="shared" si="1"/>
        <v>-0.66376201066723528</v>
      </c>
      <c r="O77" s="11"/>
      <c r="P77" s="2">
        <f>-48517.74</f>
        <v>-48517.74</v>
      </c>
      <c r="Q77" s="2"/>
      <c r="R77" s="19"/>
      <c r="S77" s="2"/>
      <c r="T77" s="2">
        <f>-116625.85</f>
        <v>-116625.85</v>
      </c>
      <c r="U77" s="2"/>
      <c r="V77" s="19"/>
      <c r="W77" s="2"/>
      <c r="X77" s="2">
        <f t="shared" si="2"/>
        <v>68108.110000000015</v>
      </c>
      <c r="Y77" s="2"/>
      <c r="Z77" s="19">
        <f t="shared" si="3"/>
        <v>-0.58398811241247128</v>
      </c>
    </row>
    <row r="78" spans="1:26" s="24" customFormat="1" hidden="1" outlineLevel="1" x14ac:dyDescent="0.25">
      <c r="A78" s="44"/>
      <c r="B78" s="11" t="str">
        <f>CONCATENATE("          ", "4202", " - ", "SALES RETURN TAXABLE-USED TEXT")</f>
        <v xml:space="preserve">          4202 - SALES RETURN TAXABLE-USED TEXT</v>
      </c>
      <c r="C78" s="11"/>
      <c r="D78" s="2">
        <f>-4670.3</f>
        <v>-4670.3</v>
      </c>
      <c r="E78" s="2"/>
      <c r="F78" s="19"/>
      <c r="G78" s="2"/>
      <c r="H78" s="2">
        <f>-16170.8</f>
        <v>-16170.8</v>
      </c>
      <c r="I78" s="2"/>
      <c r="J78" s="19"/>
      <c r="K78" s="2"/>
      <c r="L78" s="2">
        <f t="shared" si="0"/>
        <v>11500.5</v>
      </c>
      <c r="M78" s="2"/>
      <c r="N78" s="19">
        <f t="shared" si="1"/>
        <v>-0.71118930417790094</v>
      </c>
      <c r="O78" s="11"/>
      <c r="P78" s="2">
        <f>-18536.3</f>
        <v>-18536.3</v>
      </c>
      <c r="Q78" s="2"/>
      <c r="R78" s="19"/>
      <c r="S78" s="2"/>
      <c r="T78" s="2">
        <f>-43379.15</f>
        <v>-43379.15</v>
      </c>
      <c r="U78" s="2"/>
      <c r="V78" s="19"/>
      <c r="W78" s="2"/>
      <c r="X78" s="2">
        <f t="shared" si="2"/>
        <v>24842.850000000002</v>
      </c>
      <c r="Y78" s="2"/>
      <c r="Z78" s="19">
        <f t="shared" si="3"/>
        <v>-0.57269102783249559</v>
      </c>
    </row>
    <row r="79" spans="1:26" s="24" customFormat="1" hidden="1" outlineLevel="1" x14ac:dyDescent="0.25">
      <c r="A79" s="44"/>
      <c r="B79" s="11" t="str">
        <f>CONCATENATE("          ", "4203", " - ", "SALES RETURN TAXABLE-RENTAL TE")</f>
        <v xml:space="preserve">          4203 - SALES RETURN TAXABLE-RENTAL TE</v>
      </c>
      <c r="C79" s="11"/>
      <c r="D79" s="2">
        <f t="shared" ref="D79:D86" si="15">0</f>
        <v>0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0</f>
        <v>0</v>
      </c>
      <c r="Q79" s="2"/>
      <c r="R79" s="19"/>
      <c r="S79" s="2"/>
      <c r="T79" s="2">
        <f>-144.99</f>
        <v>-144.99</v>
      </c>
      <c r="U79" s="2"/>
      <c r="V79" s="19"/>
      <c r="W79" s="2"/>
      <c r="X79" s="2">
        <f t="shared" si="2"/>
        <v>144.99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"4204", " - ", "SALES RETURN TAXABLE-DIGITAL T")</f>
        <v xml:space="preserve">          4204 - SALES RETURN TAXABLE-DIGITAL T</v>
      </c>
      <c r="C80" s="11"/>
      <c r="D80" s="2">
        <f t="shared" si="15"/>
        <v>0</v>
      </c>
      <c r="E80" s="2"/>
      <c r="F80" s="19"/>
      <c r="G80" s="2"/>
      <c r="H80" s="2">
        <f>-4891.98</f>
        <v>-4891.9799999999996</v>
      </c>
      <c r="I80" s="2"/>
      <c r="J80" s="19"/>
      <c r="K80" s="2"/>
      <c r="L80" s="2">
        <f t="shared" si="0"/>
        <v>4891.9799999999996</v>
      </c>
      <c r="M80" s="2"/>
      <c r="N80" s="19">
        <f t="shared" si="1"/>
        <v>-1</v>
      </c>
      <c r="O80" s="11"/>
      <c r="P80" s="2">
        <f>-1630.85</f>
        <v>-1630.85</v>
      </c>
      <c r="Q80" s="2"/>
      <c r="R80" s="19"/>
      <c r="S80" s="2"/>
      <c r="T80" s="2">
        <f>-16261.44</f>
        <v>-16261.44</v>
      </c>
      <c r="U80" s="2"/>
      <c r="V80" s="19"/>
      <c r="W80" s="2"/>
      <c r="X80" s="2">
        <f t="shared" si="2"/>
        <v>14630.59</v>
      </c>
      <c r="Y80" s="2"/>
      <c r="Z80" s="19">
        <f t="shared" si="3"/>
        <v>-0.89971060373497058</v>
      </c>
    </row>
    <row r="81" spans="1:26" s="24" customFormat="1" hidden="1" outlineLevel="1" x14ac:dyDescent="0.25">
      <c r="A81" s="44"/>
      <c r="B81" s="11" t="str">
        <f>CONCATENATE("          ", "4213", " - ", "NON-TAXABLE SALES-TRADE BOOKS")</f>
        <v xml:space="preserve">          4213 - NON-TAXABLE SALES-TRADE BOOKS</v>
      </c>
      <c r="C81" s="11"/>
      <c r="D81" s="2">
        <f t="shared" si="15"/>
        <v>0</v>
      </c>
      <c r="E81" s="2"/>
      <c r="F81" s="19"/>
      <c r="G81" s="2"/>
      <c r="H81" s="2">
        <f>-13.95</f>
        <v>-13.95</v>
      </c>
      <c r="I81" s="2"/>
      <c r="J81" s="19"/>
      <c r="K81" s="2"/>
      <c r="L81" s="2">
        <f t="shared" si="0"/>
        <v>13.95</v>
      </c>
      <c r="M81" s="2"/>
      <c r="N81" s="19">
        <f t="shared" si="1"/>
        <v>-1</v>
      </c>
      <c r="O81" s="11"/>
      <c r="P81" s="2">
        <f t="shared" ref="P81:P85" si="16">0</f>
        <v>0</v>
      </c>
      <c r="Q81" s="2"/>
      <c r="R81" s="19"/>
      <c r="S81" s="2"/>
      <c r="T81" s="2">
        <f>-116.66</f>
        <v>-116.66</v>
      </c>
      <c r="U81" s="2"/>
      <c r="V81" s="19"/>
      <c r="W81" s="2"/>
      <c r="X81" s="2">
        <f t="shared" si="2"/>
        <v>116.66</v>
      </c>
      <c r="Y81" s="2"/>
      <c r="Z81" s="19">
        <f t="shared" si="3"/>
        <v>-1</v>
      </c>
    </row>
    <row r="82" spans="1:26" s="24" customFormat="1" hidden="1" outlineLevel="1" x14ac:dyDescent="0.25">
      <c r="A82" s="44"/>
      <c r="B82" s="11" t="str">
        <f>CONCATENATE("          ", "4214", " - ", "SALES RETURN TAXABLE-REMAINDER")</f>
        <v xml:space="preserve">          4214 - SALES RETURN TAXABLE-REMAINDER</v>
      </c>
      <c r="C82" s="11"/>
      <c r="D82" s="2">
        <f t="shared" si="15"/>
        <v>0</v>
      </c>
      <c r="E82" s="2"/>
      <c r="F82" s="19"/>
      <c r="G82" s="2"/>
      <c r="H82" s="2">
        <f t="shared" ref="H82:H83" si="17">0</f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 t="shared" si="16"/>
        <v>0</v>
      </c>
      <c r="Q82" s="2"/>
      <c r="R82" s="19"/>
      <c r="S82" s="2"/>
      <c r="T82" s="2">
        <f>-11.94</f>
        <v>-11.94</v>
      </c>
      <c r="U82" s="2"/>
      <c r="V82" s="19"/>
      <c r="W82" s="2"/>
      <c r="X82" s="2">
        <f t="shared" si="2"/>
        <v>11.94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"4217", " - ", "NON-TAXABLE SALES-DORM/HOUSEWA")</f>
        <v xml:space="preserve">          4217 - NON-TAXABLE SALES-DORM/HOUSEWA</v>
      </c>
      <c r="C83" s="11"/>
      <c r="D83" s="2">
        <f t="shared" si="15"/>
        <v>0</v>
      </c>
      <c r="E83" s="2"/>
      <c r="F83" s="19"/>
      <c r="G83" s="2"/>
      <c r="H83" s="2">
        <f t="shared" si="17"/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 t="shared" si="16"/>
        <v>0</v>
      </c>
      <c r="Q83" s="2"/>
      <c r="R83" s="19"/>
      <c r="S83" s="2"/>
      <c r="T83" s="2">
        <f>-2.98</f>
        <v>-2.98</v>
      </c>
      <c r="U83" s="2"/>
      <c r="V83" s="19"/>
      <c r="W83" s="2"/>
      <c r="X83" s="2">
        <f t="shared" si="2"/>
        <v>2.98</v>
      </c>
      <c r="Y83" s="2"/>
      <c r="Z83" s="19">
        <f t="shared" si="3"/>
        <v>-1</v>
      </c>
    </row>
    <row r="84" spans="1:26" s="24" customFormat="1" hidden="1" outlineLevel="1" x14ac:dyDescent="0.25">
      <c r="A84" s="44"/>
      <c r="B84" s="11" t="str">
        <f>CONCATENATE("          ", "4218", " - ", "SALES RETURN TAXABLE-STUDY GUI")</f>
        <v xml:space="preserve">          4218 - SALES RETURN TAXABLE-STUDY GUI</v>
      </c>
      <c r="C84" s="11"/>
      <c r="D84" s="2">
        <f t="shared" si="15"/>
        <v>0</v>
      </c>
      <c r="E84" s="2"/>
      <c r="F84" s="19"/>
      <c r="G84" s="2"/>
      <c r="H84" s="2">
        <f>-6.5</f>
        <v>-6.5</v>
      </c>
      <c r="I84" s="2"/>
      <c r="J84" s="19"/>
      <c r="K84" s="2"/>
      <c r="L84" s="2">
        <f t="shared" si="0"/>
        <v>6.5</v>
      </c>
      <c r="M84" s="2"/>
      <c r="N84" s="19">
        <f t="shared" si="1"/>
        <v>-1</v>
      </c>
      <c r="O84" s="11"/>
      <c r="P84" s="2">
        <f t="shared" si="16"/>
        <v>0</v>
      </c>
      <c r="Q84" s="2"/>
      <c r="R84" s="19"/>
      <c r="S84" s="2"/>
      <c r="T84" s="2">
        <f>-39.25</f>
        <v>-39.25</v>
      </c>
      <c r="U84" s="2"/>
      <c r="V84" s="19"/>
      <c r="W84" s="2"/>
      <c r="X84" s="2">
        <f t="shared" si="2"/>
        <v>39.25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"4225", " - ", "SALES RETURN TAXABLE-TEST FORM")</f>
        <v xml:space="preserve">          4225 - SALES RETURN TAXABLE-TEST FORM</v>
      </c>
      <c r="C85" s="11"/>
      <c r="D85" s="2">
        <f t="shared" si="15"/>
        <v>0</v>
      </c>
      <c r="E85" s="2"/>
      <c r="F85" s="19"/>
      <c r="G85" s="2"/>
      <c r="H85" s="2">
        <f>-14.74</f>
        <v>-14.74</v>
      </c>
      <c r="I85" s="2"/>
      <c r="J85" s="19"/>
      <c r="K85" s="2"/>
      <c r="L85" s="2">
        <f t="shared" si="0"/>
        <v>14.74</v>
      </c>
      <c r="M85" s="2"/>
      <c r="N85" s="19">
        <f t="shared" si="1"/>
        <v>-1</v>
      </c>
      <c r="O85" s="11"/>
      <c r="P85" s="2">
        <f t="shared" si="16"/>
        <v>0</v>
      </c>
      <c r="Q85" s="2"/>
      <c r="R85" s="19"/>
      <c r="S85" s="2"/>
      <c r="T85" s="2">
        <f>-95.71</f>
        <v>-95.71</v>
      </c>
      <c r="U85" s="2"/>
      <c r="V85" s="19"/>
      <c r="W85" s="2"/>
      <c r="X85" s="2">
        <f t="shared" si="2"/>
        <v>95.71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"4226", " - ", "SALES RETURN TAXABLE-WRITING I")</f>
        <v xml:space="preserve">          4226 - SALES RETURN TAXABLE-WRITING I</v>
      </c>
      <c r="C86" s="11"/>
      <c r="D86" s="2">
        <f t="shared" si="15"/>
        <v>0</v>
      </c>
      <c r="E86" s="2"/>
      <c r="F86" s="19"/>
      <c r="G86" s="2"/>
      <c r="H86" s="2">
        <f>-149.55</f>
        <v>-149.55000000000001</v>
      </c>
      <c r="I86" s="2"/>
      <c r="J86" s="19"/>
      <c r="K86" s="2"/>
      <c r="L86" s="2">
        <f t="shared" si="0"/>
        <v>149.55000000000001</v>
      </c>
      <c r="M86" s="2"/>
      <c r="N86" s="19">
        <f t="shared" si="1"/>
        <v>-1</v>
      </c>
      <c r="O86" s="11"/>
      <c r="P86" s="2">
        <f>-34.23</f>
        <v>-34.229999999999997</v>
      </c>
      <c r="Q86" s="2"/>
      <c r="R86" s="19"/>
      <c r="S86" s="2"/>
      <c r="T86" s="2">
        <f>-680.91</f>
        <v>-680.91</v>
      </c>
      <c r="U86" s="2"/>
      <c r="V86" s="19"/>
      <c r="W86" s="2"/>
      <c r="X86" s="2">
        <f t="shared" si="2"/>
        <v>646.67999999999995</v>
      </c>
      <c r="Y86" s="2"/>
      <c r="Z86" s="19">
        <f t="shared" si="3"/>
        <v>-0.94972903908005457</v>
      </c>
    </row>
    <row r="87" spans="1:26" s="24" customFormat="1" hidden="1" outlineLevel="1" x14ac:dyDescent="0.25">
      <c r="A87" s="44"/>
      <c r="B87" s="11" t="str">
        <f>CONCATENATE("          ", "4227", " - ", "SALES RETURN TAXABLE-SCHOOL SU")</f>
        <v xml:space="preserve">          4227 - SALES RETURN TAXABLE-SCHOOL SU</v>
      </c>
      <c r="C87" s="11"/>
      <c r="D87" s="2">
        <f>-126.22</f>
        <v>-126.22</v>
      </c>
      <c r="E87" s="2"/>
      <c r="F87" s="19"/>
      <c r="G87" s="2"/>
      <c r="H87" s="2">
        <f>-962.28</f>
        <v>-962.28</v>
      </c>
      <c r="I87" s="2"/>
      <c r="J87" s="19"/>
      <c r="K87" s="2"/>
      <c r="L87" s="2">
        <f t="shared" si="0"/>
        <v>836.06</v>
      </c>
      <c r="M87" s="2"/>
      <c r="N87" s="19">
        <f t="shared" si="1"/>
        <v>-0.86883235648667745</v>
      </c>
      <c r="O87" s="11"/>
      <c r="P87" s="2">
        <f>-762.68</f>
        <v>-762.68</v>
      </c>
      <c r="Q87" s="2"/>
      <c r="R87" s="19"/>
      <c r="S87" s="2"/>
      <c r="T87" s="2">
        <f>-6910.86</f>
        <v>-6910.86</v>
      </c>
      <c r="U87" s="2"/>
      <c r="V87" s="19"/>
      <c r="W87" s="2"/>
      <c r="X87" s="2">
        <f t="shared" si="2"/>
        <v>6148.1799999999994</v>
      </c>
      <c r="Y87" s="2"/>
      <c r="Z87" s="19">
        <f t="shared" si="3"/>
        <v>-0.88964036313859629</v>
      </c>
    </row>
    <row r="88" spans="1:26" s="24" customFormat="1" hidden="1" outlineLevel="1" x14ac:dyDescent="0.25">
      <c r="A88" s="44"/>
      <c r="B88" s="11" t="str">
        <f>CONCATENATE("          ", "4228", " - ", "SALES RETURN TAXABLE-ART/TECH")</f>
        <v xml:space="preserve">          4228 - SALES RETURN TAXABLE-ART/TECH</v>
      </c>
      <c r="C88" s="11"/>
      <c r="D88" s="2">
        <f>-12473.84</f>
        <v>-12473.84</v>
      </c>
      <c r="E88" s="2"/>
      <c r="F88" s="19"/>
      <c r="G88" s="2"/>
      <c r="H88" s="2">
        <f>-766.07</f>
        <v>-766.07</v>
      </c>
      <c r="I88" s="2"/>
      <c r="J88" s="19"/>
      <c r="K88" s="2"/>
      <c r="L88" s="2">
        <f t="shared" si="0"/>
        <v>-11707.77</v>
      </c>
      <c r="M88" s="2"/>
      <c r="N88" s="19">
        <f t="shared" si="1"/>
        <v>15.282898429647421</v>
      </c>
      <c r="O88" s="11"/>
      <c r="P88" s="2">
        <f>-12728.53</f>
        <v>-12728.53</v>
      </c>
      <c r="Q88" s="2"/>
      <c r="R88" s="19"/>
      <c r="S88" s="2"/>
      <c r="T88" s="2">
        <f>-3914.69</f>
        <v>-3914.69</v>
      </c>
      <c r="U88" s="2"/>
      <c r="V88" s="19"/>
      <c r="W88" s="2"/>
      <c r="X88" s="2">
        <f t="shared" si="2"/>
        <v>-8813.84</v>
      </c>
      <c r="Y88" s="2"/>
      <c r="Z88" s="19">
        <f t="shared" si="3"/>
        <v>2.2514784056975139</v>
      </c>
    </row>
    <row r="89" spans="1:26" s="24" customFormat="1" hidden="1" outlineLevel="1" x14ac:dyDescent="0.25">
      <c r="A89" s="44"/>
      <c r="B89" s="11" t="str">
        <f>CONCATENATE("          ", "4233", " - ", "SALES RETURN TAXABLE-CANDY")</f>
        <v xml:space="preserve">          4233 - SALES RETURN TAXABLE-CANDY</v>
      </c>
      <c r="C89" s="11"/>
      <c r="D89" s="2">
        <f>0</f>
        <v>0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0</f>
        <v>0</v>
      </c>
      <c r="Q89" s="2"/>
      <c r="R89" s="19"/>
      <c r="S89" s="2"/>
      <c r="T89" s="2">
        <f>-1.29</f>
        <v>-1.29</v>
      </c>
      <c r="U89" s="2"/>
      <c r="V89" s="19"/>
      <c r="W89" s="2"/>
      <c r="X89" s="2">
        <f t="shared" si="2"/>
        <v>1.29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"4240", " - ", "SALES RETURN TAXABLE-LOGO CLOT")</f>
        <v xml:space="preserve">          4240 - SALES RETURN TAXABLE-LOGO CLOT</v>
      </c>
      <c r="C90" s="11"/>
      <c r="D90" s="2">
        <f>-7168.03</f>
        <v>-7168.03</v>
      </c>
      <c r="E90" s="2"/>
      <c r="F90" s="19"/>
      <c r="G90" s="2"/>
      <c r="H90" s="2">
        <f>-12286.81</f>
        <v>-12286.81</v>
      </c>
      <c r="I90" s="2"/>
      <c r="J90" s="19"/>
      <c r="K90" s="2"/>
      <c r="L90" s="2">
        <f t="shared" si="0"/>
        <v>5118.78</v>
      </c>
      <c r="M90" s="2"/>
      <c r="N90" s="19">
        <f t="shared" si="1"/>
        <v>-0.41660772812471258</v>
      </c>
      <c r="O90" s="11"/>
      <c r="P90" s="2">
        <f>-27586.87</f>
        <v>-27586.87</v>
      </c>
      <c r="Q90" s="2"/>
      <c r="R90" s="19"/>
      <c r="S90" s="2"/>
      <c r="T90" s="2">
        <f>-61608.75</f>
        <v>-61608.75</v>
      </c>
      <c r="U90" s="2"/>
      <c r="V90" s="19"/>
      <c r="W90" s="2"/>
      <c r="X90" s="2">
        <f t="shared" si="2"/>
        <v>34021.880000000005</v>
      </c>
      <c r="Y90" s="2"/>
      <c r="Z90" s="19">
        <f t="shared" si="3"/>
        <v>-0.55222480572970567</v>
      </c>
    </row>
    <row r="91" spans="1:26" s="24" customFormat="1" hidden="1" outlineLevel="1" x14ac:dyDescent="0.25">
      <c r="A91" s="44"/>
      <c r="B91" s="11" t="str">
        <f>CONCATENATE("          ", "4241", " - ", "SALES RETURN TAXABLE-LOGO GIFT")</f>
        <v xml:space="preserve">          4241 - SALES RETURN TAXABLE-LOGO GIFT</v>
      </c>
      <c r="C91" s="11"/>
      <c r="D91" s="2">
        <f>-1397.46</f>
        <v>-1397.46</v>
      </c>
      <c r="E91" s="2"/>
      <c r="F91" s="19"/>
      <c r="G91" s="2"/>
      <c r="H91" s="2">
        <f>-805.34</f>
        <v>-805.34</v>
      </c>
      <c r="I91" s="2"/>
      <c r="J91" s="19"/>
      <c r="K91" s="2"/>
      <c r="L91" s="2">
        <f t="shared" si="0"/>
        <v>-592.12</v>
      </c>
      <c r="M91" s="2"/>
      <c r="N91" s="19">
        <f t="shared" si="1"/>
        <v>0.73524225792832842</v>
      </c>
      <c r="O91" s="11"/>
      <c r="P91" s="2">
        <f>-4957.47</f>
        <v>-4957.47</v>
      </c>
      <c r="Q91" s="2"/>
      <c r="R91" s="19"/>
      <c r="S91" s="2"/>
      <c r="T91" s="2">
        <f>-4954.21</f>
        <v>-4954.21</v>
      </c>
      <c r="U91" s="2"/>
      <c r="V91" s="19"/>
      <c r="W91" s="2"/>
      <c r="X91" s="2">
        <f t="shared" si="2"/>
        <v>-3.2600000000002183</v>
      </c>
      <c r="Y91" s="2"/>
      <c r="Z91" s="19">
        <f t="shared" si="3"/>
        <v>6.5802620397605635E-4</v>
      </c>
    </row>
    <row r="92" spans="1:26" s="24" customFormat="1" hidden="1" outlineLevel="1" x14ac:dyDescent="0.25">
      <c r="A92" s="44"/>
      <c r="B92" s="11" t="str">
        <f>CONCATENATE("          ", "4242", " - ", "SALES RETURN TAXABLE-EVERYDAY")</f>
        <v xml:space="preserve">          4242 - SALES RETURN TAXABLE-EVERYDAY</v>
      </c>
      <c r="C92" s="11"/>
      <c r="D92" s="2">
        <f>-76.86</f>
        <v>-76.86</v>
      </c>
      <c r="E92" s="2"/>
      <c r="F92" s="19"/>
      <c r="G92" s="2"/>
      <c r="H92" s="2">
        <f>-754.91</f>
        <v>-754.91</v>
      </c>
      <c r="I92" s="2"/>
      <c r="J92" s="19"/>
      <c r="K92" s="2"/>
      <c r="L92" s="2">
        <f t="shared" si="0"/>
        <v>678.05</v>
      </c>
      <c r="M92" s="2"/>
      <c r="N92" s="19">
        <f t="shared" si="1"/>
        <v>-0.89818653879270371</v>
      </c>
      <c r="O92" s="11"/>
      <c r="P92" s="2">
        <f>-1693.78</f>
        <v>-1693.78</v>
      </c>
      <c r="Q92" s="2"/>
      <c r="R92" s="19"/>
      <c r="S92" s="2"/>
      <c r="T92" s="2">
        <f>-3544.33</f>
        <v>-3544.33</v>
      </c>
      <c r="U92" s="2"/>
      <c r="V92" s="19"/>
      <c r="W92" s="2"/>
      <c r="X92" s="2">
        <f t="shared" si="2"/>
        <v>1850.55</v>
      </c>
      <c r="Y92" s="2"/>
      <c r="Z92" s="19">
        <f t="shared" si="3"/>
        <v>-0.52211560435963922</v>
      </c>
    </row>
    <row r="93" spans="1:26" s="24" customFormat="1" hidden="1" outlineLevel="1" x14ac:dyDescent="0.25">
      <c r="A93" s="44"/>
      <c r="B93" s="11" t="str">
        <f>CONCATENATE("          ", "4243", " - ", "SALES RETURN TAXABLE-CARDS")</f>
        <v xml:space="preserve">          4243 - SALES RETURN TAXABLE-CARDS</v>
      </c>
      <c r="C93" s="11"/>
      <c r="D93" s="2">
        <f>-1422.25</f>
        <v>-1422.25</v>
      </c>
      <c r="E93" s="2"/>
      <c r="F93" s="19"/>
      <c r="G93" s="2"/>
      <c r="H93" s="2">
        <f>-344.74</f>
        <v>-344.74</v>
      </c>
      <c r="I93" s="2"/>
      <c r="J93" s="19"/>
      <c r="K93" s="2"/>
      <c r="L93" s="2">
        <f t="shared" si="0"/>
        <v>-1077.51</v>
      </c>
      <c r="M93" s="2"/>
      <c r="N93" s="19">
        <f t="shared" si="1"/>
        <v>3.1255728955154609</v>
      </c>
      <c r="O93" s="11"/>
      <c r="P93" s="2">
        <f>-4999.79</f>
        <v>-4999.79</v>
      </c>
      <c r="Q93" s="2"/>
      <c r="R93" s="19"/>
      <c r="S93" s="2"/>
      <c r="T93" s="2">
        <f>-1224.21</f>
        <v>-1224.21</v>
      </c>
      <c r="U93" s="2"/>
      <c r="V93" s="19"/>
      <c r="W93" s="2"/>
      <c r="X93" s="2">
        <f t="shared" si="2"/>
        <v>-3775.58</v>
      </c>
      <c r="Y93" s="2"/>
      <c r="Z93" s="19">
        <f t="shared" si="3"/>
        <v>3.0840950490520416</v>
      </c>
    </row>
    <row r="94" spans="1:26" s="24" customFormat="1" hidden="1" outlineLevel="1" x14ac:dyDescent="0.25">
      <c r="A94" s="44"/>
      <c r="B94" s="11" t="str">
        <f>CONCATENATE("          ", "4244", " - ", "SALES RETURN TAXABLE-ACCESSORI")</f>
        <v xml:space="preserve">          4244 - SALES RETURN TAXABLE-ACCESSORI</v>
      </c>
      <c r="C94" s="11"/>
      <c r="D94" s="2">
        <f>-93.98</f>
        <v>-93.98</v>
      </c>
      <c r="E94" s="2"/>
      <c r="F94" s="19"/>
      <c r="G94" s="2"/>
      <c r="H94" s="2">
        <f>-370.28</f>
        <v>-370.28</v>
      </c>
      <c r="I94" s="2"/>
      <c r="J94" s="19"/>
      <c r="K94" s="2"/>
      <c r="L94" s="2">
        <f t="shared" si="0"/>
        <v>276.29999999999995</v>
      </c>
      <c r="M94" s="2"/>
      <c r="N94" s="19">
        <f t="shared" si="1"/>
        <v>-0.74619207086529105</v>
      </c>
      <c r="O94" s="11"/>
      <c r="P94" s="2">
        <f>-984.85</f>
        <v>-984.85</v>
      </c>
      <c r="Q94" s="2"/>
      <c r="R94" s="19"/>
      <c r="S94" s="2"/>
      <c r="T94" s="2">
        <f>-2102.05</f>
        <v>-2102.0500000000002</v>
      </c>
      <c r="U94" s="2"/>
      <c r="V94" s="19"/>
      <c r="W94" s="2"/>
      <c r="X94" s="2">
        <f t="shared" si="2"/>
        <v>1117.2000000000003</v>
      </c>
      <c r="Y94" s="2"/>
      <c r="Z94" s="19">
        <f t="shared" si="3"/>
        <v>-0.5314811731405058</v>
      </c>
    </row>
    <row r="95" spans="1:26" s="24" customFormat="1" hidden="1" outlineLevel="1" x14ac:dyDescent="0.25">
      <c r="A95" s="44"/>
      <c r="B95" s="11" t="str">
        <f>CONCATENATE("          ", "4245", " - ", "SALES RETURN TAXABLE-SPECIAL O")</f>
        <v xml:space="preserve">          4245 - SALES RETURN TAXABLE-SPECIAL O</v>
      </c>
      <c r="C95" s="11"/>
      <c r="D95" s="2">
        <f t="shared" ref="D95:D98" si="18">0</f>
        <v>0</v>
      </c>
      <c r="E95" s="2"/>
      <c r="F95" s="19"/>
      <c r="G95" s="2"/>
      <c r="H95" s="2">
        <f>-1623.09</f>
        <v>-1623.09</v>
      </c>
      <c r="I95" s="2"/>
      <c r="J95" s="19"/>
      <c r="K95" s="2"/>
      <c r="L95" s="2">
        <f t="shared" si="0"/>
        <v>1623.09</v>
      </c>
      <c r="M95" s="2"/>
      <c r="N95" s="19">
        <f t="shared" si="1"/>
        <v>-1</v>
      </c>
      <c r="O95" s="11"/>
      <c r="P95" s="2">
        <f>-11345.61</f>
        <v>-11345.61</v>
      </c>
      <c r="Q95" s="2"/>
      <c r="R95" s="19"/>
      <c r="S95" s="2"/>
      <c r="T95" s="2">
        <f>-1715.05</f>
        <v>-1715.05</v>
      </c>
      <c r="U95" s="2"/>
      <c r="V95" s="19"/>
      <c r="W95" s="2"/>
      <c r="X95" s="2">
        <f t="shared" si="2"/>
        <v>-9630.5600000000013</v>
      </c>
      <c r="Y95" s="2"/>
      <c r="Z95" s="19">
        <f t="shared" si="3"/>
        <v>5.6153231684207467</v>
      </c>
    </row>
    <row r="96" spans="1:26" s="24" customFormat="1" hidden="1" outlineLevel="1" x14ac:dyDescent="0.25">
      <c r="A96" s="44"/>
      <c r="B96" s="11" t="str">
        <f>CONCATENATE("          ", "4281", " - ", "SALES RETURN TAXABLE-ELECTRONI")</f>
        <v xml:space="preserve">          4281 - SALES RETURN TAXABLE-ELECTRONI</v>
      </c>
      <c r="C96" s="11"/>
      <c r="D96" s="2">
        <f t="shared" si="18"/>
        <v>0</v>
      </c>
      <c r="E96" s="2"/>
      <c r="F96" s="19"/>
      <c r="G96" s="2"/>
      <c r="H96" s="2">
        <f t="shared" ref="H96:H98" si="19">0</f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 t="shared" ref="P96:P98" si="20">0</f>
        <v>0</v>
      </c>
      <c r="Q96" s="2"/>
      <c r="R96" s="19"/>
      <c r="S96" s="2"/>
      <c r="T96" s="2">
        <f>-54.97</f>
        <v>-54.97</v>
      </c>
      <c r="U96" s="2"/>
      <c r="V96" s="19"/>
      <c r="W96" s="2"/>
      <c r="X96" s="2">
        <f t="shared" si="2"/>
        <v>54.97</v>
      </c>
      <c r="Y96" s="2"/>
      <c r="Z96" s="19">
        <f t="shared" si="3"/>
        <v>-1</v>
      </c>
    </row>
    <row r="97" spans="1:26" s="24" customFormat="1" hidden="1" outlineLevel="1" x14ac:dyDescent="0.25">
      <c r="A97" s="44"/>
      <c r="B97" s="11" t="str">
        <f>CONCATENATE("          ", "4292", " - ", "SALES RETURN TAXABLE-GRAD MERC")</f>
        <v xml:space="preserve">          4292 - SALES RETURN TAXABLE-GRAD MERC</v>
      </c>
      <c r="C97" s="11"/>
      <c r="D97" s="2">
        <f t="shared" si="18"/>
        <v>0</v>
      </c>
      <c r="E97" s="2"/>
      <c r="F97" s="19"/>
      <c r="G97" s="2"/>
      <c r="H97" s="2">
        <f t="shared" si="19"/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 t="shared" si="20"/>
        <v>0</v>
      </c>
      <c r="Q97" s="2"/>
      <c r="R97" s="19"/>
      <c r="S97" s="2"/>
      <c r="T97" s="2">
        <f>-419.05</f>
        <v>-419.05</v>
      </c>
      <c r="U97" s="2"/>
      <c r="V97" s="19"/>
      <c r="W97" s="2"/>
      <c r="X97" s="2">
        <f t="shared" si="2"/>
        <v>419.05</v>
      </c>
      <c r="Y97" s="2"/>
      <c r="Z97" s="19">
        <f t="shared" si="3"/>
        <v>-1</v>
      </c>
    </row>
    <row r="98" spans="1:26" s="24" customFormat="1" hidden="1" outlineLevel="1" x14ac:dyDescent="0.25">
      <c r="A98" s="44"/>
      <c r="B98" s="11" t="str">
        <f>CONCATENATE("          ", "4295", " - ", "SALES RETURN TAXABLE-CUSTOMER")</f>
        <v xml:space="preserve">          4295 - SALES RETURN TAXABLE-CUSTOMER</v>
      </c>
      <c r="C98" s="11"/>
      <c r="D98" s="2">
        <f t="shared" si="18"/>
        <v>0</v>
      </c>
      <c r="E98" s="2"/>
      <c r="F98" s="19"/>
      <c r="G98" s="2"/>
      <c r="H98" s="2">
        <f t="shared" si="19"/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 t="shared" si="20"/>
        <v>0</v>
      </c>
      <c r="Q98" s="2"/>
      <c r="R98" s="19"/>
      <c r="S98" s="2"/>
      <c r="T98" s="2">
        <f>--0.99</f>
        <v>0.99</v>
      </c>
      <c r="U98" s="2"/>
      <c r="V98" s="19"/>
      <c r="W98" s="2"/>
      <c r="X98" s="2">
        <f t="shared" si="2"/>
        <v>-0.99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"4301", " - ", "SALES RETURN NON TAXABLE-NEW T")</f>
        <v xml:space="preserve">          4301 - SALES RETURN NON TAXABLE-NEW T</v>
      </c>
      <c r="C99" s="11"/>
      <c r="D99" s="2">
        <f>-256.69</f>
        <v>-256.69</v>
      </c>
      <c r="E99" s="2"/>
      <c r="F99" s="19"/>
      <c r="G99" s="2"/>
      <c r="H99" s="2">
        <f>-2910.64</f>
        <v>-2910.64</v>
      </c>
      <c r="I99" s="2"/>
      <c r="J99" s="19"/>
      <c r="K99" s="2"/>
      <c r="L99" s="2">
        <f t="shared" si="0"/>
        <v>2653.95</v>
      </c>
      <c r="M99" s="2"/>
      <c r="N99" s="19">
        <f t="shared" si="1"/>
        <v>-0.91180977379545392</v>
      </c>
      <c r="O99" s="11"/>
      <c r="P99" s="2">
        <f>-3005.79</f>
        <v>-3005.79</v>
      </c>
      <c r="Q99" s="2"/>
      <c r="R99" s="19"/>
      <c r="S99" s="2"/>
      <c r="T99" s="2">
        <f>-15221.62</f>
        <v>-15221.62</v>
      </c>
      <c r="U99" s="2"/>
      <c r="V99" s="19"/>
      <c r="W99" s="2"/>
      <c r="X99" s="2">
        <f t="shared" si="2"/>
        <v>12215.830000000002</v>
      </c>
      <c r="Y99" s="2"/>
      <c r="Z99" s="19">
        <f t="shared" si="3"/>
        <v>-0.80253153080946715</v>
      </c>
    </row>
    <row r="100" spans="1:26" s="24" customFormat="1" hidden="1" outlineLevel="1" x14ac:dyDescent="0.25">
      <c r="A100" s="44"/>
      <c r="B100" s="11" t="str">
        <f>CONCATENATE("          ", "4302", " - ", "SALES RETURN NON TAXABLE-TEXT")</f>
        <v xml:space="preserve">          4302 - SALES RETURN NON TAXABLE-TEXT</v>
      </c>
      <c r="C100" s="11"/>
      <c r="D100" s="2">
        <f>-532.96</f>
        <v>-532.96</v>
      </c>
      <c r="E100" s="2"/>
      <c r="F100" s="19"/>
      <c r="G100" s="2"/>
      <c r="H100" s="2">
        <f>-614.47</f>
        <v>-614.47</v>
      </c>
      <c r="I100" s="2"/>
      <c r="J100" s="19"/>
      <c r="K100" s="2"/>
      <c r="L100" s="2">
        <f t="shared" si="0"/>
        <v>81.509999999999991</v>
      </c>
      <c r="M100" s="2"/>
      <c r="N100" s="19">
        <f t="shared" si="1"/>
        <v>-0.13265090240369748</v>
      </c>
      <c r="O100" s="11"/>
      <c r="P100" s="2">
        <f>-2003.16</f>
        <v>-2003.16</v>
      </c>
      <c r="Q100" s="2"/>
      <c r="R100" s="19"/>
      <c r="S100" s="2"/>
      <c r="T100" s="2">
        <f>-1312.37</f>
        <v>-1312.37</v>
      </c>
      <c r="U100" s="2"/>
      <c r="V100" s="19"/>
      <c r="W100" s="2"/>
      <c r="X100" s="2">
        <f t="shared" si="2"/>
        <v>-690.79000000000019</v>
      </c>
      <c r="Y100" s="2"/>
      <c r="Z100" s="19">
        <f t="shared" si="3"/>
        <v>0.52636832600562355</v>
      </c>
    </row>
    <row r="101" spans="1:26" s="24" customFormat="1" hidden="1" outlineLevel="1" x14ac:dyDescent="0.25">
      <c r="A101" s="44"/>
      <c r="B101" s="11" t="str">
        <f>CONCATENATE("          ", "4303", " - ", "SALES RETURN NON-TAXABLE-RENTA")</f>
        <v xml:space="preserve">          4303 - SALES RETURN NON-TAXABLE-RENTA</v>
      </c>
      <c r="C101" s="11"/>
      <c r="D101" s="2">
        <f>0</f>
        <v>0</v>
      </c>
      <c r="E101" s="2"/>
      <c r="F101" s="19"/>
      <c r="G101" s="2"/>
      <c r="H101" s="2">
        <f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0</f>
        <v>0</v>
      </c>
      <c r="Q101" s="2"/>
      <c r="R101" s="19"/>
      <c r="S101" s="2"/>
      <c r="T101" s="2">
        <f>-184.99</f>
        <v>-184.99</v>
      </c>
      <c r="U101" s="2"/>
      <c r="V101" s="19"/>
      <c r="W101" s="2"/>
      <c r="X101" s="2">
        <f t="shared" si="2"/>
        <v>184.99</v>
      </c>
      <c r="Y101" s="2"/>
      <c r="Z101" s="19">
        <f t="shared" si="3"/>
        <v>-1</v>
      </c>
    </row>
    <row r="102" spans="1:26" s="24" customFormat="1" hidden="1" outlineLevel="1" x14ac:dyDescent="0.25">
      <c r="A102" s="44"/>
      <c r="B102" s="11" t="str">
        <f>CONCATENATE("          ", "4304", " - ", "SALES RETURN NON TAXABLE-DIGIT")</f>
        <v xml:space="preserve">          4304 - SALES RETURN NON TAXABLE-DIGIT</v>
      </c>
      <c r="C102" s="11"/>
      <c r="D102" s="2">
        <f>-10673</f>
        <v>-10673</v>
      </c>
      <c r="E102" s="2"/>
      <c r="F102" s="19"/>
      <c r="G102" s="2"/>
      <c r="H102" s="2">
        <f>-4312.43</f>
        <v>-4312.43</v>
      </c>
      <c r="I102" s="2"/>
      <c r="J102" s="19"/>
      <c r="K102" s="2"/>
      <c r="L102" s="2">
        <f t="shared" si="0"/>
        <v>-6360.57</v>
      </c>
      <c r="M102" s="2"/>
      <c r="N102" s="19">
        <f t="shared" si="1"/>
        <v>1.4749387236430502</v>
      </c>
      <c r="O102" s="11"/>
      <c r="P102" s="2">
        <f>-25095.77</f>
        <v>-25095.77</v>
      </c>
      <c r="Q102" s="2"/>
      <c r="R102" s="19"/>
      <c r="S102" s="2"/>
      <c r="T102" s="2">
        <f>-17742.75</f>
        <v>-17742.75</v>
      </c>
      <c r="U102" s="2"/>
      <c r="V102" s="19"/>
      <c r="W102" s="2"/>
      <c r="X102" s="2">
        <f t="shared" si="2"/>
        <v>-7353.02</v>
      </c>
      <c r="Y102" s="2"/>
      <c r="Z102" s="19">
        <f t="shared" si="3"/>
        <v>0.41442391962914432</v>
      </c>
    </row>
    <row r="103" spans="1:26" s="24" customFormat="1" hidden="1" outlineLevel="1" x14ac:dyDescent="0.25">
      <c r="A103" s="44"/>
      <c r="B103" s="11" t="str">
        <f>CONCATENATE("          ", "4311", " - ", "SALES RETURN NON TAXABLE-NO VA")</f>
        <v xml:space="preserve">          4311 - SALES RETURN NON TAXABLE-NO VA</v>
      </c>
      <c r="C103" s="11"/>
      <c r="D103" s="2">
        <f t="shared" ref="D103:D104" si="21">0</f>
        <v>0</v>
      </c>
      <c r="E103" s="2"/>
      <c r="F103" s="19"/>
      <c r="G103" s="2"/>
      <c r="H103" s="2">
        <f>-237.35</f>
        <v>-237.35</v>
      </c>
      <c r="I103" s="2"/>
      <c r="J103" s="19"/>
      <c r="K103" s="2"/>
      <c r="L103" s="2">
        <f t="shared" si="0"/>
        <v>237.35</v>
      </c>
      <c r="M103" s="2"/>
      <c r="N103" s="19">
        <f t="shared" si="1"/>
        <v>-1</v>
      </c>
      <c r="O103" s="11"/>
      <c r="P103" s="2">
        <f t="shared" ref="P103:P104" si="22">0</f>
        <v>0</v>
      </c>
      <c r="Q103" s="2"/>
      <c r="R103" s="19"/>
      <c r="S103" s="2"/>
      <c r="T103" s="2">
        <f>-625.31</f>
        <v>-625.30999999999995</v>
      </c>
      <c r="U103" s="2"/>
      <c r="V103" s="19"/>
      <c r="W103" s="2"/>
      <c r="X103" s="2">
        <f t="shared" si="2"/>
        <v>625.30999999999995</v>
      </c>
      <c r="Y103" s="2"/>
      <c r="Z103" s="19">
        <f t="shared" si="3"/>
        <v>-1</v>
      </c>
    </row>
    <row r="104" spans="1:26" s="24" customFormat="1" hidden="1" outlineLevel="1" x14ac:dyDescent="0.25">
      <c r="A104" s="44"/>
      <c r="B104" s="11" t="str">
        <f>CONCATENATE("          ", "4327", " - ", "SALES RETURN NON TAXABLE-SCHOO")</f>
        <v xml:space="preserve">          4327 - SALES RETURN NON TAXABLE-SCHOO</v>
      </c>
      <c r="C104" s="11"/>
      <c r="D104" s="2">
        <f t="shared" si="21"/>
        <v>0</v>
      </c>
      <c r="E104" s="2"/>
      <c r="F104" s="19"/>
      <c r="G104" s="2"/>
      <c r="H104" s="2">
        <f>0</f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 t="shared" si="22"/>
        <v>0</v>
      </c>
      <c r="Q104" s="2"/>
      <c r="R104" s="19"/>
      <c r="S104" s="2"/>
      <c r="T104" s="2">
        <f>-21.87</f>
        <v>-21.87</v>
      </c>
      <c r="U104" s="2"/>
      <c r="V104" s="19"/>
      <c r="W104" s="2"/>
      <c r="X104" s="2">
        <f t="shared" si="2"/>
        <v>21.87</v>
      </c>
      <c r="Y104" s="2"/>
      <c r="Z104" s="19">
        <f t="shared" si="3"/>
        <v>-1</v>
      </c>
    </row>
    <row r="105" spans="1:26" s="24" customFormat="1" hidden="1" outlineLevel="1" x14ac:dyDescent="0.25">
      <c r="A105" s="44"/>
      <c r="B105" s="11" t="str">
        <f>CONCATENATE("          ", "4340", " - ", "SALES RETURN NON TAXABLE-LOGO")</f>
        <v xml:space="preserve">          4340 - SALES RETURN NON TAXABLE-LOGO</v>
      </c>
      <c r="C105" s="11"/>
      <c r="D105" s="2">
        <f>-732.22</f>
        <v>-732.22</v>
      </c>
      <c r="E105" s="2"/>
      <c r="F105" s="19"/>
      <c r="G105" s="2"/>
      <c r="H105" s="2">
        <f>-216.75</f>
        <v>-216.75</v>
      </c>
      <c r="I105" s="2"/>
      <c r="J105" s="19"/>
      <c r="K105" s="2"/>
      <c r="L105" s="2">
        <f t="shared" si="0"/>
        <v>-515.47</v>
      </c>
      <c r="M105" s="2"/>
      <c r="N105" s="19">
        <f t="shared" si="1"/>
        <v>2.3781776239907728</v>
      </c>
      <c r="O105" s="11"/>
      <c r="P105" s="2">
        <f>-2215.94</f>
        <v>-2215.94</v>
      </c>
      <c r="Q105" s="2"/>
      <c r="R105" s="19"/>
      <c r="S105" s="2"/>
      <c r="T105" s="2">
        <f>-931.65</f>
        <v>-931.65</v>
      </c>
      <c r="U105" s="2"/>
      <c r="V105" s="19"/>
      <c r="W105" s="2"/>
      <c r="X105" s="2">
        <f t="shared" si="2"/>
        <v>-1284.29</v>
      </c>
      <c r="Y105" s="2"/>
      <c r="Z105" s="19">
        <f t="shared" si="3"/>
        <v>1.378511243492728</v>
      </c>
    </row>
    <row r="106" spans="1:26" s="24" customFormat="1" hidden="1" outlineLevel="1" x14ac:dyDescent="0.25">
      <c r="A106" s="44"/>
      <c r="B106" s="11" t="str">
        <f>CONCATENATE("          ", "4341", " - ", "SALES RETURN NON TAXABLE-LOGO")</f>
        <v xml:space="preserve">          4341 - SALES RETURN NON TAXABLE-LOGO</v>
      </c>
      <c r="C106" s="11"/>
      <c r="D106" s="2">
        <f>-27</f>
        <v>-27</v>
      </c>
      <c r="E106" s="2"/>
      <c r="F106" s="19"/>
      <c r="G106" s="2"/>
      <c r="H106" s="2">
        <f>-9.95</f>
        <v>-9.9499999999999993</v>
      </c>
      <c r="I106" s="2"/>
      <c r="J106" s="19"/>
      <c r="K106" s="2"/>
      <c r="L106" s="2">
        <f t="shared" si="0"/>
        <v>-17.05</v>
      </c>
      <c r="M106" s="2"/>
      <c r="N106" s="19">
        <f t="shared" si="1"/>
        <v>1.7135678391959801</v>
      </c>
      <c r="O106" s="11"/>
      <c r="P106" s="2">
        <f>-362.64</f>
        <v>-362.64</v>
      </c>
      <c r="Q106" s="2"/>
      <c r="R106" s="19"/>
      <c r="S106" s="2"/>
      <c r="T106" s="2">
        <f>-30.8</f>
        <v>-30.8</v>
      </c>
      <c r="U106" s="2"/>
      <c r="V106" s="19"/>
      <c r="W106" s="2"/>
      <c r="X106" s="2">
        <f t="shared" si="2"/>
        <v>-331.84</v>
      </c>
      <c r="Y106" s="2"/>
      <c r="Z106" s="19">
        <f t="shared" si="3"/>
        <v>10.774025974025973</v>
      </c>
    </row>
    <row r="107" spans="1:26" s="24" customFormat="1" hidden="1" outlineLevel="1" x14ac:dyDescent="0.25">
      <c r="A107" s="44"/>
      <c r="B107" s="11" t="str">
        <f>CONCATENATE("          ", "4342", " - ", "SALES RETURN NON TAXABLE-EVERY")</f>
        <v xml:space="preserve">          4342 - SALES RETURN NON TAXABLE-EVERY</v>
      </c>
      <c r="C107" s="11"/>
      <c r="D107" s="2">
        <f t="shared" ref="D107:D108" si="23">0</f>
        <v>0</v>
      </c>
      <c r="E107" s="2"/>
      <c r="F107" s="19"/>
      <c r="G107" s="2"/>
      <c r="H107" s="2">
        <f>-39.42</f>
        <v>-39.42</v>
      </c>
      <c r="I107" s="2"/>
      <c r="J107" s="19"/>
      <c r="K107" s="2"/>
      <c r="L107" s="2">
        <f t="shared" si="0"/>
        <v>39.42</v>
      </c>
      <c r="M107" s="2"/>
      <c r="N107" s="19">
        <f t="shared" si="1"/>
        <v>-1</v>
      </c>
      <c r="O107" s="11"/>
      <c r="P107" s="2">
        <f>-118.7</f>
        <v>-118.7</v>
      </c>
      <c r="Q107" s="2"/>
      <c r="R107" s="19"/>
      <c r="S107" s="2"/>
      <c r="T107" s="2">
        <f>-149.22</f>
        <v>-149.22</v>
      </c>
      <c r="U107" s="2"/>
      <c r="V107" s="19"/>
      <c r="W107" s="2"/>
      <c r="X107" s="2">
        <f t="shared" si="2"/>
        <v>30.519999999999996</v>
      </c>
      <c r="Y107" s="2"/>
      <c r="Z107" s="19">
        <f t="shared" si="3"/>
        <v>-0.20453022383058569</v>
      </c>
    </row>
    <row r="108" spans="1:26" s="24" customFormat="1" hidden="1" outlineLevel="1" x14ac:dyDescent="0.25">
      <c r="A108" s="44"/>
      <c r="B108" s="11" t="str">
        <f>CONCATENATE("          ", "4346", " - ", "SALES RETURN NON TAXABLE-COIN-")</f>
        <v xml:space="preserve">          4346 - SALES RETURN NON TAXABLE-COIN-</v>
      </c>
      <c r="C108" s="11"/>
      <c r="D108" s="2">
        <f t="shared" si="23"/>
        <v>0</v>
      </c>
      <c r="E108" s="2"/>
      <c r="F108" s="19"/>
      <c r="G108" s="2"/>
      <c r="H108" s="2">
        <f>0</f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0</f>
        <v>0</v>
      </c>
      <c r="Q108" s="2"/>
      <c r="R108" s="19"/>
      <c r="S108" s="2"/>
      <c r="T108" s="2">
        <f>-8.15</f>
        <v>-8.15</v>
      </c>
      <c r="U108" s="2"/>
      <c r="V108" s="19"/>
      <c r="W108" s="2"/>
      <c r="X108" s="2">
        <f t="shared" si="2"/>
        <v>8.15</v>
      </c>
      <c r="Y108" s="2"/>
      <c r="Z108" s="19">
        <f t="shared" si="3"/>
        <v>-1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collapsed="1" x14ac:dyDescent="0.25">
      <c r="A110" s="10"/>
      <c r="B110" s="29" t="s">
        <v>8</v>
      </c>
      <c r="C110" s="10"/>
      <c r="D110" s="4">
        <f>SUM(OSRRefD16x_0)</f>
        <v>771335.59000000008</v>
      </c>
      <c r="E110" s="4"/>
      <c r="F110" s="12">
        <f t="shared" ref="F110:F162" si="24">IF(D$12=0,0,D110/D$12)</f>
        <v>0.65432648696340723</v>
      </c>
      <c r="G110" s="4"/>
      <c r="H110" s="4">
        <f>SUM(OSRRefH16x_0)</f>
        <v>1277484.9499999995</v>
      </c>
      <c r="I110" s="4"/>
      <c r="J110" s="12">
        <f t="shared" ref="J110:J162" si="25">IF(H$12=0,0,H110/H$12)</f>
        <v>0.54254371749864705</v>
      </c>
      <c r="K110" s="4"/>
      <c r="L110" s="4">
        <f t="shared" ref="L110:L162" si="26">+D110-H110</f>
        <v>-506149.3599999994</v>
      </c>
      <c r="M110" s="4"/>
      <c r="N110" s="12">
        <f t="shared" ref="N110:N162" si="27">IF(H110=0,0,L110/H110)</f>
        <v>-0.39620768917864718</v>
      </c>
      <c r="O110" s="10"/>
      <c r="P110" s="4">
        <f>SUM(OSRRefP16x_0)</f>
        <v>2515091.7300000004</v>
      </c>
      <c r="Q110" s="4"/>
      <c r="R110" s="12">
        <f t="shared" ref="R110:R162" si="28">IF(P$12=0,0,P110/P$12)</f>
        <v>0.64821536478505981</v>
      </c>
      <c r="S110" s="4"/>
      <c r="T110" s="4">
        <f>SUM(OSRRefT16x_0)</f>
        <v>5272170.450000003</v>
      </c>
      <c r="U110" s="4"/>
      <c r="V110" s="12">
        <f t="shared" ref="V110:V162" si="29">IF(T$12=0,0,T110/T$12)</f>
        <v>0.55516409725804672</v>
      </c>
      <c r="W110" s="4"/>
      <c r="X110" s="4">
        <f t="shared" ref="X110:X162" si="30">+P110-T110</f>
        <v>-2757078.7200000025</v>
      </c>
      <c r="Y110" s="4"/>
      <c r="Z110" s="12">
        <f t="shared" ref="Z110:Z162" si="31">IF(T110=0,0,X110/T110)</f>
        <v>-0.52294946571767253</v>
      </c>
    </row>
    <row r="111" spans="1:26" s="24" customFormat="1" hidden="1" outlineLevel="1" x14ac:dyDescent="0.25">
      <c r="A111" s="44"/>
      <c r="B111" s="11" t="str">
        <f>CONCATENATE("          ", "5001", " - ", "PURCHASES @ COST-NEW TEXT")</f>
        <v xml:space="preserve">          5001 - PURCHASES @ COST-NEW TEXT</v>
      </c>
      <c r="C111" s="11"/>
      <c r="D111" s="2">
        <v>381096.17</v>
      </c>
      <c r="E111" s="2"/>
      <c r="F111" s="19">
        <f t="shared" si="24"/>
        <v>0.32328511914160396</v>
      </c>
      <c r="G111" s="2"/>
      <c r="H111" s="2">
        <v>890224.90999999992</v>
      </c>
      <c r="I111" s="2"/>
      <c r="J111" s="19">
        <f t="shared" si="25"/>
        <v>0.37807563375310105</v>
      </c>
      <c r="K111" s="2"/>
      <c r="L111" s="2">
        <f t="shared" si="26"/>
        <v>-509128.73999999993</v>
      </c>
      <c r="M111" s="2"/>
      <c r="N111" s="19">
        <f t="shared" si="27"/>
        <v>-0.57191023782967387</v>
      </c>
      <c r="O111" s="11"/>
      <c r="P111" s="2">
        <v>1659009.21</v>
      </c>
      <c r="Q111" s="2"/>
      <c r="R111" s="19">
        <f t="shared" si="28"/>
        <v>0.42757695372085841</v>
      </c>
      <c r="S111" s="2"/>
      <c r="T111" s="2">
        <v>2627294.66</v>
      </c>
      <c r="U111" s="2"/>
      <c r="V111" s="19">
        <f t="shared" si="29"/>
        <v>0.27665639454994972</v>
      </c>
      <c r="W111" s="2"/>
      <c r="X111" s="2">
        <f t="shared" si="30"/>
        <v>-968285.45000000019</v>
      </c>
      <c r="Y111" s="2"/>
      <c r="Z111" s="19">
        <f t="shared" si="31"/>
        <v>-0.36854847868491469</v>
      </c>
    </row>
    <row r="112" spans="1:26" s="24" customFormat="1" hidden="1" outlineLevel="1" x14ac:dyDescent="0.25">
      <c r="A112" s="44"/>
      <c r="B112" s="11" t="str">
        <f>CONCATENATE("          ", "5002", " - ", "PURCHASES @ COST-USED TEXT")</f>
        <v xml:space="preserve">          5002 - PURCHASES @ COST-USED TEXT</v>
      </c>
      <c r="C112" s="11"/>
      <c r="D112" s="2">
        <v>95863.360000000001</v>
      </c>
      <c r="E112" s="2"/>
      <c r="F112" s="19">
        <f t="shared" si="24"/>
        <v>8.1321199735264915E-2</v>
      </c>
      <c r="G112" s="2"/>
      <c r="H112" s="2">
        <v>260084.68000000002</v>
      </c>
      <c r="I112" s="2"/>
      <c r="J112" s="19">
        <f t="shared" si="25"/>
        <v>0.11045712057245456</v>
      </c>
      <c r="K112" s="2"/>
      <c r="L112" s="2">
        <f t="shared" si="26"/>
        <v>-164221.32</v>
      </c>
      <c r="M112" s="2"/>
      <c r="N112" s="19">
        <f t="shared" si="27"/>
        <v>-0.63141481459038651</v>
      </c>
      <c r="O112" s="11"/>
      <c r="P112" s="2">
        <v>260336.28</v>
      </c>
      <c r="Q112" s="2"/>
      <c r="R112" s="19">
        <f t="shared" si="28"/>
        <v>6.7096549479324738E-2</v>
      </c>
      <c r="S112" s="2"/>
      <c r="T112" s="2">
        <v>512607.53</v>
      </c>
      <c r="U112" s="2"/>
      <c r="V112" s="19">
        <f t="shared" si="29"/>
        <v>5.3978015191092119E-2</v>
      </c>
      <c r="W112" s="2"/>
      <c r="X112" s="2">
        <f t="shared" si="30"/>
        <v>-252271.25000000003</v>
      </c>
      <c r="Y112" s="2"/>
      <c r="Z112" s="19">
        <f t="shared" si="31"/>
        <v>-0.492133328591564</v>
      </c>
    </row>
    <row r="113" spans="1:26" s="24" customFormat="1" hidden="1" outlineLevel="1" x14ac:dyDescent="0.25">
      <c r="A113" s="44"/>
      <c r="B113" s="11" t="str">
        <f>CONCATENATE("          ", "5003", " - ", "PURCHASES @ COST-RENTAL TEXT")</f>
        <v xml:space="preserve">          5003 - PURCHASES @ COST-RENTAL TEXT</v>
      </c>
      <c r="C113" s="11"/>
      <c r="D113" s="2"/>
      <c r="E113" s="2"/>
      <c r="F113" s="19">
        <f t="shared" si="24"/>
        <v>0</v>
      </c>
      <c r="G113" s="2"/>
      <c r="H113" s="2"/>
      <c r="I113" s="2"/>
      <c r="J113" s="19">
        <f t="shared" si="25"/>
        <v>0</v>
      </c>
      <c r="K113" s="2"/>
      <c r="L113" s="2">
        <f t="shared" si="26"/>
        <v>0</v>
      </c>
      <c r="M113" s="2"/>
      <c r="N113" s="19">
        <f t="shared" si="27"/>
        <v>0</v>
      </c>
      <c r="O113" s="11"/>
      <c r="P113" s="2">
        <v>32.520000000000003</v>
      </c>
      <c r="Q113" s="2"/>
      <c r="R113" s="19">
        <f t="shared" si="28"/>
        <v>8.3813895975913944E-6</v>
      </c>
      <c r="S113" s="2"/>
      <c r="T113" s="2">
        <v>-78.400000000000006</v>
      </c>
      <c r="U113" s="2"/>
      <c r="V113" s="19">
        <f t="shared" si="29"/>
        <v>-8.2555876441799867E-6</v>
      </c>
      <c r="W113" s="2"/>
      <c r="X113" s="2">
        <f t="shared" si="30"/>
        <v>110.92000000000002</v>
      </c>
      <c r="Y113" s="2"/>
      <c r="Z113" s="19">
        <f t="shared" si="31"/>
        <v>-1.4147959183673471</v>
      </c>
    </row>
    <row r="114" spans="1:26" s="24" customFormat="1" hidden="1" outlineLevel="1" x14ac:dyDescent="0.25">
      <c r="A114" s="44"/>
      <c r="B114" s="11" t="str">
        <f>CONCATENATE("          ", "5004", " - ", "PURCHASES @ COST-DIGITAL TEXT")</f>
        <v xml:space="preserve">          5004 - PURCHASES @ COST-DIGITAL TEXT</v>
      </c>
      <c r="C114" s="11"/>
      <c r="D114" s="2">
        <v>18888.449999999997</v>
      </c>
      <c r="E114" s="2"/>
      <c r="F114" s="19">
        <f t="shared" si="24"/>
        <v>1.6023133501053628E-2</v>
      </c>
      <c r="G114" s="2"/>
      <c r="H114" s="2">
        <v>119541.49999999999</v>
      </c>
      <c r="I114" s="2"/>
      <c r="J114" s="19">
        <f t="shared" si="25"/>
        <v>5.0768887575046995E-2</v>
      </c>
      <c r="K114" s="2"/>
      <c r="L114" s="2">
        <f t="shared" si="26"/>
        <v>-100653.04999999999</v>
      </c>
      <c r="M114" s="2"/>
      <c r="N114" s="19">
        <f t="shared" si="27"/>
        <v>-0.84199252979090944</v>
      </c>
      <c r="O114" s="11"/>
      <c r="P114" s="2">
        <v>216726.56</v>
      </c>
      <c r="Q114" s="2"/>
      <c r="R114" s="19">
        <f t="shared" si="28"/>
        <v>5.5857002936831705E-2</v>
      </c>
      <c r="S114" s="2"/>
      <c r="T114" s="2">
        <v>473893.77</v>
      </c>
      <c r="U114" s="2"/>
      <c r="V114" s="19">
        <f t="shared" si="29"/>
        <v>4.9901422860534089E-2</v>
      </c>
      <c r="W114" s="2"/>
      <c r="X114" s="2">
        <f t="shared" si="30"/>
        <v>-257167.21000000002</v>
      </c>
      <c r="Y114" s="2"/>
      <c r="Z114" s="19">
        <f t="shared" si="31"/>
        <v>-0.5426684761017222</v>
      </c>
    </row>
    <row r="115" spans="1:26" s="24" customFormat="1" hidden="1" outlineLevel="1" x14ac:dyDescent="0.25">
      <c r="A115" s="44"/>
      <c r="B115" s="11" t="str">
        <f>CONCATENATE("          ", "5011", " - ", "PURCHASES @ COST-NO VALUE TEXT")</f>
        <v xml:space="preserve">          5011 - PURCHASES @ COST-NO VALUE TEXT</v>
      </c>
      <c r="C115" s="11"/>
      <c r="D115" s="2"/>
      <c r="E115" s="2"/>
      <c r="F115" s="19">
        <f t="shared" si="24"/>
        <v>0</v>
      </c>
      <c r="G115" s="2"/>
      <c r="H115" s="2">
        <v>573</v>
      </c>
      <c r="I115" s="2"/>
      <c r="J115" s="19">
        <f t="shared" si="25"/>
        <v>2.4335124271070659E-4</v>
      </c>
      <c r="K115" s="2"/>
      <c r="L115" s="2">
        <f t="shared" si="26"/>
        <v>-573</v>
      </c>
      <c r="M115" s="2"/>
      <c r="N115" s="19">
        <f t="shared" si="27"/>
        <v>-1</v>
      </c>
      <c r="O115" s="11"/>
      <c r="P115" s="2">
        <v>67.17</v>
      </c>
      <c r="Q115" s="2"/>
      <c r="R115" s="19">
        <f t="shared" si="28"/>
        <v>1.7311744750006579E-5</v>
      </c>
      <c r="S115" s="2"/>
      <c r="T115" s="2">
        <v>5475</v>
      </c>
      <c r="U115" s="2"/>
      <c r="V115" s="19">
        <f t="shared" si="29"/>
        <v>5.7652222387608964E-4</v>
      </c>
      <c r="W115" s="2"/>
      <c r="X115" s="2">
        <f t="shared" si="30"/>
        <v>-5407.83</v>
      </c>
      <c r="Y115" s="2"/>
      <c r="Z115" s="19">
        <f t="shared" si="31"/>
        <v>-0.9877315068493151</v>
      </c>
    </row>
    <row r="116" spans="1:26" s="24" customFormat="1" hidden="1" outlineLevel="1" x14ac:dyDescent="0.25">
      <c r="A116" s="44"/>
      <c r="B116" s="11" t="str">
        <f>CONCATENATE("          ", "5013", " - ", "PURCHASES @ COST-TRADE BOOKS")</f>
        <v xml:space="preserve">          5013 - PURCHASES @ COST-TRADE BOOKS</v>
      </c>
      <c r="C116" s="11"/>
      <c r="D116" s="2">
        <v>3531.13</v>
      </c>
      <c r="E116" s="2"/>
      <c r="F116" s="19">
        <f t="shared" si="24"/>
        <v>2.9954690511701867E-3</v>
      </c>
      <c r="G116" s="2"/>
      <c r="H116" s="2">
        <v>-276.85000000000002</v>
      </c>
      <c r="I116" s="2"/>
      <c r="J116" s="19">
        <f t="shared" si="25"/>
        <v>-1.1757729763430911E-4</v>
      </c>
      <c r="K116" s="2"/>
      <c r="L116" s="2">
        <f t="shared" si="26"/>
        <v>3807.98</v>
      </c>
      <c r="M116" s="2"/>
      <c r="N116" s="19">
        <f t="shared" si="27"/>
        <v>-13.754668593100956</v>
      </c>
      <c r="O116" s="11"/>
      <c r="P116" s="2">
        <v>5656.98</v>
      </c>
      <c r="Q116" s="2"/>
      <c r="R116" s="19">
        <f t="shared" si="28"/>
        <v>1.4579751945197588E-3</v>
      </c>
      <c r="S116" s="2"/>
      <c r="T116" s="2">
        <v>458.46</v>
      </c>
      <c r="U116" s="2"/>
      <c r="V116" s="19">
        <f t="shared" si="29"/>
        <v>4.8276233563147403E-5</v>
      </c>
      <c r="W116" s="2"/>
      <c r="X116" s="2">
        <f t="shared" si="30"/>
        <v>5198.5199999999995</v>
      </c>
      <c r="Y116" s="2"/>
      <c r="Z116" s="19">
        <f t="shared" si="31"/>
        <v>11.339091741918596</v>
      </c>
    </row>
    <row r="117" spans="1:26" s="24" customFormat="1" hidden="1" outlineLevel="1" x14ac:dyDescent="0.25">
      <c r="A117" s="44"/>
      <c r="B117" s="11" t="str">
        <f>CONCATENATE("          ", "5014", " - ", "PURCHASES @ COST-REMAINDERS")</f>
        <v xml:space="preserve">          5014 - PURCHASES @ COST-REMAINDERS</v>
      </c>
      <c r="C117" s="11"/>
      <c r="D117" s="2"/>
      <c r="E117" s="2"/>
      <c r="F117" s="19">
        <f t="shared" si="24"/>
        <v>0</v>
      </c>
      <c r="G117" s="2"/>
      <c r="H117" s="2">
        <v>69.599999999999994</v>
      </c>
      <c r="I117" s="2"/>
      <c r="J117" s="19">
        <f t="shared" si="25"/>
        <v>2.9558894402557029E-5</v>
      </c>
      <c r="K117" s="2"/>
      <c r="L117" s="2">
        <f t="shared" si="26"/>
        <v>-69.599999999999994</v>
      </c>
      <c r="M117" s="2"/>
      <c r="N117" s="19">
        <f t="shared" si="27"/>
        <v>-1</v>
      </c>
      <c r="O117" s="11"/>
      <c r="P117" s="2">
        <v>90.41</v>
      </c>
      <c r="Q117" s="2"/>
      <c r="R117" s="19">
        <f t="shared" si="28"/>
        <v>2.3301397094656761E-5</v>
      </c>
      <c r="S117" s="2"/>
      <c r="T117" s="2">
        <v>583.39</v>
      </c>
      <c r="U117" s="2"/>
      <c r="V117" s="19">
        <f t="shared" si="29"/>
        <v>6.1431470353803095E-5</v>
      </c>
      <c r="W117" s="2"/>
      <c r="X117" s="2">
        <f t="shared" si="30"/>
        <v>-492.98</v>
      </c>
      <c r="Y117" s="2"/>
      <c r="Z117" s="19">
        <f t="shared" si="31"/>
        <v>-0.84502648314163775</v>
      </c>
    </row>
    <row r="118" spans="1:26" s="24" customFormat="1" hidden="1" outlineLevel="1" x14ac:dyDescent="0.25">
      <c r="A118" s="44"/>
      <c r="B118" s="11" t="str">
        <f>CONCATENATE("          ", "5017", " - ", "PURCHASES @ COST-DORM/HOUSEWAR")</f>
        <v xml:space="preserve">          5017 - PURCHASES @ COST-DORM/HOUSEWAR</v>
      </c>
      <c r="C118" s="11"/>
      <c r="D118" s="2"/>
      <c r="E118" s="2"/>
      <c r="F118" s="19">
        <f t="shared" si="24"/>
        <v>0</v>
      </c>
      <c r="G118" s="2"/>
      <c r="H118" s="2"/>
      <c r="I118" s="2"/>
      <c r="J118" s="19">
        <f t="shared" si="25"/>
        <v>0</v>
      </c>
      <c r="K118" s="2"/>
      <c r="L118" s="2">
        <f t="shared" si="26"/>
        <v>0</v>
      </c>
      <c r="M118" s="2"/>
      <c r="N118" s="19">
        <f t="shared" si="27"/>
        <v>0</v>
      </c>
      <c r="O118" s="11"/>
      <c r="P118" s="2"/>
      <c r="Q118" s="2"/>
      <c r="R118" s="19">
        <f t="shared" si="28"/>
        <v>0</v>
      </c>
      <c r="S118" s="2"/>
      <c r="T118" s="2">
        <v>0</v>
      </c>
      <c r="U118" s="2"/>
      <c r="V118" s="19">
        <f t="shared" si="29"/>
        <v>0</v>
      </c>
      <c r="W118" s="2"/>
      <c r="X118" s="2">
        <f t="shared" si="30"/>
        <v>0</v>
      </c>
      <c r="Y118" s="2"/>
      <c r="Z118" s="19">
        <f t="shared" si="31"/>
        <v>0</v>
      </c>
    </row>
    <row r="119" spans="1:26" s="24" customFormat="1" hidden="1" outlineLevel="1" x14ac:dyDescent="0.25">
      <c r="A119" s="44"/>
      <c r="B119" s="11" t="str">
        <f>CONCATENATE("          ", "5018", " - ", "PURCHASES @ COST-STUDY GUIDES")</f>
        <v xml:space="preserve">          5018 - PURCHASES @ COST-STUDY GUIDES</v>
      </c>
      <c r="C119" s="11"/>
      <c r="D119" s="2">
        <v>416</v>
      </c>
      <c r="E119" s="2"/>
      <c r="F119" s="19">
        <f t="shared" si="24"/>
        <v>3.5289415152849019E-4</v>
      </c>
      <c r="G119" s="2"/>
      <c r="H119" s="2">
        <v>1032.75</v>
      </c>
      <c r="I119" s="2"/>
      <c r="J119" s="19">
        <f t="shared" si="25"/>
        <v>4.3860557750345939E-4</v>
      </c>
      <c r="K119" s="2"/>
      <c r="L119" s="2">
        <f t="shared" si="26"/>
        <v>-616.75</v>
      </c>
      <c r="M119" s="2"/>
      <c r="N119" s="19">
        <f t="shared" si="27"/>
        <v>-0.59719196320503509</v>
      </c>
      <c r="O119" s="11"/>
      <c r="P119" s="2">
        <v>522.34</v>
      </c>
      <c r="Q119" s="2"/>
      <c r="R119" s="19">
        <f t="shared" si="28"/>
        <v>1.3462284878246891E-4</v>
      </c>
      <c r="S119" s="2"/>
      <c r="T119" s="2">
        <v>2031.15</v>
      </c>
      <c r="U119" s="2"/>
      <c r="V119" s="19">
        <f t="shared" si="29"/>
        <v>2.1388184749331863E-4</v>
      </c>
      <c r="W119" s="2"/>
      <c r="X119" s="2">
        <f t="shared" si="30"/>
        <v>-1508.81</v>
      </c>
      <c r="Y119" s="2"/>
      <c r="Z119" s="19">
        <f t="shared" si="31"/>
        <v>-0.74283533958594883</v>
      </c>
    </row>
    <row r="120" spans="1:26" s="24" customFormat="1" hidden="1" outlineLevel="1" x14ac:dyDescent="0.25">
      <c r="A120" s="44"/>
      <c r="B120" s="11" t="str">
        <f>CONCATENATE("          ", "5025", " - ", "PURCHASES @ COST-TEST FORMS")</f>
        <v xml:space="preserve">          5025 - PURCHASES @ COST-TEST FORMS</v>
      </c>
      <c r="C120" s="11"/>
      <c r="D120" s="2"/>
      <c r="E120" s="2"/>
      <c r="F120" s="19">
        <f t="shared" si="24"/>
        <v>0</v>
      </c>
      <c r="G120" s="2"/>
      <c r="H120" s="2">
        <v>880</v>
      </c>
      <c r="I120" s="2"/>
      <c r="J120" s="19">
        <f t="shared" si="25"/>
        <v>3.7373314761853719E-4</v>
      </c>
      <c r="K120" s="2"/>
      <c r="L120" s="2">
        <f t="shared" si="26"/>
        <v>-880</v>
      </c>
      <c r="M120" s="2"/>
      <c r="N120" s="19">
        <f t="shared" si="27"/>
        <v>-1</v>
      </c>
      <c r="O120" s="11"/>
      <c r="P120" s="2">
        <v>599.29</v>
      </c>
      <c r="Q120" s="2"/>
      <c r="R120" s="19">
        <f t="shared" si="28"/>
        <v>1.544551959391312E-4</v>
      </c>
      <c r="S120" s="2"/>
      <c r="T120" s="2">
        <v>22978.390000000003</v>
      </c>
      <c r="U120" s="2"/>
      <c r="V120" s="19">
        <f t="shared" si="29"/>
        <v>2.4196442929483291E-3</v>
      </c>
      <c r="W120" s="2"/>
      <c r="X120" s="2">
        <f t="shared" si="30"/>
        <v>-22379.100000000002</v>
      </c>
      <c r="Y120" s="2"/>
      <c r="Z120" s="19">
        <f t="shared" si="31"/>
        <v>-0.97391940862697512</v>
      </c>
    </row>
    <row r="121" spans="1:26" s="24" customFormat="1" hidden="1" outlineLevel="1" x14ac:dyDescent="0.25">
      <c r="A121" s="44"/>
      <c r="B121" s="11" t="str">
        <f>CONCATENATE("          ", "5026", " - ", "PURCHASES @ COST-WRITING INSTR")</f>
        <v xml:space="preserve">          5026 - PURCHASES @ COST-WRITING INSTR</v>
      </c>
      <c r="C121" s="11"/>
      <c r="D121" s="2"/>
      <c r="E121" s="2"/>
      <c r="F121" s="19">
        <f t="shared" si="24"/>
        <v>0</v>
      </c>
      <c r="G121" s="2"/>
      <c r="H121" s="2">
        <v>9201.3799999999992</v>
      </c>
      <c r="I121" s="2"/>
      <c r="J121" s="19">
        <f t="shared" si="25"/>
        <v>3.9077962611752904E-3</v>
      </c>
      <c r="K121" s="2"/>
      <c r="L121" s="2">
        <f t="shared" si="26"/>
        <v>-9201.3799999999992</v>
      </c>
      <c r="M121" s="2"/>
      <c r="N121" s="19">
        <f t="shared" si="27"/>
        <v>-1</v>
      </c>
      <c r="O121" s="11"/>
      <c r="P121" s="2">
        <v>374.91</v>
      </c>
      <c r="Q121" s="2"/>
      <c r="R121" s="19">
        <f t="shared" si="28"/>
        <v>9.6625669558210014E-5</v>
      </c>
      <c r="S121" s="2"/>
      <c r="T121" s="2">
        <v>43496.15</v>
      </c>
      <c r="U121" s="2"/>
      <c r="V121" s="19">
        <f t="shared" si="29"/>
        <v>4.5801821238443795E-3</v>
      </c>
      <c r="W121" s="2"/>
      <c r="X121" s="2">
        <f t="shared" si="30"/>
        <v>-43121.24</v>
      </c>
      <c r="Y121" s="2"/>
      <c r="Z121" s="19">
        <f t="shared" si="31"/>
        <v>-0.99138061644536346</v>
      </c>
    </row>
    <row r="122" spans="1:26" s="24" customFormat="1" hidden="1" outlineLevel="1" x14ac:dyDescent="0.25">
      <c r="A122" s="44"/>
      <c r="B122" s="11" t="str">
        <f>CONCATENATE("          ", "5027", " - ", "PURCHASES @ COST-SCHOOL SUPPLI")</f>
        <v xml:space="preserve">          5027 - PURCHASES @ COST-SCHOOL SUPPLI</v>
      </c>
      <c r="C122" s="11"/>
      <c r="D122" s="2"/>
      <c r="E122" s="2"/>
      <c r="F122" s="19">
        <f t="shared" si="24"/>
        <v>0</v>
      </c>
      <c r="G122" s="2"/>
      <c r="H122" s="2">
        <v>42814.02</v>
      </c>
      <c r="I122" s="2"/>
      <c r="J122" s="19">
        <f t="shared" si="25"/>
        <v>1.818297551909432E-2</v>
      </c>
      <c r="K122" s="2"/>
      <c r="L122" s="2">
        <f t="shared" si="26"/>
        <v>-42814.02</v>
      </c>
      <c r="M122" s="2"/>
      <c r="N122" s="19">
        <f t="shared" si="27"/>
        <v>-1</v>
      </c>
      <c r="O122" s="11"/>
      <c r="P122" s="2">
        <v>19071.350000000002</v>
      </c>
      <c r="Q122" s="2"/>
      <c r="R122" s="19">
        <f t="shared" si="28"/>
        <v>4.9152648985862435E-3</v>
      </c>
      <c r="S122" s="2"/>
      <c r="T122" s="2">
        <v>120814.02</v>
      </c>
      <c r="U122" s="2"/>
      <c r="V122" s="19">
        <f t="shared" si="29"/>
        <v>1.2721820545353493E-2</v>
      </c>
      <c r="W122" s="2"/>
      <c r="X122" s="2">
        <f t="shared" si="30"/>
        <v>-101742.67</v>
      </c>
      <c r="Y122" s="2"/>
      <c r="Z122" s="19">
        <f t="shared" si="31"/>
        <v>-0.8421429069242129</v>
      </c>
    </row>
    <row r="123" spans="1:26" s="24" customFormat="1" hidden="1" outlineLevel="1" x14ac:dyDescent="0.25">
      <c r="A123" s="44"/>
      <c r="B123" s="11" t="str">
        <f>CONCATENATE("          ", "5028", " - ", "PURCHASES @ COST-ART/TECH")</f>
        <v xml:space="preserve">          5028 - PURCHASES @ COST-ART/TECH</v>
      </c>
      <c r="C123" s="11"/>
      <c r="D123" s="2"/>
      <c r="E123" s="2"/>
      <c r="F123" s="19">
        <f t="shared" si="24"/>
        <v>0</v>
      </c>
      <c r="G123" s="2"/>
      <c r="H123" s="2">
        <v>32126.68</v>
      </c>
      <c r="I123" s="2"/>
      <c r="J123" s="19">
        <f t="shared" si="25"/>
        <v>1.3644096862424439E-2</v>
      </c>
      <c r="K123" s="2"/>
      <c r="L123" s="2">
        <f t="shared" si="26"/>
        <v>-32126.68</v>
      </c>
      <c r="M123" s="2"/>
      <c r="N123" s="19">
        <f t="shared" si="27"/>
        <v>-1</v>
      </c>
      <c r="O123" s="11"/>
      <c r="P123" s="2">
        <v>41358.449999999997</v>
      </c>
      <c r="Q123" s="2"/>
      <c r="R123" s="19">
        <f t="shared" si="28"/>
        <v>1.0659326033287325E-2</v>
      </c>
      <c r="S123" s="2"/>
      <c r="T123" s="2">
        <v>135127.5</v>
      </c>
      <c r="U123" s="2"/>
      <c r="V123" s="19">
        <f t="shared" si="29"/>
        <v>1.4229042339144531E-2</v>
      </c>
      <c r="W123" s="2"/>
      <c r="X123" s="2">
        <f t="shared" si="30"/>
        <v>-93769.05</v>
      </c>
      <c r="Y123" s="2"/>
      <c r="Z123" s="19">
        <f t="shared" si="31"/>
        <v>-0.69393017705500359</v>
      </c>
    </row>
    <row r="124" spans="1:26" s="24" customFormat="1" hidden="1" outlineLevel="1" x14ac:dyDescent="0.25">
      <c r="A124" s="44"/>
      <c r="B124" s="11" t="str">
        <f>CONCATENATE("          ", "5031", " - ", "PURCHASES @ COST-FOOD")</f>
        <v xml:space="preserve">          5031 - PURCHASES @ COST-FOOD</v>
      </c>
      <c r="C124" s="11"/>
      <c r="D124" s="2">
        <v>239.16</v>
      </c>
      <c r="E124" s="2"/>
      <c r="F124" s="19">
        <f t="shared" si="24"/>
        <v>2.0288020499892719E-4</v>
      </c>
      <c r="G124" s="2"/>
      <c r="H124" s="2">
        <v>2390.66</v>
      </c>
      <c r="I124" s="2"/>
      <c r="J124" s="19">
        <f t="shared" si="25"/>
        <v>1.0153055530519681E-3</v>
      </c>
      <c r="K124" s="2"/>
      <c r="L124" s="2">
        <f t="shared" si="26"/>
        <v>-2151.5</v>
      </c>
      <c r="M124" s="2"/>
      <c r="N124" s="19">
        <f t="shared" si="27"/>
        <v>-0.89996068031422294</v>
      </c>
      <c r="O124" s="11"/>
      <c r="P124" s="2">
        <v>7514.26</v>
      </c>
      <c r="Q124" s="2"/>
      <c r="R124" s="19">
        <f t="shared" si="28"/>
        <v>1.9366525399015101E-3</v>
      </c>
      <c r="S124" s="2"/>
      <c r="T124" s="2">
        <v>24900.390000000003</v>
      </c>
      <c r="U124" s="2"/>
      <c r="V124" s="19">
        <f t="shared" si="29"/>
        <v>2.6220325512661086E-3</v>
      </c>
      <c r="W124" s="2"/>
      <c r="X124" s="2">
        <f t="shared" si="30"/>
        <v>-17386.130000000005</v>
      </c>
      <c r="Y124" s="2"/>
      <c r="Z124" s="19">
        <f t="shared" si="31"/>
        <v>-0.69822721652150843</v>
      </c>
    </row>
    <row r="125" spans="1:26" s="24" customFormat="1" hidden="1" outlineLevel="1" x14ac:dyDescent="0.25">
      <c r="A125" s="44"/>
      <c r="B125" s="11" t="str">
        <f>CONCATENATE("          ", "5032", " - ", "PURCHASES @ COST-JUICE")</f>
        <v xml:space="preserve">          5032 - PURCHASES @ COST-JUICE</v>
      </c>
      <c r="C125" s="11"/>
      <c r="D125" s="2"/>
      <c r="E125" s="2"/>
      <c r="F125" s="19">
        <f t="shared" si="24"/>
        <v>0</v>
      </c>
      <c r="G125" s="2"/>
      <c r="H125" s="2">
        <v>371.03</v>
      </c>
      <c r="I125" s="2"/>
      <c r="J125" s="19">
        <f t="shared" si="25"/>
        <v>1.5757523836466573E-4</v>
      </c>
      <c r="K125" s="2"/>
      <c r="L125" s="2">
        <f t="shared" si="26"/>
        <v>-371.03</v>
      </c>
      <c r="M125" s="2"/>
      <c r="N125" s="19">
        <f t="shared" si="27"/>
        <v>-1</v>
      </c>
      <c r="O125" s="11"/>
      <c r="P125" s="2"/>
      <c r="Q125" s="2"/>
      <c r="R125" s="19">
        <f t="shared" si="28"/>
        <v>0</v>
      </c>
      <c r="S125" s="2"/>
      <c r="T125" s="2">
        <v>5392.51</v>
      </c>
      <c r="U125" s="2"/>
      <c r="V125" s="19">
        <f t="shared" si="29"/>
        <v>5.6783595570302327E-4</v>
      </c>
      <c r="W125" s="2"/>
      <c r="X125" s="2">
        <f t="shared" si="30"/>
        <v>-5392.51</v>
      </c>
      <c r="Y125" s="2"/>
      <c r="Z125" s="19">
        <f t="shared" si="31"/>
        <v>-1</v>
      </c>
    </row>
    <row r="126" spans="1:26" s="24" customFormat="1" hidden="1" outlineLevel="1" x14ac:dyDescent="0.25">
      <c r="A126" s="44"/>
      <c r="B126" s="11" t="str">
        <f>CONCATENATE("          ", "5033", " - ", "PURCHASES @ COST-CANDY")</f>
        <v xml:space="preserve">          5033 - PURCHASES @ COST-CANDY</v>
      </c>
      <c r="C126" s="11"/>
      <c r="D126" s="2"/>
      <c r="E126" s="2"/>
      <c r="F126" s="19">
        <f t="shared" si="24"/>
        <v>0</v>
      </c>
      <c r="G126" s="2"/>
      <c r="H126" s="2">
        <v>805.69</v>
      </c>
      <c r="I126" s="2"/>
      <c r="J126" s="19">
        <f t="shared" si="25"/>
        <v>3.4217393148270366E-4</v>
      </c>
      <c r="K126" s="2"/>
      <c r="L126" s="2">
        <f t="shared" si="26"/>
        <v>-805.69</v>
      </c>
      <c r="M126" s="2"/>
      <c r="N126" s="19">
        <f t="shared" si="27"/>
        <v>-1</v>
      </c>
      <c r="O126" s="11"/>
      <c r="P126" s="2"/>
      <c r="Q126" s="2"/>
      <c r="R126" s="19">
        <f t="shared" si="28"/>
        <v>0</v>
      </c>
      <c r="S126" s="2"/>
      <c r="T126" s="2">
        <v>7003.62</v>
      </c>
      <c r="U126" s="2"/>
      <c r="V126" s="19">
        <f t="shared" si="29"/>
        <v>7.3748722878229389E-4</v>
      </c>
      <c r="W126" s="2"/>
      <c r="X126" s="2">
        <f t="shared" si="30"/>
        <v>-7003.62</v>
      </c>
      <c r="Y126" s="2"/>
      <c r="Z126" s="19">
        <f t="shared" si="31"/>
        <v>-1</v>
      </c>
    </row>
    <row r="127" spans="1:26" s="24" customFormat="1" hidden="1" outlineLevel="1" x14ac:dyDescent="0.25">
      <c r="A127" s="44"/>
      <c r="B127" s="11" t="str">
        <f>CONCATENATE("          ", "5034", " - ", "PURCHASES @ COST-SODA")</f>
        <v xml:space="preserve">          5034 - PURCHASES @ COST-SODA</v>
      </c>
      <c r="C127" s="11"/>
      <c r="D127" s="2"/>
      <c r="E127" s="2"/>
      <c r="F127" s="19">
        <f t="shared" si="24"/>
        <v>0</v>
      </c>
      <c r="G127" s="2"/>
      <c r="H127" s="2"/>
      <c r="I127" s="2"/>
      <c r="J127" s="19">
        <f t="shared" si="25"/>
        <v>0</v>
      </c>
      <c r="K127" s="2"/>
      <c r="L127" s="2">
        <f t="shared" si="26"/>
        <v>0</v>
      </c>
      <c r="M127" s="2"/>
      <c r="N127" s="19">
        <f t="shared" si="27"/>
        <v>0</v>
      </c>
      <c r="O127" s="11"/>
      <c r="P127" s="2"/>
      <c r="Q127" s="2"/>
      <c r="R127" s="19">
        <f t="shared" si="28"/>
        <v>0</v>
      </c>
      <c r="S127" s="2"/>
      <c r="T127" s="2">
        <v>2124.16</v>
      </c>
      <c r="U127" s="2"/>
      <c r="V127" s="19">
        <f t="shared" si="29"/>
        <v>2.2367588074312958E-4</v>
      </c>
      <c r="W127" s="2"/>
      <c r="X127" s="2">
        <f t="shared" si="30"/>
        <v>-2124.16</v>
      </c>
      <c r="Y127" s="2"/>
      <c r="Z127" s="19">
        <f t="shared" si="31"/>
        <v>-1</v>
      </c>
    </row>
    <row r="128" spans="1:26" s="24" customFormat="1" hidden="1" outlineLevel="1" x14ac:dyDescent="0.25">
      <c r="A128" s="44"/>
      <c r="B128" s="11" t="str">
        <f>CONCATENATE("          ", "5035", " - ", "PURCHASES @ COST-HEALTH &amp; BEAU")</f>
        <v xml:space="preserve">          5035 - PURCHASES @ COST-HEALTH &amp; BEAU</v>
      </c>
      <c r="C128" s="11"/>
      <c r="D128" s="2"/>
      <c r="E128" s="2"/>
      <c r="F128" s="19">
        <f t="shared" si="24"/>
        <v>0</v>
      </c>
      <c r="G128" s="2"/>
      <c r="H128" s="2">
        <v>32.82</v>
      </c>
      <c r="I128" s="2"/>
      <c r="J128" s="19">
        <f t="shared" si="25"/>
        <v>1.3938547619136807E-5</v>
      </c>
      <c r="K128" s="2"/>
      <c r="L128" s="2">
        <f t="shared" si="26"/>
        <v>-32.82</v>
      </c>
      <c r="M128" s="2"/>
      <c r="N128" s="19">
        <f t="shared" si="27"/>
        <v>-1</v>
      </c>
      <c r="O128" s="11"/>
      <c r="P128" s="2"/>
      <c r="Q128" s="2"/>
      <c r="R128" s="19">
        <f t="shared" si="28"/>
        <v>0</v>
      </c>
      <c r="S128" s="2"/>
      <c r="T128" s="2">
        <v>857.2</v>
      </c>
      <c r="U128" s="2"/>
      <c r="V128" s="19">
        <f t="shared" si="29"/>
        <v>9.0263899599376084E-5</v>
      </c>
      <c r="W128" s="2"/>
      <c r="X128" s="2">
        <f t="shared" si="30"/>
        <v>-857.2</v>
      </c>
      <c r="Y128" s="2"/>
      <c r="Z128" s="19">
        <f t="shared" si="31"/>
        <v>-1</v>
      </c>
    </row>
    <row r="129" spans="1:26" s="24" customFormat="1" hidden="1" outlineLevel="1" x14ac:dyDescent="0.25">
      <c r="A129" s="44"/>
      <c r="B129" s="11" t="str">
        <f>CONCATENATE("          ", "5037", " - ", "PURCHASES @ COST-WATER")</f>
        <v xml:space="preserve">          5037 - PURCHASES @ COST-WATER</v>
      </c>
      <c r="C129" s="11"/>
      <c r="D129" s="2"/>
      <c r="E129" s="2"/>
      <c r="F129" s="19">
        <f t="shared" si="24"/>
        <v>0</v>
      </c>
      <c r="G129" s="2"/>
      <c r="H129" s="2"/>
      <c r="I129" s="2"/>
      <c r="J129" s="19">
        <f t="shared" si="25"/>
        <v>0</v>
      </c>
      <c r="K129" s="2"/>
      <c r="L129" s="2">
        <f t="shared" si="26"/>
        <v>0</v>
      </c>
      <c r="M129" s="2"/>
      <c r="N129" s="19">
        <f t="shared" si="27"/>
        <v>0</v>
      </c>
      <c r="O129" s="11"/>
      <c r="P129" s="2"/>
      <c r="Q129" s="2"/>
      <c r="R129" s="19">
        <f t="shared" si="28"/>
        <v>0</v>
      </c>
      <c r="S129" s="2"/>
      <c r="T129" s="2">
        <v>3759.27</v>
      </c>
      <c r="U129" s="2"/>
      <c r="V129" s="19">
        <f t="shared" si="29"/>
        <v>3.9585437452980225E-4</v>
      </c>
      <c r="W129" s="2"/>
      <c r="X129" s="2">
        <f t="shared" si="30"/>
        <v>-3759.27</v>
      </c>
      <c r="Y129" s="2"/>
      <c r="Z129" s="19">
        <f t="shared" si="31"/>
        <v>-1</v>
      </c>
    </row>
    <row r="130" spans="1:26" s="24" customFormat="1" hidden="1" outlineLevel="1" x14ac:dyDescent="0.25">
      <c r="A130" s="44"/>
      <c r="B130" s="11" t="str">
        <f>CONCATENATE("          ", "5040", " - ", "PURCHASES @ COST-LOGO CLOTHING")</f>
        <v xml:space="preserve">          5040 - PURCHASES @ COST-LOGO CLOTHING</v>
      </c>
      <c r="C130" s="11"/>
      <c r="D130" s="2">
        <v>34900.79</v>
      </c>
      <c r="E130" s="2"/>
      <c r="F130" s="19">
        <f t="shared" si="24"/>
        <v>2.9606453545009653E-2</v>
      </c>
      <c r="G130" s="2"/>
      <c r="H130" s="2">
        <v>94500.17</v>
      </c>
      <c r="I130" s="2"/>
      <c r="J130" s="19">
        <f t="shared" si="25"/>
        <v>4.0133915891575972E-2</v>
      </c>
      <c r="K130" s="2"/>
      <c r="L130" s="2">
        <f t="shared" si="26"/>
        <v>-59599.38</v>
      </c>
      <c r="M130" s="2"/>
      <c r="N130" s="19">
        <f t="shared" si="27"/>
        <v>-0.63068013528441269</v>
      </c>
      <c r="O130" s="11"/>
      <c r="P130" s="2">
        <v>167371.19</v>
      </c>
      <c r="Q130" s="2"/>
      <c r="R130" s="19">
        <f t="shared" si="28"/>
        <v>4.3136628253459187E-2</v>
      </c>
      <c r="S130" s="2"/>
      <c r="T130" s="2">
        <v>810739.01</v>
      </c>
      <c r="U130" s="2"/>
      <c r="V130" s="19">
        <f t="shared" si="29"/>
        <v>8.5371517265442787E-2</v>
      </c>
      <c r="W130" s="2"/>
      <c r="X130" s="2">
        <f t="shared" si="30"/>
        <v>-643367.82000000007</v>
      </c>
      <c r="Y130" s="2"/>
      <c r="Z130" s="19">
        <f t="shared" si="31"/>
        <v>-0.7935572509333183</v>
      </c>
    </row>
    <row r="131" spans="1:26" s="24" customFormat="1" hidden="1" outlineLevel="1" x14ac:dyDescent="0.25">
      <c r="A131" s="44"/>
      <c r="B131" s="11" t="str">
        <f>CONCATENATE("          ", "5041", " - ", "PURCHASES @ COST-LOGO GIFTS")</f>
        <v xml:space="preserve">          5041 - PURCHASES @ COST-LOGO GIFTS</v>
      </c>
      <c r="C131" s="11"/>
      <c r="D131" s="2">
        <v>8769.24</v>
      </c>
      <c r="E131" s="2"/>
      <c r="F131" s="19">
        <f t="shared" si="24"/>
        <v>7.4389747820906181E-3</v>
      </c>
      <c r="G131" s="2"/>
      <c r="H131" s="2">
        <v>14612.2</v>
      </c>
      <c r="I131" s="2"/>
      <c r="J131" s="19">
        <f t="shared" si="25"/>
        <v>6.205753976854079E-3</v>
      </c>
      <c r="K131" s="2"/>
      <c r="L131" s="2">
        <f t="shared" si="26"/>
        <v>-5842.9600000000009</v>
      </c>
      <c r="M131" s="2"/>
      <c r="N131" s="19">
        <f t="shared" si="27"/>
        <v>-0.39986860294822141</v>
      </c>
      <c r="O131" s="11"/>
      <c r="P131" s="2">
        <v>40971</v>
      </c>
      <c r="Q131" s="2"/>
      <c r="R131" s="19">
        <f t="shared" si="28"/>
        <v>1.0559468425673955E-2</v>
      </c>
      <c r="S131" s="2"/>
      <c r="T131" s="2">
        <v>124015.87000000001</v>
      </c>
      <c r="U131" s="2"/>
      <c r="V131" s="19">
        <f t="shared" si="29"/>
        <v>1.3058978112936628E-2</v>
      </c>
      <c r="W131" s="2"/>
      <c r="X131" s="2">
        <f t="shared" si="30"/>
        <v>-83044.87000000001</v>
      </c>
      <c r="Y131" s="2"/>
      <c r="Z131" s="19">
        <f t="shared" si="31"/>
        <v>-0.66963099158196449</v>
      </c>
    </row>
    <row r="132" spans="1:26" s="24" customFormat="1" hidden="1" outlineLevel="1" x14ac:dyDescent="0.25">
      <c r="A132" s="44"/>
      <c r="B132" s="11" t="str">
        <f>CONCATENATE("          ", "5042", " - ", "PURCHASES @ COST-EVERYDAY GIFT")</f>
        <v xml:space="preserve">          5042 - PURCHASES @ COST-EVERYDAY GIFT</v>
      </c>
      <c r="C132" s="11"/>
      <c r="D132" s="2">
        <v>6760.7</v>
      </c>
      <c r="E132" s="2"/>
      <c r="F132" s="19">
        <f t="shared" si="24"/>
        <v>5.7351237746121721E-3</v>
      </c>
      <c r="G132" s="2"/>
      <c r="H132" s="2">
        <v>2972.86</v>
      </c>
      <c r="I132" s="2"/>
      <c r="J132" s="19">
        <f t="shared" si="25"/>
        <v>1.2625640059423233E-3</v>
      </c>
      <c r="K132" s="2"/>
      <c r="L132" s="2">
        <f t="shared" si="26"/>
        <v>3787.8399999999997</v>
      </c>
      <c r="M132" s="2"/>
      <c r="N132" s="19">
        <f t="shared" si="27"/>
        <v>1.2741400536856762</v>
      </c>
      <c r="O132" s="11"/>
      <c r="P132" s="2">
        <v>17821.98</v>
      </c>
      <c r="Q132" s="2"/>
      <c r="R132" s="19">
        <f t="shared" si="28"/>
        <v>4.5932643843936615E-3</v>
      </c>
      <c r="S132" s="2"/>
      <c r="T132" s="2">
        <v>91360.97</v>
      </c>
      <c r="U132" s="2"/>
      <c r="V132" s="19">
        <f t="shared" si="29"/>
        <v>9.6203889680140115E-3</v>
      </c>
      <c r="W132" s="2"/>
      <c r="X132" s="2">
        <f t="shared" si="30"/>
        <v>-73538.990000000005</v>
      </c>
      <c r="Y132" s="2"/>
      <c r="Z132" s="19">
        <f t="shared" si="31"/>
        <v>-0.80492785923792187</v>
      </c>
    </row>
    <row r="133" spans="1:26" s="24" customFormat="1" hidden="1" outlineLevel="1" x14ac:dyDescent="0.25">
      <c r="A133" s="44"/>
      <c r="B133" s="11" t="str">
        <f>CONCATENATE("          ", "5043", " - ", "PURCHASES @ COST-CARDS")</f>
        <v xml:space="preserve">          5043 - PURCHASES @ COST-CARDS</v>
      </c>
      <c r="C133" s="11"/>
      <c r="D133" s="2">
        <v>8743.1</v>
      </c>
      <c r="E133" s="2"/>
      <c r="F133" s="19">
        <f t="shared" si="24"/>
        <v>7.4168001351652465E-3</v>
      </c>
      <c r="G133" s="2"/>
      <c r="H133" s="2">
        <v>3909.52</v>
      </c>
      <c r="I133" s="2"/>
      <c r="J133" s="19">
        <f t="shared" si="25"/>
        <v>1.6603604719063903E-3</v>
      </c>
      <c r="K133" s="2"/>
      <c r="L133" s="2">
        <f t="shared" si="26"/>
        <v>4833.58</v>
      </c>
      <c r="M133" s="2"/>
      <c r="N133" s="19">
        <f t="shared" si="27"/>
        <v>1.2363614970635781</v>
      </c>
      <c r="O133" s="11"/>
      <c r="P133" s="2">
        <v>55364.33</v>
      </c>
      <c r="Q133" s="2"/>
      <c r="R133" s="19">
        <f t="shared" si="28"/>
        <v>1.4269065791501143E-2</v>
      </c>
      <c r="S133" s="2"/>
      <c r="T133" s="2">
        <v>10694.41</v>
      </c>
      <c r="U133" s="2"/>
      <c r="V133" s="19">
        <f t="shared" si="29"/>
        <v>1.1261306002269757E-3</v>
      </c>
      <c r="W133" s="2"/>
      <c r="X133" s="2">
        <f t="shared" si="30"/>
        <v>44669.919999999998</v>
      </c>
      <c r="Y133" s="2"/>
      <c r="Z133" s="19">
        <f t="shared" si="31"/>
        <v>4.1769410374204838</v>
      </c>
    </row>
    <row r="134" spans="1:26" s="24" customFormat="1" hidden="1" outlineLevel="1" x14ac:dyDescent="0.25">
      <c r="A134" s="44"/>
      <c r="B134" s="11" t="str">
        <f>CONCATENATE("          ", "5044", " - ", "PURCHASES @ COST-ACCESSORIES")</f>
        <v xml:space="preserve">          5044 - PURCHASES @ COST-ACCESSORIES</v>
      </c>
      <c r="C134" s="11"/>
      <c r="D134" s="2">
        <v>782.5</v>
      </c>
      <c r="E134" s="2"/>
      <c r="F134" s="19">
        <f t="shared" si="24"/>
        <v>6.6379729223808555E-4</v>
      </c>
      <c r="G134" s="2"/>
      <c r="H134" s="2">
        <v>3179.63</v>
      </c>
      <c r="I134" s="2"/>
      <c r="J134" s="19">
        <f t="shared" si="25"/>
        <v>1.3503785547299197E-3</v>
      </c>
      <c r="K134" s="2"/>
      <c r="L134" s="2">
        <f t="shared" si="26"/>
        <v>-2397.13</v>
      </c>
      <c r="M134" s="2"/>
      <c r="N134" s="19">
        <f t="shared" si="27"/>
        <v>-0.75390218358739858</v>
      </c>
      <c r="O134" s="11"/>
      <c r="P134" s="2">
        <v>1064.83</v>
      </c>
      <c r="Q134" s="2"/>
      <c r="R134" s="19">
        <f t="shared" si="28"/>
        <v>2.7443896325963233E-4</v>
      </c>
      <c r="S134" s="2"/>
      <c r="T134" s="2">
        <v>20867.21</v>
      </c>
      <c r="U134" s="2"/>
      <c r="V134" s="19">
        <f t="shared" si="29"/>
        <v>2.1973352174044524E-3</v>
      </c>
      <c r="W134" s="2"/>
      <c r="X134" s="2">
        <f t="shared" si="30"/>
        <v>-19802.379999999997</v>
      </c>
      <c r="Y134" s="2"/>
      <c r="Z134" s="19">
        <f t="shared" si="31"/>
        <v>-0.94897113701352498</v>
      </c>
    </row>
    <row r="135" spans="1:26" s="24" customFormat="1" hidden="1" outlineLevel="1" x14ac:dyDescent="0.25">
      <c r="A135" s="44"/>
      <c r="B135" s="11" t="str">
        <f>CONCATENATE("          ", "5045", " - ", "PURCHASES @ COST-SPECIAL ORDER")</f>
        <v xml:space="preserve">          5045 - PURCHASES @ COST-SPECIAL ORDER</v>
      </c>
      <c r="C135" s="11"/>
      <c r="D135" s="2">
        <v>5855.38</v>
      </c>
      <c r="E135" s="2"/>
      <c r="F135" s="19">
        <f t="shared" si="24"/>
        <v>4.9671378773482955E-3</v>
      </c>
      <c r="G135" s="2"/>
      <c r="H135" s="2">
        <v>6835.65</v>
      </c>
      <c r="I135" s="2"/>
      <c r="J135" s="19">
        <f t="shared" si="25"/>
        <v>2.9030783983166517E-3</v>
      </c>
      <c r="K135" s="2"/>
      <c r="L135" s="2">
        <f t="shared" si="26"/>
        <v>-980.26999999999953</v>
      </c>
      <c r="M135" s="2"/>
      <c r="N135" s="19">
        <f t="shared" si="27"/>
        <v>-0.14340552836965023</v>
      </c>
      <c r="O135" s="11"/>
      <c r="P135" s="2">
        <v>93464.38</v>
      </c>
      <c r="Q135" s="2"/>
      <c r="R135" s="19">
        <f t="shared" si="28"/>
        <v>2.4088603391061784E-2</v>
      </c>
      <c r="S135" s="2"/>
      <c r="T135" s="2">
        <v>48016.23</v>
      </c>
      <c r="U135" s="2"/>
      <c r="V135" s="19">
        <f t="shared" si="29"/>
        <v>5.0561504478074549E-3</v>
      </c>
      <c r="W135" s="2"/>
      <c r="X135" s="2">
        <f t="shared" si="30"/>
        <v>45448.15</v>
      </c>
      <c r="Y135" s="2"/>
      <c r="Z135" s="19">
        <f t="shared" si="31"/>
        <v>0.94651641746967641</v>
      </c>
    </row>
    <row r="136" spans="1:26" s="24" customFormat="1" hidden="1" outlineLevel="1" x14ac:dyDescent="0.25">
      <c r="A136" s="44"/>
      <c r="B136" s="11" t="str">
        <f>CONCATENATE("          ", "5053", " - ", "PURCHASES @ COST-FOOD")</f>
        <v xml:space="preserve">          5053 - PURCHASES @ COST-FOOD</v>
      </c>
      <c r="C136" s="11"/>
      <c r="D136" s="2">
        <v>-257.75</v>
      </c>
      <c r="E136" s="2"/>
      <c r="F136" s="19">
        <f t="shared" si="24"/>
        <v>-2.186501623953566E-4</v>
      </c>
      <c r="G136" s="2"/>
      <c r="H136" s="2">
        <v>115854.20000000001</v>
      </c>
      <c r="I136" s="2"/>
      <c r="J136" s="19">
        <f t="shared" si="25"/>
        <v>4.9202903216849468E-2</v>
      </c>
      <c r="K136" s="2"/>
      <c r="L136" s="2">
        <f t="shared" si="26"/>
        <v>-116111.95000000001</v>
      </c>
      <c r="M136" s="2"/>
      <c r="N136" s="19">
        <f t="shared" si="27"/>
        <v>-1.0022247790757695</v>
      </c>
      <c r="O136" s="11"/>
      <c r="P136" s="2">
        <v>-2822.95</v>
      </c>
      <c r="Q136" s="2"/>
      <c r="R136" s="19">
        <f t="shared" si="28"/>
        <v>-7.2755977135672276E-4</v>
      </c>
      <c r="S136" s="2"/>
      <c r="T136" s="2">
        <v>899726.58</v>
      </c>
      <c r="U136" s="2"/>
      <c r="V136" s="19">
        <f t="shared" si="29"/>
        <v>9.47419851656673E-2</v>
      </c>
      <c r="W136" s="2"/>
      <c r="X136" s="2">
        <f t="shared" si="30"/>
        <v>-902549.52999999991</v>
      </c>
      <c r="Y136" s="2"/>
      <c r="Z136" s="19">
        <f t="shared" si="31"/>
        <v>-1.0031375643031464</v>
      </c>
    </row>
    <row r="137" spans="1:26" s="24" customFormat="1" hidden="1" outlineLevel="1" x14ac:dyDescent="0.25">
      <c r="A137" s="44"/>
      <c r="B137" s="11" t="str">
        <f>CONCATENATE("          ", "5059", " - ", "PURCHASES @ COST-FOOD")</f>
        <v xml:space="preserve">          5059 - PURCHASES @ COST-FOOD</v>
      </c>
      <c r="C137" s="11"/>
      <c r="D137" s="2"/>
      <c r="E137" s="2"/>
      <c r="F137" s="19">
        <f t="shared" si="24"/>
        <v>0</v>
      </c>
      <c r="G137" s="2"/>
      <c r="H137" s="2">
        <v>-27891.68</v>
      </c>
      <c r="I137" s="2"/>
      <c r="J137" s="19">
        <f t="shared" si="25"/>
        <v>-1.1845506089510228E-2</v>
      </c>
      <c r="K137" s="2"/>
      <c r="L137" s="2">
        <f t="shared" si="26"/>
        <v>27891.68</v>
      </c>
      <c r="M137" s="2"/>
      <c r="N137" s="19">
        <f t="shared" si="27"/>
        <v>-1</v>
      </c>
      <c r="O137" s="11"/>
      <c r="P137" s="2">
        <v>11697.91</v>
      </c>
      <c r="Q137" s="2"/>
      <c r="R137" s="19">
        <f t="shared" si="28"/>
        <v>3.0149059405768864E-3</v>
      </c>
      <c r="S137" s="2"/>
      <c r="T137" s="2">
        <v>-37505.519999999997</v>
      </c>
      <c r="U137" s="2"/>
      <c r="V137" s="19">
        <f t="shared" si="29"/>
        <v>-3.9493636160783845E-3</v>
      </c>
      <c r="W137" s="2"/>
      <c r="X137" s="2">
        <f t="shared" si="30"/>
        <v>49203.429999999993</v>
      </c>
      <c r="Y137" s="2"/>
      <c r="Z137" s="19">
        <f t="shared" si="31"/>
        <v>-1.3118983552287768</v>
      </c>
    </row>
    <row r="138" spans="1:26" s="24" customFormat="1" hidden="1" outlineLevel="1" x14ac:dyDescent="0.25">
      <c r="A138" s="44"/>
      <c r="B138" s="11" t="str">
        <f>CONCATENATE("          ", "5081", " - ", "PURCHASES @ COST-ELECTRONICS")</f>
        <v xml:space="preserve">          5081 - PURCHASES @ COST-ELECTRONICS</v>
      </c>
      <c r="C138" s="11"/>
      <c r="D138" s="2"/>
      <c r="E138" s="2"/>
      <c r="F138" s="19">
        <f t="shared" si="24"/>
        <v>0</v>
      </c>
      <c r="G138" s="2"/>
      <c r="H138" s="2">
        <v>119.66</v>
      </c>
      <c r="I138" s="2"/>
      <c r="J138" s="19">
        <f t="shared" si="25"/>
        <v>5.0819214140947903E-5</v>
      </c>
      <c r="K138" s="2"/>
      <c r="L138" s="2">
        <f t="shared" si="26"/>
        <v>-119.66</v>
      </c>
      <c r="M138" s="2"/>
      <c r="N138" s="19">
        <f t="shared" si="27"/>
        <v>-1</v>
      </c>
      <c r="O138" s="11"/>
      <c r="P138" s="2"/>
      <c r="Q138" s="2"/>
      <c r="R138" s="19">
        <f t="shared" si="28"/>
        <v>0</v>
      </c>
      <c r="S138" s="2"/>
      <c r="T138" s="2">
        <v>1891.21</v>
      </c>
      <c r="U138" s="2"/>
      <c r="V138" s="19">
        <f t="shared" si="29"/>
        <v>1.9914604475190859E-4</v>
      </c>
      <c r="W138" s="2"/>
      <c r="X138" s="2">
        <f t="shared" si="30"/>
        <v>-1891.21</v>
      </c>
      <c r="Y138" s="2"/>
      <c r="Z138" s="19">
        <f t="shared" si="31"/>
        <v>-1</v>
      </c>
    </row>
    <row r="139" spans="1:26" s="24" customFormat="1" hidden="1" outlineLevel="1" x14ac:dyDescent="0.25">
      <c r="A139" s="44"/>
      <c r="B139" s="11" t="str">
        <f>CONCATENATE("          ", "5082", " - ", "PURCHASES @ COST-COMPUTER HARD")</f>
        <v xml:space="preserve">          5082 - PURCHASES @ COST-COMPUTER HARD</v>
      </c>
      <c r="C139" s="11"/>
      <c r="D139" s="2"/>
      <c r="E139" s="2"/>
      <c r="F139" s="19">
        <f t="shared" si="24"/>
        <v>0</v>
      </c>
      <c r="G139" s="2"/>
      <c r="H139" s="2"/>
      <c r="I139" s="2"/>
      <c r="J139" s="19">
        <f t="shared" si="25"/>
        <v>0</v>
      </c>
      <c r="K139" s="2"/>
      <c r="L139" s="2">
        <f t="shared" si="26"/>
        <v>0</v>
      </c>
      <c r="M139" s="2"/>
      <c r="N139" s="19">
        <f t="shared" si="27"/>
        <v>0</v>
      </c>
      <c r="O139" s="11"/>
      <c r="P139" s="2"/>
      <c r="Q139" s="2"/>
      <c r="R139" s="19">
        <f t="shared" si="28"/>
        <v>0</v>
      </c>
      <c r="S139" s="2"/>
      <c r="T139" s="2">
        <v>349.6</v>
      </c>
      <c r="U139" s="2"/>
      <c r="V139" s="19">
        <f t="shared" si="29"/>
        <v>3.6813181637823002E-5</v>
      </c>
      <c r="W139" s="2"/>
      <c r="X139" s="2">
        <f t="shared" si="30"/>
        <v>-349.6</v>
      </c>
      <c r="Y139" s="2"/>
      <c r="Z139" s="19">
        <f t="shared" si="31"/>
        <v>-1</v>
      </c>
    </row>
    <row r="140" spans="1:26" s="24" customFormat="1" hidden="1" outlineLevel="1" x14ac:dyDescent="0.25">
      <c r="A140" s="44"/>
      <c r="B140" s="11" t="str">
        <f>CONCATENATE("          ", "5083", " - ", "PURCHASES @ COST-COMPUTER EQUI")</f>
        <v xml:space="preserve">          5083 - PURCHASES @ COST-COMPUTER EQUI</v>
      </c>
      <c r="C140" s="11"/>
      <c r="D140" s="2"/>
      <c r="E140" s="2"/>
      <c r="F140" s="19">
        <f t="shared" si="24"/>
        <v>0</v>
      </c>
      <c r="G140" s="2"/>
      <c r="H140" s="2">
        <v>83.36</v>
      </c>
      <c r="I140" s="2"/>
      <c r="J140" s="19">
        <f t="shared" si="25"/>
        <v>3.5402721801683247E-5</v>
      </c>
      <c r="K140" s="2"/>
      <c r="L140" s="2">
        <f t="shared" si="26"/>
        <v>-83.36</v>
      </c>
      <c r="M140" s="2"/>
      <c r="N140" s="19">
        <f t="shared" si="27"/>
        <v>-1</v>
      </c>
      <c r="O140" s="11"/>
      <c r="P140" s="2"/>
      <c r="Q140" s="2"/>
      <c r="R140" s="19">
        <f t="shared" si="28"/>
        <v>0</v>
      </c>
      <c r="S140" s="2"/>
      <c r="T140" s="2">
        <v>462.71</v>
      </c>
      <c r="U140" s="2"/>
      <c r="V140" s="19">
        <f t="shared" si="29"/>
        <v>4.8723762230083183E-5</v>
      </c>
      <c r="W140" s="2"/>
      <c r="X140" s="2">
        <f t="shared" si="30"/>
        <v>-462.71</v>
      </c>
      <c r="Y140" s="2"/>
      <c r="Z140" s="19">
        <f t="shared" si="31"/>
        <v>-1</v>
      </c>
    </row>
    <row r="141" spans="1:26" s="24" customFormat="1" hidden="1" outlineLevel="1" x14ac:dyDescent="0.25">
      <c r="A141" s="44"/>
      <c r="B141" s="11" t="str">
        <f>CONCATENATE("          ", "5086", " - ", "PURCHASES @ COST-COMPUTER SUPP")</f>
        <v xml:space="preserve">          5086 - PURCHASES @ COST-COMPUTER SUPP</v>
      </c>
      <c r="C141" s="11"/>
      <c r="D141" s="2"/>
      <c r="E141" s="2"/>
      <c r="F141" s="19">
        <f t="shared" si="24"/>
        <v>0</v>
      </c>
      <c r="G141" s="2"/>
      <c r="H141" s="2">
        <v>36.979999999999997</v>
      </c>
      <c r="I141" s="2"/>
      <c r="J141" s="19">
        <f t="shared" si="25"/>
        <v>1.5705286135151708E-5</v>
      </c>
      <c r="K141" s="2"/>
      <c r="L141" s="2">
        <f t="shared" si="26"/>
        <v>-36.979999999999997</v>
      </c>
      <c r="M141" s="2"/>
      <c r="N141" s="19">
        <f t="shared" si="27"/>
        <v>-1</v>
      </c>
      <c r="O141" s="11"/>
      <c r="P141" s="2"/>
      <c r="Q141" s="2"/>
      <c r="R141" s="19">
        <f t="shared" si="28"/>
        <v>0</v>
      </c>
      <c r="S141" s="2"/>
      <c r="T141" s="2">
        <v>416.24</v>
      </c>
      <c r="U141" s="2"/>
      <c r="V141" s="19">
        <f t="shared" si="29"/>
        <v>4.3830431135375995E-5</v>
      </c>
      <c r="W141" s="2"/>
      <c r="X141" s="2">
        <f t="shared" si="30"/>
        <v>-416.24</v>
      </c>
      <c r="Y141" s="2"/>
      <c r="Z141" s="19">
        <f t="shared" si="31"/>
        <v>-1</v>
      </c>
    </row>
    <row r="142" spans="1:26" s="24" customFormat="1" hidden="1" outlineLevel="1" x14ac:dyDescent="0.25">
      <c r="A142" s="44"/>
      <c r="B142" s="11" t="str">
        <f>CONCATENATE("          ", "5092", " - ", "PURCHASES @ COST-GRAD MERCH")</f>
        <v xml:space="preserve">          5092 - PURCHASES @ COST-GRAD MERCH</v>
      </c>
      <c r="C142" s="11"/>
      <c r="D142" s="2"/>
      <c r="E142" s="2"/>
      <c r="F142" s="19">
        <f t="shared" si="24"/>
        <v>0</v>
      </c>
      <c r="G142" s="2"/>
      <c r="H142" s="2">
        <v>122.72</v>
      </c>
      <c r="I142" s="2"/>
      <c r="J142" s="19">
        <f t="shared" si="25"/>
        <v>5.2118786222439636E-5</v>
      </c>
      <c r="K142" s="2"/>
      <c r="L142" s="2">
        <f t="shared" si="26"/>
        <v>-122.72</v>
      </c>
      <c r="M142" s="2"/>
      <c r="N142" s="19">
        <f t="shared" si="27"/>
        <v>-1</v>
      </c>
      <c r="O142" s="11"/>
      <c r="P142" s="2"/>
      <c r="Q142" s="2"/>
      <c r="R142" s="19">
        <f t="shared" si="28"/>
        <v>0</v>
      </c>
      <c r="S142" s="2"/>
      <c r="T142" s="2">
        <v>2046.86</v>
      </c>
      <c r="U142" s="2"/>
      <c r="V142" s="19">
        <f t="shared" si="29"/>
        <v>2.1553612404803885E-4</v>
      </c>
      <c r="W142" s="2"/>
      <c r="X142" s="2">
        <f t="shared" si="30"/>
        <v>-2046.86</v>
      </c>
      <c r="Y142" s="2"/>
      <c r="Z142" s="19">
        <f t="shared" si="31"/>
        <v>-1</v>
      </c>
    </row>
    <row r="143" spans="1:26" s="24" customFormat="1" hidden="1" outlineLevel="1" x14ac:dyDescent="0.25">
      <c r="A143" s="44"/>
      <c r="B143" s="11" t="str">
        <f>CONCATENATE("          ", "5095", " - ", "PURCHASES @ COST-CUSTOMER SERV")</f>
        <v xml:space="preserve">          5095 - PURCHASES @ COST-CUSTOMER SERV</v>
      </c>
      <c r="C143" s="11"/>
      <c r="D143" s="2"/>
      <c r="E143" s="2"/>
      <c r="F143" s="19">
        <f t="shared" si="24"/>
        <v>0</v>
      </c>
      <c r="G143" s="2"/>
      <c r="H143" s="2"/>
      <c r="I143" s="2"/>
      <c r="J143" s="19">
        <f t="shared" si="25"/>
        <v>0</v>
      </c>
      <c r="K143" s="2"/>
      <c r="L143" s="2">
        <f t="shared" si="26"/>
        <v>0</v>
      </c>
      <c r="M143" s="2"/>
      <c r="N143" s="19">
        <f t="shared" si="27"/>
        <v>0</v>
      </c>
      <c r="O143" s="11"/>
      <c r="P143" s="2"/>
      <c r="Q143" s="2"/>
      <c r="R143" s="19">
        <f t="shared" si="28"/>
        <v>0</v>
      </c>
      <c r="S143" s="2"/>
      <c r="T143" s="2">
        <v>0</v>
      </c>
      <c r="U143" s="2"/>
      <c r="V143" s="19">
        <f t="shared" si="29"/>
        <v>0</v>
      </c>
      <c r="W143" s="2"/>
      <c r="X143" s="2">
        <f t="shared" si="30"/>
        <v>0</v>
      </c>
      <c r="Y143" s="2"/>
      <c r="Z143" s="19">
        <f t="shared" si="31"/>
        <v>0</v>
      </c>
    </row>
    <row r="144" spans="1:26" s="24" customFormat="1" hidden="1" outlineLevel="1" x14ac:dyDescent="0.25">
      <c r="A144" s="44"/>
      <c r="B144" s="11" t="str">
        <f>CONCATENATE("          ", "5200", " - ", "PURCHASES OFFSET")</f>
        <v xml:space="preserve">          5200 - PURCHASES OFFSET</v>
      </c>
      <c r="C144" s="11"/>
      <c r="D144" s="2">
        <v>-390760.97</v>
      </c>
      <c r="E144" s="2"/>
      <c r="F144" s="19">
        <f t="shared" si="24"/>
        <v>-0.33148380038124953</v>
      </c>
      <c r="G144" s="2"/>
      <c r="H144" s="2">
        <v>-1039044</v>
      </c>
      <c r="I144" s="2"/>
      <c r="J144" s="19">
        <f t="shared" si="25"/>
        <v>-0.44127861890244924</v>
      </c>
      <c r="K144" s="2"/>
      <c r="L144" s="2">
        <f t="shared" si="26"/>
        <v>648283.03</v>
      </c>
      <c r="M144" s="2"/>
      <c r="N144" s="19">
        <f t="shared" si="27"/>
        <v>-0.62392259615569701</v>
      </c>
      <c r="O144" s="11"/>
      <c r="P144" s="2">
        <v>-2135783.4</v>
      </c>
      <c r="Q144" s="2"/>
      <c r="R144" s="19">
        <f t="shared" si="28"/>
        <v>-0.55045611228377544</v>
      </c>
      <c r="S144" s="2"/>
      <c r="T144" s="2">
        <v>-4025566</v>
      </c>
      <c r="U144" s="2"/>
      <c r="V144" s="19">
        <f t="shared" si="29"/>
        <v>-0.4238955730922328</v>
      </c>
      <c r="W144" s="2"/>
      <c r="X144" s="2">
        <f t="shared" si="30"/>
        <v>1889782.6</v>
      </c>
      <c r="Y144" s="2"/>
      <c r="Z144" s="19">
        <f t="shared" si="31"/>
        <v>-0.46944519106133153</v>
      </c>
    </row>
    <row r="145" spans="1:26" s="24" customFormat="1" hidden="1" outlineLevel="1" x14ac:dyDescent="0.25">
      <c r="A145" s="44"/>
      <c r="B145" s="11" t="str">
        <f>CONCATENATE("          ", "5300", " - ", "COG$ OFFSET")</f>
        <v xml:space="preserve">          5300 - COG$ OFFSET</v>
      </c>
      <c r="C145" s="11"/>
      <c r="D145" s="2">
        <v>584457</v>
      </c>
      <c r="E145" s="2"/>
      <c r="F145" s="19">
        <f t="shared" si="24"/>
        <v>0.4957967719228048</v>
      </c>
      <c r="G145" s="2"/>
      <c r="H145" s="2">
        <v>732800</v>
      </c>
      <c r="I145" s="2"/>
      <c r="J145" s="19">
        <f t="shared" si="25"/>
        <v>0.31121778474416367</v>
      </c>
      <c r="K145" s="2"/>
      <c r="L145" s="2">
        <f t="shared" si="26"/>
        <v>-148343</v>
      </c>
      <c r="M145" s="2"/>
      <c r="N145" s="19">
        <f t="shared" si="27"/>
        <v>-0.20243313318777292</v>
      </c>
      <c r="O145" s="11"/>
      <c r="P145" s="2">
        <v>1975590.0000000002</v>
      </c>
      <c r="Q145" s="2"/>
      <c r="R145" s="19">
        <f t="shared" si="28"/>
        <v>0.50916941805367721</v>
      </c>
      <c r="S145" s="2"/>
      <c r="T145" s="2">
        <v>3245890.47</v>
      </c>
      <c r="U145" s="2"/>
      <c r="V145" s="19">
        <f t="shared" si="29"/>
        <v>0.34179506707262208</v>
      </c>
      <c r="W145" s="2"/>
      <c r="X145" s="2">
        <f t="shared" si="30"/>
        <v>-1270300.47</v>
      </c>
      <c r="Y145" s="2"/>
      <c r="Z145" s="19">
        <f t="shared" si="31"/>
        <v>-0.39135654198460984</v>
      </c>
    </row>
    <row r="146" spans="1:26" s="24" customFormat="1" hidden="1" outlineLevel="1" x14ac:dyDescent="0.25">
      <c r="A146" s="44"/>
      <c r="B146" s="11" t="str">
        <f>CONCATENATE("          ", "5500", " - ", "FREIGHT-IN")</f>
        <v xml:space="preserve">          5500 - FREIGHT-IN</v>
      </c>
      <c r="C146" s="11"/>
      <c r="D146" s="2"/>
      <c r="E146" s="2"/>
      <c r="F146" s="19">
        <f t="shared" si="24"/>
        <v>0</v>
      </c>
      <c r="G146" s="2"/>
      <c r="H146" s="2">
        <v>7.3</v>
      </c>
      <c r="I146" s="2"/>
      <c r="J146" s="19">
        <f t="shared" si="25"/>
        <v>3.1002863381992289E-6</v>
      </c>
      <c r="K146" s="2"/>
      <c r="L146" s="2">
        <f t="shared" si="26"/>
        <v>-7.3</v>
      </c>
      <c r="M146" s="2"/>
      <c r="N146" s="19">
        <f t="shared" si="27"/>
        <v>-1</v>
      </c>
      <c r="O146" s="11"/>
      <c r="P146" s="2"/>
      <c r="Q146" s="2"/>
      <c r="R146" s="19">
        <f t="shared" si="28"/>
        <v>0</v>
      </c>
      <c r="S146" s="2"/>
      <c r="T146" s="2">
        <v>122.53</v>
      </c>
      <c r="U146" s="2"/>
      <c r="V146" s="19">
        <f t="shared" si="29"/>
        <v>1.2902514719915483E-5</v>
      </c>
      <c r="W146" s="2"/>
      <c r="X146" s="2">
        <f t="shared" si="30"/>
        <v>-122.53</v>
      </c>
      <c r="Y146" s="2"/>
      <c r="Z146" s="19">
        <f t="shared" si="31"/>
        <v>-1</v>
      </c>
    </row>
    <row r="147" spans="1:26" s="24" customFormat="1" hidden="1" outlineLevel="1" x14ac:dyDescent="0.25">
      <c r="A147" s="44"/>
      <c r="B147" s="11" t="str">
        <f>CONCATENATE("          ", "5501", " - ", "FREIGHT-IN-NEW TEXT")</f>
        <v xml:space="preserve">          5501 - FREIGHT-IN-NEW TEXT</v>
      </c>
      <c r="C147" s="11"/>
      <c r="D147" s="2">
        <v>7155.21</v>
      </c>
      <c r="E147" s="2"/>
      <c r="F147" s="19">
        <f t="shared" si="24"/>
        <v>6.0697878893225202E-3</v>
      </c>
      <c r="G147" s="2"/>
      <c r="H147" s="2">
        <v>3407.43</v>
      </c>
      <c r="I147" s="2"/>
      <c r="J147" s="19">
        <f t="shared" si="25"/>
        <v>1.4471244763520818E-3</v>
      </c>
      <c r="K147" s="2"/>
      <c r="L147" s="2">
        <f t="shared" si="26"/>
        <v>3747.78</v>
      </c>
      <c r="M147" s="2"/>
      <c r="N147" s="19">
        <f t="shared" si="27"/>
        <v>1.0998846638082074</v>
      </c>
      <c r="O147" s="11"/>
      <c r="P147" s="2">
        <v>44618.79</v>
      </c>
      <c r="Q147" s="2"/>
      <c r="R147" s="19">
        <f t="shared" si="28"/>
        <v>1.1499614463810422E-2</v>
      </c>
      <c r="S147" s="2"/>
      <c r="T147" s="2">
        <v>42077.369999999995</v>
      </c>
      <c r="U147" s="2"/>
      <c r="V147" s="19">
        <f t="shared" si="29"/>
        <v>4.4307833657090514E-3</v>
      </c>
      <c r="W147" s="2"/>
      <c r="X147" s="2">
        <f t="shared" si="30"/>
        <v>2541.4200000000055</v>
      </c>
      <c r="Y147" s="2"/>
      <c r="Z147" s="19">
        <f t="shared" si="31"/>
        <v>6.0398736898242593E-2</v>
      </c>
    </row>
    <row r="148" spans="1:26" s="24" customFormat="1" hidden="1" outlineLevel="1" x14ac:dyDescent="0.25">
      <c r="A148" s="44"/>
      <c r="B148" s="11" t="str">
        <f>CONCATENATE("          ", "5502", " - ", "FREIGHT-IN-USED TEXT")</f>
        <v xml:space="preserve">          5502 - FREIGHT-IN-USED TEXT</v>
      </c>
      <c r="C148" s="11"/>
      <c r="D148" s="2">
        <v>2129.7399999999998</v>
      </c>
      <c r="E148" s="2"/>
      <c r="F148" s="19">
        <f t="shared" si="24"/>
        <v>1.8066653612410736E-3</v>
      </c>
      <c r="G148" s="2"/>
      <c r="H148" s="2">
        <v>4124.8100000000004</v>
      </c>
      <c r="I148" s="2"/>
      <c r="J148" s="19">
        <f t="shared" si="25"/>
        <v>1.7517934370777483E-3</v>
      </c>
      <c r="K148" s="2"/>
      <c r="L148" s="2">
        <f t="shared" si="26"/>
        <v>-1995.0700000000006</v>
      </c>
      <c r="M148" s="2"/>
      <c r="N148" s="19">
        <f t="shared" si="27"/>
        <v>-0.48367561172514623</v>
      </c>
      <c r="O148" s="11"/>
      <c r="P148" s="2">
        <v>15652.310000000001</v>
      </c>
      <c r="Q148" s="2"/>
      <c r="R148" s="19">
        <f t="shared" si="28"/>
        <v>4.0340746682741629E-3</v>
      </c>
      <c r="S148" s="2"/>
      <c r="T148" s="2">
        <v>11778.23</v>
      </c>
      <c r="U148" s="2"/>
      <c r="V148" s="19">
        <f t="shared" si="29"/>
        <v>1.2402577813559953E-3</v>
      </c>
      <c r="W148" s="2"/>
      <c r="X148" s="2">
        <f t="shared" si="30"/>
        <v>3874.0800000000017</v>
      </c>
      <c r="Y148" s="2"/>
      <c r="Z148" s="19">
        <f t="shared" si="31"/>
        <v>0.32891869151816544</v>
      </c>
    </row>
    <row r="149" spans="1:26" s="24" customFormat="1" hidden="1" outlineLevel="1" x14ac:dyDescent="0.25">
      <c r="A149" s="44"/>
      <c r="B149" s="11" t="str">
        <f>CONCATENATE("          ", "5504", " - ", "FREIGHT-IN-DIGITAL TEXT")</f>
        <v xml:space="preserve">          5504 - FREIGHT-IN-DIGITAL TEXT</v>
      </c>
      <c r="C149" s="11"/>
      <c r="D149" s="2"/>
      <c r="E149" s="2"/>
      <c r="F149" s="19">
        <f t="shared" si="24"/>
        <v>0</v>
      </c>
      <c r="G149" s="2"/>
      <c r="H149" s="2"/>
      <c r="I149" s="2"/>
      <c r="J149" s="19">
        <f t="shared" si="25"/>
        <v>0</v>
      </c>
      <c r="K149" s="2"/>
      <c r="L149" s="2">
        <f t="shared" si="26"/>
        <v>0</v>
      </c>
      <c r="M149" s="2"/>
      <c r="N149" s="19">
        <f t="shared" si="27"/>
        <v>0</v>
      </c>
      <c r="O149" s="11"/>
      <c r="P149" s="2">
        <v>21.98</v>
      </c>
      <c r="Q149" s="2"/>
      <c r="R149" s="19">
        <f t="shared" si="28"/>
        <v>5.6649121572896325E-6</v>
      </c>
      <c r="S149" s="2"/>
      <c r="T149" s="2">
        <v>105.97</v>
      </c>
      <c r="U149" s="2"/>
      <c r="V149" s="19">
        <f t="shared" si="29"/>
        <v>1.1158732431808077E-5</v>
      </c>
      <c r="W149" s="2"/>
      <c r="X149" s="2">
        <f t="shared" si="30"/>
        <v>-83.99</v>
      </c>
      <c r="Y149" s="2"/>
      <c r="Z149" s="19">
        <f t="shared" si="31"/>
        <v>-0.79258280645465695</v>
      </c>
    </row>
    <row r="150" spans="1:26" s="24" customFormat="1" hidden="1" outlineLevel="1" x14ac:dyDescent="0.25">
      <c r="A150" s="44"/>
      <c r="B150" s="11" t="str">
        <f>CONCATENATE("          ", "5513", " - ", "FREIGHT-IN-TRADE BOOKS")</f>
        <v xml:space="preserve">          5513 - FREIGHT-IN-TRADE BOOKS</v>
      </c>
      <c r="C150" s="11"/>
      <c r="D150" s="2">
        <v>7.06</v>
      </c>
      <c r="E150" s="2"/>
      <c r="F150" s="19">
        <f t="shared" si="24"/>
        <v>5.9890209369979339E-6</v>
      </c>
      <c r="G150" s="2"/>
      <c r="H150" s="2"/>
      <c r="I150" s="2"/>
      <c r="J150" s="19">
        <f t="shared" si="25"/>
        <v>0</v>
      </c>
      <c r="K150" s="2"/>
      <c r="L150" s="2">
        <f t="shared" si="26"/>
        <v>7.06</v>
      </c>
      <c r="M150" s="2"/>
      <c r="N150" s="19">
        <f t="shared" si="27"/>
        <v>0</v>
      </c>
      <c r="O150" s="11"/>
      <c r="P150" s="2">
        <v>33.520000000000003</v>
      </c>
      <c r="Q150" s="2"/>
      <c r="R150" s="19">
        <f t="shared" si="28"/>
        <v>8.6391199050204047E-6</v>
      </c>
      <c r="S150" s="2"/>
      <c r="T150" s="2">
        <v>21.41</v>
      </c>
      <c r="U150" s="2"/>
      <c r="V150" s="19">
        <f t="shared" si="29"/>
        <v>2.2544914727282338E-6</v>
      </c>
      <c r="W150" s="2"/>
      <c r="X150" s="2">
        <f t="shared" si="30"/>
        <v>12.110000000000003</v>
      </c>
      <c r="Y150" s="2"/>
      <c r="Z150" s="19">
        <f t="shared" si="31"/>
        <v>0.56562354040168161</v>
      </c>
    </row>
    <row r="151" spans="1:26" s="24" customFormat="1" hidden="1" outlineLevel="1" x14ac:dyDescent="0.25">
      <c r="A151" s="44"/>
      <c r="B151" s="11" t="str">
        <f>CONCATENATE("          ", "5518", " - ", "FREIGHT-IN-STUDY GUIDES")</f>
        <v xml:space="preserve">          5518 - FREIGHT-IN-STUDY GUIDES</v>
      </c>
      <c r="C151" s="11"/>
      <c r="D151" s="2"/>
      <c r="E151" s="2"/>
      <c r="F151" s="19">
        <f t="shared" si="24"/>
        <v>0</v>
      </c>
      <c r="G151" s="2"/>
      <c r="H151" s="2"/>
      <c r="I151" s="2"/>
      <c r="J151" s="19">
        <f t="shared" si="25"/>
        <v>0</v>
      </c>
      <c r="K151" s="2"/>
      <c r="L151" s="2">
        <f t="shared" si="26"/>
        <v>0</v>
      </c>
      <c r="M151" s="2"/>
      <c r="N151" s="19">
        <f t="shared" si="27"/>
        <v>0</v>
      </c>
      <c r="O151" s="11"/>
      <c r="P151" s="2"/>
      <c r="Q151" s="2"/>
      <c r="R151" s="19">
        <f t="shared" si="28"/>
        <v>0</v>
      </c>
      <c r="S151" s="2"/>
      <c r="T151" s="2">
        <v>21.13</v>
      </c>
      <c r="U151" s="2"/>
      <c r="V151" s="19">
        <f t="shared" si="29"/>
        <v>2.2250072311418763E-6</v>
      </c>
      <c r="W151" s="2"/>
      <c r="X151" s="2">
        <f t="shared" si="30"/>
        <v>-21.13</v>
      </c>
      <c r="Y151" s="2"/>
      <c r="Z151" s="19">
        <f t="shared" si="31"/>
        <v>-1</v>
      </c>
    </row>
    <row r="152" spans="1:26" s="24" customFormat="1" hidden="1" outlineLevel="1" x14ac:dyDescent="0.25">
      <c r="A152" s="44"/>
      <c r="B152" s="11" t="str">
        <f>CONCATENATE("          ", "5525", " - ", "FREIGHT-IN-TEST FORMS")</f>
        <v xml:space="preserve">          5525 - FREIGHT-IN-TEST FORMS</v>
      </c>
      <c r="C152" s="11"/>
      <c r="D152" s="2"/>
      <c r="E152" s="2"/>
      <c r="F152" s="19">
        <f t="shared" si="24"/>
        <v>0</v>
      </c>
      <c r="G152" s="2"/>
      <c r="H152" s="2"/>
      <c r="I152" s="2"/>
      <c r="J152" s="19">
        <f t="shared" si="25"/>
        <v>0</v>
      </c>
      <c r="K152" s="2"/>
      <c r="L152" s="2">
        <f t="shared" si="26"/>
        <v>0</v>
      </c>
      <c r="M152" s="2"/>
      <c r="N152" s="19">
        <f t="shared" si="27"/>
        <v>0</v>
      </c>
      <c r="O152" s="11"/>
      <c r="P152" s="2">
        <v>48.14</v>
      </c>
      <c r="Q152" s="2"/>
      <c r="R152" s="19">
        <f t="shared" si="28"/>
        <v>1.2407136999632525E-5</v>
      </c>
      <c r="S152" s="2"/>
      <c r="T152" s="2">
        <v>622.41</v>
      </c>
      <c r="U152" s="2"/>
      <c r="V152" s="19">
        <f t="shared" si="29"/>
        <v>6.554031002058757E-5</v>
      </c>
      <c r="W152" s="2"/>
      <c r="X152" s="2">
        <f t="shared" si="30"/>
        <v>-574.27</v>
      </c>
      <c r="Y152" s="2"/>
      <c r="Z152" s="19">
        <f t="shared" si="31"/>
        <v>-0.92265548432705136</v>
      </c>
    </row>
    <row r="153" spans="1:26" s="24" customFormat="1" hidden="1" outlineLevel="1" x14ac:dyDescent="0.25">
      <c r="A153" s="44"/>
      <c r="B153" s="11" t="str">
        <f>CONCATENATE("          ", "5526", " - ", "FREIGHT-IN-WRITING INSTRUMENTS")</f>
        <v xml:space="preserve">          5526 - FREIGHT-IN-WRITING INSTRUMENTS</v>
      </c>
      <c r="C153" s="11"/>
      <c r="D153" s="2"/>
      <c r="E153" s="2"/>
      <c r="F153" s="19">
        <f t="shared" si="24"/>
        <v>0</v>
      </c>
      <c r="G153" s="2"/>
      <c r="H153" s="2"/>
      <c r="I153" s="2"/>
      <c r="J153" s="19">
        <f t="shared" si="25"/>
        <v>0</v>
      </c>
      <c r="K153" s="2"/>
      <c r="L153" s="2">
        <f t="shared" si="26"/>
        <v>0</v>
      </c>
      <c r="M153" s="2"/>
      <c r="N153" s="19">
        <f t="shared" si="27"/>
        <v>0</v>
      </c>
      <c r="O153" s="11"/>
      <c r="P153" s="2"/>
      <c r="Q153" s="2"/>
      <c r="R153" s="19">
        <f t="shared" si="28"/>
        <v>0</v>
      </c>
      <c r="S153" s="2"/>
      <c r="T153" s="2">
        <v>260.35000000000002</v>
      </c>
      <c r="U153" s="2"/>
      <c r="V153" s="19">
        <f t="shared" si="29"/>
        <v>2.741507963217168E-5</v>
      </c>
      <c r="W153" s="2"/>
      <c r="X153" s="2">
        <f t="shared" si="30"/>
        <v>-260.35000000000002</v>
      </c>
      <c r="Y153" s="2"/>
      <c r="Z153" s="19">
        <f t="shared" si="31"/>
        <v>-1</v>
      </c>
    </row>
    <row r="154" spans="1:26" s="24" customFormat="1" hidden="1" outlineLevel="1" x14ac:dyDescent="0.25">
      <c r="A154" s="44"/>
      <c r="B154" s="11" t="str">
        <f>CONCATENATE("          ", "5527", " - ", "FREIGHT-IN-SCHOOL SUPPLIES")</f>
        <v xml:space="preserve">          5527 - FREIGHT-IN-SCHOOL SUPPLIES</v>
      </c>
      <c r="C154" s="11"/>
      <c r="D154" s="2"/>
      <c r="E154" s="2"/>
      <c r="F154" s="19">
        <f t="shared" si="24"/>
        <v>0</v>
      </c>
      <c r="G154" s="2"/>
      <c r="H154" s="2">
        <v>321.92</v>
      </c>
      <c r="I154" s="2"/>
      <c r="J154" s="19">
        <f t="shared" si="25"/>
        <v>1.3671838054699943E-4</v>
      </c>
      <c r="K154" s="2"/>
      <c r="L154" s="2">
        <f t="shared" si="26"/>
        <v>-321.92</v>
      </c>
      <c r="M154" s="2"/>
      <c r="N154" s="19">
        <f t="shared" si="27"/>
        <v>-1</v>
      </c>
      <c r="O154" s="11"/>
      <c r="P154" s="2">
        <v>177.5</v>
      </c>
      <c r="Q154" s="2"/>
      <c r="R154" s="19">
        <f t="shared" si="28"/>
        <v>4.5747129568649213E-5</v>
      </c>
      <c r="S154" s="2"/>
      <c r="T154" s="2">
        <v>1219.8399999999999</v>
      </c>
      <c r="U154" s="2"/>
      <c r="V154" s="19">
        <f t="shared" si="29"/>
        <v>1.2845020448822085E-4</v>
      </c>
      <c r="W154" s="2"/>
      <c r="X154" s="2">
        <f t="shared" si="30"/>
        <v>-1042.3399999999999</v>
      </c>
      <c r="Y154" s="2"/>
      <c r="Z154" s="19">
        <f t="shared" si="31"/>
        <v>-0.85448911332633792</v>
      </c>
    </row>
    <row r="155" spans="1:26" s="24" customFormat="1" hidden="1" outlineLevel="1" x14ac:dyDescent="0.25">
      <c r="A155" s="44"/>
      <c r="B155" s="11" t="str">
        <f>CONCATENATE("          ", "5528", " - ", "FREIGHT-IN-ART/TECH")</f>
        <v xml:space="preserve">          5528 - FREIGHT-IN-ART/TECH</v>
      </c>
      <c r="C155" s="11"/>
      <c r="D155" s="2">
        <v>48.53</v>
      </c>
      <c r="E155" s="2"/>
      <c r="F155" s="19">
        <f t="shared" si="24"/>
        <v>4.1168156667494302E-5</v>
      </c>
      <c r="G155" s="2"/>
      <c r="H155" s="2">
        <v>220.82</v>
      </c>
      <c r="I155" s="2"/>
      <c r="J155" s="19">
        <f t="shared" si="25"/>
        <v>9.3781538246733386E-5</v>
      </c>
      <c r="K155" s="2"/>
      <c r="L155" s="2">
        <f t="shared" si="26"/>
        <v>-172.29</v>
      </c>
      <c r="M155" s="2"/>
      <c r="N155" s="19">
        <f t="shared" si="27"/>
        <v>-0.78022824019563441</v>
      </c>
      <c r="O155" s="11"/>
      <c r="P155" s="2">
        <v>338.74</v>
      </c>
      <c r="Q155" s="2"/>
      <c r="R155" s="19">
        <f t="shared" si="28"/>
        <v>8.7303564338502728E-5</v>
      </c>
      <c r="S155" s="2"/>
      <c r="T155" s="2">
        <v>1331.46</v>
      </c>
      <c r="U155" s="2"/>
      <c r="V155" s="19">
        <f t="shared" si="29"/>
        <v>1.4020388679489651E-4</v>
      </c>
      <c r="W155" s="2"/>
      <c r="X155" s="2">
        <f t="shared" si="30"/>
        <v>-992.72</v>
      </c>
      <c r="Y155" s="2"/>
      <c r="Z155" s="19">
        <f t="shared" si="31"/>
        <v>-0.74558755050846437</v>
      </c>
    </row>
    <row r="156" spans="1:26" s="24" customFormat="1" hidden="1" outlineLevel="1" x14ac:dyDescent="0.25">
      <c r="A156" s="44"/>
      <c r="B156" s="11" t="str">
        <f>CONCATENATE("          ", "5540", " - ", "FREIGHT-IN-LOGO CLOTHING")</f>
        <v xml:space="preserve">          5540 - FREIGHT-IN-LOGO CLOTHING</v>
      </c>
      <c r="C156" s="11"/>
      <c r="D156" s="2">
        <v>347.67</v>
      </c>
      <c r="E156" s="2"/>
      <c r="F156" s="19">
        <f t="shared" si="24"/>
        <v>2.9492959053343794E-4</v>
      </c>
      <c r="G156" s="2"/>
      <c r="H156" s="2">
        <v>1400.5</v>
      </c>
      <c r="I156" s="2"/>
      <c r="J156" s="19">
        <f t="shared" si="25"/>
        <v>5.947878104997288E-4</v>
      </c>
      <c r="K156" s="2"/>
      <c r="L156" s="2">
        <f t="shared" si="26"/>
        <v>-1052.83</v>
      </c>
      <c r="M156" s="2"/>
      <c r="N156" s="19">
        <f t="shared" si="27"/>
        <v>-0.75175294537665116</v>
      </c>
      <c r="O156" s="11"/>
      <c r="P156" s="2">
        <v>5790.63</v>
      </c>
      <c r="Q156" s="2"/>
      <c r="R156" s="19">
        <f t="shared" si="28"/>
        <v>1.4924208501076461E-3</v>
      </c>
      <c r="S156" s="2"/>
      <c r="T156" s="2">
        <v>25677.89</v>
      </c>
      <c r="U156" s="2"/>
      <c r="V156" s="19">
        <f t="shared" si="29"/>
        <v>2.7039039720996535E-3</v>
      </c>
      <c r="W156" s="2"/>
      <c r="X156" s="2">
        <f t="shared" si="30"/>
        <v>-19887.259999999998</v>
      </c>
      <c r="Y156" s="2"/>
      <c r="Z156" s="19">
        <f t="shared" si="31"/>
        <v>-0.77448964848747304</v>
      </c>
    </row>
    <row r="157" spans="1:26" s="24" customFormat="1" hidden="1" outlineLevel="1" x14ac:dyDescent="0.25">
      <c r="A157" s="44"/>
      <c r="B157" s="11" t="str">
        <f>CONCATENATE("          ", "5541", " - ", "FREIGHT-IN-LOGO GIFTS")</f>
        <v xml:space="preserve">          5541 - FREIGHT-IN-LOGO GIFTS</v>
      </c>
      <c r="C157" s="11"/>
      <c r="D157" s="2">
        <v>182.93</v>
      </c>
      <c r="E157" s="2"/>
      <c r="F157" s="19">
        <f t="shared" si="24"/>
        <v>1.5518011331516036E-4</v>
      </c>
      <c r="G157" s="2"/>
      <c r="H157" s="2">
        <v>24.8</v>
      </c>
      <c r="I157" s="2"/>
      <c r="J157" s="19">
        <f t="shared" si="25"/>
        <v>1.0532479614704229E-5</v>
      </c>
      <c r="K157" s="2"/>
      <c r="L157" s="2">
        <f t="shared" si="26"/>
        <v>158.13</v>
      </c>
      <c r="M157" s="2"/>
      <c r="N157" s="19">
        <f t="shared" si="27"/>
        <v>6.3762096774193546</v>
      </c>
      <c r="O157" s="11"/>
      <c r="P157" s="2">
        <v>1702.87</v>
      </c>
      <c r="Q157" s="2"/>
      <c r="R157" s="19">
        <f t="shared" si="28"/>
        <v>4.3888120861163764E-4</v>
      </c>
      <c r="S157" s="2"/>
      <c r="T157" s="2">
        <v>3587.57</v>
      </c>
      <c r="U157" s="2"/>
      <c r="V157" s="19">
        <f t="shared" si="29"/>
        <v>3.7777421638559688E-4</v>
      </c>
      <c r="W157" s="2"/>
      <c r="X157" s="2">
        <f t="shared" si="30"/>
        <v>-1884.7000000000003</v>
      </c>
      <c r="Y157" s="2"/>
      <c r="Z157" s="19">
        <f t="shared" si="31"/>
        <v>-0.52534166580721775</v>
      </c>
    </row>
    <row r="158" spans="1:26" s="24" customFormat="1" hidden="1" outlineLevel="1" x14ac:dyDescent="0.25">
      <c r="A158" s="44"/>
      <c r="B158" s="11" t="str">
        <f>CONCATENATE("          ", "5542", " - ", "FREIGHT-IN-EVERYDAY GIFTS")</f>
        <v xml:space="preserve">          5542 - FREIGHT-IN-EVERYDAY GIFTS</v>
      </c>
      <c r="C158" s="11"/>
      <c r="D158" s="2">
        <v>187.38</v>
      </c>
      <c r="E158" s="2"/>
      <c r="F158" s="19">
        <f t="shared" si="24"/>
        <v>1.5895506277261657E-4</v>
      </c>
      <c r="G158" s="2"/>
      <c r="H158" s="2"/>
      <c r="I158" s="2"/>
      <c r="J158" s="19">
        <f t="shared" si="25"/>
        <v>0</v>
      </c>
      <c r="K158" s="2"/>
      <c r="L158" s="2">
        <f t="shared" si="26"/>
        <v>187.38</v>
      </c>
      <c r="M158" s="2"/>
      <c r="N158" s="19">
        <f t="shared" si="27"/>
        <v>0</v>
      </c>
      <c r="O158" s="11"/>
      <c r="P158" s="2">
        <v>383.93</v>
      </c>
      <c r="Q158" s="2"/>
      <c r="R158" s="19">
        <f t="shared" si="28"/>
        <v>9.8950396931219684E-5</v>
      </c>
      <c r="S158" s="2"/>
      <c r="T158" s="2">
        <v>1708.33</v>
      </c>
      <c r="U158" s="2"/>
      <c r="V158" s="19">
        <f t="shared" si="29"/>
        <v>1.7988862296150506E-4</v>
      </c>
      <c r="W158" s="2"/>
      <c r="X158" s="2">
        <f t="shared" si="30"/>
        <v>-1324.3999999999999</v>
      </c>
      <c r="Y158" s="2"/>
      <c r="Z158" s="19">
        <f t="shared" si="31"/>
        <v>-0.77526004928790104</v>
      </c>
    </row>
    <row r="159" spans="1:26" s="24" customFormat="1" hidden="1" outlineLevel="1" x14ac:dyDescent="0.25">
      <c r="A159" s="44"/>
      <c r="B159" s="11" t="str">
        <f>CONCATENATE("          ", "5543", " - ", "FREIGHT-IN-CARDS")</f>
        <v xml:space="preserve">          5543 - FREIGHT-IN-CARDS</v>
      </c>
      <c r="C159" s="11"/>
      <c r="D159" s="2">
        <v>1992.81</v>
      </c>
      <c r="E159" s="2"/>
      <c r="F159" s="19">
        <f t="shared" si="24"/>
        <v>1.6905071973737753E-3</v>
      </c>
      <c r="G159" s="2"/>
      <c r="H159" s="2"/>
      <c r="I159" s="2"/>
      <c r="J159" s="19">
        <f t="shared" si="25"/>
        <v>0</v>
      </c>
      <c r="K159" s="2"/>
      <c r="L159" s="2">
        <f t="shared" si="26"/>
        <v>1992.81</v>
      </c>
      <c r="M159" s="2"/>
      <c r="N159" s="19">
        <f t="shared" si="27"/>
        <v>0</v>
      </c>
      <c r="O159" s="11"/>
      <c r="P159" s="2">
        <v>9110.5300000000007</v>
      </c>
      <c r="Q159" s="2"/>
      <c r="R159" s="19">
        <f t="shared" si="28"/>
        <v>2.3480596977412155E-3</v>
      </c>
      <c r="S159" s="2"/>
      <c r="T159" s="2">
        <v>121.35</v>
      </c>
      <c r="U159" s="2"/>
      <c r="V159" s="19">
        <f t="shared" si="29"/>
        <v>1.2778259701801548E-5</v>
      </c>
      <c r="W159" s="2"/>
      <c r="X159" s="2">
        <f t="shared" si="30"/>
        <v>8989.18</v>
      </c>
      <c r="Y159" s="2"/>
      <c r="Z159" s="19">
        <f t="shared" si="31"/>
        <v>74.07647301194892</v>
      </c>
    </row>
    <row r="160" spans="1:26" s="24" customFormat="1" hidden="1" outlineLevel="1" x14ac:dyDescent="0.25">
      <c r="A160" s="44"/>
      <c r="B160" s="11" t="str">
        <f>CONCATENATE("          ", "5544", " - ", "FREIGHT-IN-ACCESSORIES")</f>
        <v xml:space="preserve">          5544 - FREIGHT-IN-ACCESSORIES</v>
      </c>
      <c r="C160" s="11"/>
      <c r="D160" s="2"/>
      <c r="E160" s="2"/>
      <c r="F160" s="19">
        <f t="shared" si="24"/>
        <v>0</v>
      </c>
      <c r="G160" s="2"/>
      <c r="H160" s="2"/>
      <c r="I160" s="2"/>
      <c r="J160" s="19">
        <f t="shared" si="25"/>
        <v>0</v>
      </c>
      <c r="K160" s="2"/>
      <c r="L160" s="2">
        <f t="shared" si="26"/>
        <v>0</v>
      </c>
      <c r="M160" s="2"/>
      <c r="N160" s="19">
        <f t="shared" si="27"/>
        <v>0</v>
      </c>
      <c r="O160" s="11"/>
      <c r="P160" s="2"/>
      <c r="Q160" s="2"/>
      <c r="R160" s="19">
        <f t="shared" si="28"/>
        <v>0</v>
      </c>
      <c r="S160" s="2"/>
      <c r="T160" s="2">
        <v>442.31</v>
      </c>
      <c r="U160" s="2"/>
      <c r="V160" s="19">
        <f t="shared" si="29"/>
        <v>4.6575624628791453E-5</v>
      </c>
      <c r="W160" s="2"/>
      <c r="X160" s="2">
        <f t="shared" si="30"/>
        <v>-442.31</v>
      </c>
      <c r="Y160" s="2"/>
      <c r="Z160" s="19">
        <f t="shared" si="31"/>
        <v>-1</v>
      </c>
    </row>
    <row r="161" spans="1:26" s="24" customFormat="1" hidden="1" outlineLevel="1" x14ac:dyDescent="0.25">
      <c r="A161" s="44"/>
      <c r="B161" s="11" t="str">
        <f>CONCATENATE("          ", "5545", " - ", "FREIGHT-IN-SPECIAL ORDERS")</f>
        <v xml:space="preserve">          5545 - FREIGHT-IN-SPECIAL ORDERS</v>
      </c>
      <c r="C161" s="11"/>
      <c r="D161" s="2"/>
      <c r="E161" s="2"/>
      <c r="F161" s="19">
        <f t="shared" si="24"/>
        <v>0</v>
      </c>
      <c r="G161" s="2"/>
      <c r="H161" s="2">
        <v>14.23</v>
      </c>
      <c r="I161" s="2"/>
      <c r="J161" s="19">
        <f t="shared" si="25"/>
        <v>6.0434348756952091E-6</v>
      </c>
      <c r="K161" s="2"/>
      <c r="L161" s="2">
        <f t="shared" si="26"/>
        <v>-14.23</v>
      </c>
      <c r="M161" s="2"/>
      <c r="N161" s="19">
        <f t="shared" si="27"/>
        <v>-1</v>
      </c>
      <c r="O161" s="11"/>
      <c r="P161" s="2">
        <v>1113.79</v>
      </c>
      <c r="Q161" s="2"/>
      <c r="R161" s="19">
        <f t="shared" si="28"/>
        <v>2.8705743911135666E-4</v>
      </c>
      <c r="S161" s="2"/>
      <c r="T161" s="2">
        <v>841.9</v>
      </c>
      <c r="U161" s="2"/>
      <c r="V161" s="19">
        <f t="shared" si="29"/>
        <v>8.8652796398407281E-5</v>
      </c>
      <c r="W161" s="2"/>
      <c r="X161" s="2">
        <f t="shared" si="30"/>
        <v>271.89</v>
      </c>
      <c r="Y161" s="2"/>
      <c r="Z161" s="19">
        <f t="shared" si="31"/>
        <v>0.32294809359781446</v>
      </c>
    </row>
    <row r="162" spans="1:26" s="24" customFormat="1" hidden="1" outlineLevel="1" x14ac:dyDescent="0.25">
      <c r="A162" s="44"/>
      <c r="B162" s="11" t="str">
        <f>CONCATENATE("          ", "5592", " - ", "FREIGHT-IN-GRAD MERCH")</f>
        <v xml:space="preserve">          5592 - FREIGHT-IN-GRAD MERCH</v>
      </c>
      <c r="C162" s="11"/>
      <c r="D162" s="2"/>
      <c r="E162" s="2"/>
      <c r="F162" s="19">
        <f t="shared" si="24"/>
        <v>0</v>
      </c>
      <c r="G162" s="2"/>
      <c r="H162" s="2"/>
      <c r="I162" s="2"/>
      <c r="J162" s="19">
        <f t="shared" si="25"/>
        <v>0</v>
      </c>
      <c r="K162" s="2"/>
      <c r="L162" s="2">
        <f t="shared" si="26"/>
        <v>0</v>
      </c>
      <c r="M162" s="2"/>
      <c r="N162" s="19">
        <f t="shared" si="27"/>
        <v>0</v>
      </c>
      <c r="O162" s="11"/>
      <c r="P162" s="2"/>
      <c r="Q162" s="2"/>
      <c r="R162" s="19">
        <f t="shared" si="28"/>
        <v>0</v>
      </c>
      <c r="S162" s="2"/>
      <c r="T162" s="2">
        <v>105.78</v>
      </c>
      <c r="U162" s="2"/>
      <c r="V162" s="19">
        <f t="shared" si="29"/>
        <v>1.1138725267874477E-5</v>
      </c>
      <c r="W162" s="2"/>
      <c r="X162" s="2">
        <f t="shared" si="30"/>
        <v>-105.78</v>
      </c>
      <c r="Y162" s="2"/>
      <c r="Z162" s="19">
        <f t="shared" si="31"/>
        <v>-1</v>
      </c>
    </row>
    <row r="163" spans="1:26" x14ac:dyDescent="0.25">
      <c r="A163" s="9"/>
      <c r="B163" s="10"/>
      <c r="C163" s="10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O163" s="10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x14ac:dyDescent="0.25">
      <c r="A164" s="10"/>
      <c r="B164" s="28" t="s">
        <v>6</v>
      </c>
      <c r="C164" s="28"/>
      <c r="D164" s="20">
        <f>D12-D110</f>
        <v>407488.1399999999</v>
      </c>
      <c r="E164" s="14"/>
      <c r="F164" s="22">
        <f>IF(D$12=0,0,D164/D$12)</f>
        <v>0.34567351303659277</v>
      </c>
      <c r="G164" s="14"/>
      <c r="H164" s="20">
        <f>H12-H110</f>
        <v>1077136.2700000003</v>
      </c>
      <c r="I164" s="14"/>
      <c r="J164" s="22">
        <f>IF(H$12=0,0,H164/H$12)</f>
        <v>0.45745628250135295</v>
      </c>
      <c r="K164" s="15"/>
      <c r="L164" s="20">
        <f>+D164-H164</f>
        <v>-669648.13000000035</v>
      </c>
      <c r="M164" s="15"/>
      <c r="N164" s="22">
        <f>IF(H164=0,0,L164/H164)</f>
        <v>-0.62169304725018704</v>
      </c>
      <c r="O164" s="29"/>
      <c r="P164" s="20">
        <f>P12-P110</f>
        <v>1364933.129999999</v>
      </c>
      <c r="Q164" s="14"/>
      <c r="R164" s="22">
        <f>IF(P$12=0,0,P164/P$12)</f>
        <v>0.35178463521494013</v>
      </c>
      <c r="S164" s="14"/>
      <c r="T164" s="20">
        <f>T12-T110</f>
        <v>4224427.8999999911</v>
      </c>
      <c r="U164" s="14"/>
      <c r="V164" s="22">
        <f>IF(T$12=0,0,T164/T$12)</f>
        <v>0.44483590274195323</v>
      </c>
      <c r="W164" s="15"/>
      <c r="X164" s="20">
        <f>+P164-T164</f>
        <v>-2859494.7699999921</v>
      </c>
      <c r="Y164" s="15"/>
      <c r="Z164" s="22">
        <f>IF(T164=0,0,X164/T164)</f>
        <v>-0.67689515306912873</v>
      </c>
    </row>
    <row r="165" spans="1:26" x14ac:dyDescent="0.25">
      <c r="A165" s="9"/>
      <c r="B165" s="10"/>
      <c r="C165" s="9"/>
      <c r="D165" s="1"/>
      <c r="E165" s="1"/>
      <c r="F165" s="5"/>
      <c r="G165" s="1"/>
      <c r="H165" s="1"/>
      <c r="I165" s="1"/>
      <c r="J165" s="5"/>
      <c r="K165" s="1"/>
      <c r="L165" s="1"/>
      <c r="M165" s="1"/>
      <c r="N165" s="5"/>
      <c r="O165" s="37"/>
      <c r="P165" s="1"/>
      <c r="Q165" s="1"/>
      <c r="R165" s="5"/>
      <c r="S165" s="1"/>
      <c r="T165" s="1"/>
      <c r="U165" s="1"/>
      <c r="V165" s="5"/>
      <c r="W165" s="1"/>
      <c r="X165" s="1"/>
      <c r="Y165" s="1"/>
      <c r="Z165" s="5"/>
    </row>
    <row r="166" spans="1:26" s="23" customFormat="1" x14ac:dyDescent="0.25">
      <c r="A166" s="10"/>
      <c r="B166" s="29" t="s">
        <v>9</v>
      </c>
      <c r="C166" s="10"/>
      <c r="D166" s="21">
        <f>SUM(OSRRefD22x_0)</f>
        <v>314919.26000000013</v>
      </c>
      <c r="E166" s="21"/>
      <c r="F166" s="35">
        <f t="shared" ref="F166:F177" si="32">IF(D$12=0,0,D166/D$12)</f>
        <v>0.26714703138865398</v>
      </c>
      <c r="G166" s="21"/>
      <c r="H166" s="21">
        <f>SUM(OSRRefH22x_0)</f>
        <v>564341.85</v>
      </c>
      <c r="I166" s="21"/>
      <c r="J166" s="35">
        <f t="shared" ref="J166:J177" si="33">IF(H$12=0,0,H166/H$12)</f>
        <v>0.23967415446973678</v>
      </c>
      <c r="K166" s="4"/>
      <c r="L166" s="21">
        <f t="shared" ref="L166:L177" si="34">+D166-H166</f>
        <v>-249422.58999999985</v>
      </c>
      <c r="M166" s="4"/>
      <c r="N166" s="35">
        <f t="shared" ref="N166:N177" si="35">IF(H166=0,0,L166/H166)</f>
        <v>-0.44197074875804421</v>
      </c>
      <c r="O166" s="10"/>
      <c r="P166" s="21">
        <f>SUM(OSRRefP22x_0)</f>
        <v>2094355.3299999998</v>
      </c>
      <c r="Q166" s="21"/>
      <c r="R166" s="35">
        <f t="shared" ref="R166:R177" si="36">IF(P$12=0,0,P166/P$12)</f>
        <v>0.53977884306648494</v>
      </c>
      <c r="S166" s="21"/>
      <c r="T166" s="21">
        <f>SUM(OSRRefT22x_0)</f>
        <v>3443102.7400000012</v>
      </c>
      <c r="U166" s="21"/>
      <c r="V166" s="35">
        <f t="shared" ref="V166:V177" si="37">IF(T$12=0,0,T166/T$12)</f>
        <v>0.36256168926002891</v>
      </c>
      <c r="W166" s="4"/>
      <c r="X166" s="21">
        <f t="shared" ref="X166:X177" si="38">+P166-T166</f>
        <v>-1348747.4100000013</v>
      </c>
      <c r="Y166" s="4"/>
      <c r="Z166" s="35">
        <f t="shared" ref="Z166:Z177" si="39">IF(T166=0,0,X166/T166)</f>
        <v>-0.39172441598417157</v>
      </c>
    </row>
    <row r="167" spans="1:26" s="26" customFormat="1" outlineLevel="1" collapsed="1" x14ac:dyDescent="0.25">
      <c r="A167" s="27"/>
      <c r="B167" s="13" t="str">
        <f>CONCATENATE("     ","*Benefits                                         ")</f>
        <v xml:space="preserve">     *Benefits                                         </v>
      </c>
      <c r="C167" s="13"/>
      <c r="D167" s="1">
        <f>SUM(OSRRefD22_0x_0)</f>
        <v>51590.869999999995</v>
      </c>
      <c r="E167" s="1"/>
      <c r="F167" s="5">
        <f t="shared" si="32"/>
        <v>4.3764702632852495E-2</v>
      </c>
      <c r="G167" s="1"/>
      <c r="H167" s="1">
        <f>SUM(OSRRefH22_0x_0)</f>
        <v>59198.140000000007</v>
      </c>
      <c r="I167" s="1"/>
      <c r="J167" s="5">
        <f t="shared" si="33"/>
        <v>2.5141258176548675E-2</v>
      </c>
      <c r="K167" s="1"/>
      <c r="L167" s="1">
        <f t="shared" si="34"/>
        <v>-7607.2700000000114</v>
      </c>
      <c r="M167" s="1"/>
      <c r="N167" s="5">
        <f t="shared" si="35"/>
        <v>-0.12850521992751818</v>
      </c>
      <c r="O167" s="13"/>
      <c r="P167" s="1">
        <f>SUM(OSRRefP22_0x_0)</f>
        <v>354480.73</v>
      </c>
      <c r="Q167" s="1"/>
      <c r="R167" s="5">
        <f t="shared" si="36"/>
        <v>9.1360427520559756E-2</v>
      </c>
      <c r="S167" s="1"/>
      <c r="T167" s="1">
        <f>SUM(OSRRefT22_0x_0)</f>
        <v>444989</v>
      </c>
      <c r="U167" s="1"/>
      <c r="V167" s="5">
        <f t="shared" si="37"/>
        <v>4.6857725640255206E-2</v>
      </c>
      <c r="W167" s="1"/>
      <c r="X167" s="1">
        <f t="shared" si="38"/>
        <v>-90508.270000000019</v>
      </c>
      <c r="Y167" s="1"/>
      <c r="Z167" s="5">
        <f t="shared" si="39"/>
        <v>-0.20339439851322172</v>
      </c>
    </row>
    <row r="168" spans="1:26" s="24" customFormat="1" hidden="1" outlineLevel="2" x14ac:dyDescent="0.25">
      <c r="A168" s="25"/>
      <c r="B168" s="11" t="str">
        <f>CONCATENATE("          ", "6111", " - ", "F.I.C.A.")</f>
        <v xml:space="preserve">          6111 - F.I.C.A.</v>
      </c>
      <c r="C168" s="11"/>
      <c r="D168" s="6">
        <v>7931.47</v>
      </c>
      <c r="E168" s="2"/>
      <c r="F168" s="7">
        <f t="shared" si="32"/>
        <v>6.7282917692876787E-3</v>
      </c>
      <c r="G168" s="2"/>
      <c r="H168" s="6">
        <v>8714.94</v>
      </c>
      <c r="I168" s="2"/>
      <c r="J168" s="7">
        <f t="shared" si="33"/>
        <v>3.7012067698939709E-3</v>
      </c>
      <c r="K168" s="2"/>
      <c r="L168" s="6">
        <f t="shared" si="34"/>
        <v>-783.47000000000025</v>
      </c>
      <c r="M168" s="2"/>
      <c r="N168" s="7">
        <f t="shared" si="35"/>
        <v>-8.9899643600529683E-2</v>
      </c>
      <c r="O168" s="11"/>
      <c r="P168" s="6">
        <v>67358.39</v>
      </c>
      <c r="Q168" s="2"/>
      <c r="R168" s="7">
        <f t="shared" si="36"/>
        <v>1.7360298562623128E-2</v>
      </c>
      <c r="S168" s="2"/>
      <c r="T168" s="6">
        <v>83643.02</v>
      </c>
      <c r="U168" s="2"/>
      <c r="V168" s="7">
        <f t="shared" si="37"/>
        <v>8.8076821739017791E-3</v>
      </c>
      <c r="W168" s="2"/>
      <c r="X168" s="6">
        <f t="shared" si="38"/>
        <v>-16284.630000000005</v>
      </c>
      <c r="Y168" s="2"/>
      <c r="Z168" s="7">
        <f t="shared" si="39"/>
        <v>-0.19469203766195917</v>
      </c>
    </row>
    <row r="169" spans="1:26" s="24" customFormat="1" hidden="1" outlineLevel="2" x14ac:dyDescent="0.25">
      <c r="A169" s="25"/>
      <c r="B169" s="11" t="str">
        <f>CONCATENATE("          ", "6112", " - ", "COMPENSATION INSURANCE")</f>
        <v xml:space="preserve">          6112 - COMPENSATION INSURANCE</v>
      </c>
      <c r="C169" s="11"/>
      <c r="D169" s="6">
        <v>804.16</v>
      </c>
      <c r="E169" s="2"/>
      <c r="F169" s="7">
        <f t="shared" si="32"/>
        <v>6.8217154060853523E-4</v>
      </c>
      <c r="G169" s="2"/>
      <c r="H169" s="6">
        <v>4176.58</v>
      </c>
      <c r="I169" s="2"/>
      <c r="J169" s="7">
        <f t="shared" si="33"/>
        <v>1.7737799882734432E-3</v>
      </c>
      <c r="K169" s="2"/>
      <c r="L169" s="6">
        <f t="shared" si="34"/>
        <v>-3372.42</v>
      </c>
      <c r="M169" s="2"/>
      <c r="N169" s="7">
        <f t="shared" si="35"/>
        <v>-0.80745969190102906</v>
      </c>
      <c r="O169" s="11"/>
      <c r="P169" s="6">
        <v>17320.240000000002</v>
      </c>
      <c r="Q169" s="2"/>
      <c r="R169" s="7">
        <f t="shared" si="36"/>
        <v>4.4639507799442302E-3</v>
      </c>
      <c r="S169" s="2"/>
      <c r="T169" s="6">
        <v>23012.16</v>
      </c>
      <c r="U169" s="2"/>
      <c r="V169" s="7">
        <f t="shared" si="37"/>
        <v>2.4232003030853688E-3</v>
      </c>
      <c r="W169" s="2"/>
      <c r="X169" s="6">
        <f t="shared" si="38"/>
        <v>-5691.9199999999983</v>
      </c>
      <c r="Y169" s="2"/>
      <c r="Z169" s="7">
        <f t="shared" si="39"/>
        <v>-0.24734401290448174</v>
      </c>
    </row>
    <row r="170" spans="1:26" s="24" customFormat="1" hidden="1" outlineLevel="2" x14ac:dyDescent="0.25">
      <c r="A170" s="25"/>
      <c r="B170" s="11" t="str">
        <f>CONCATENATE("          ", "6113", " - ", "GROUP INSURANCE")</f>
        <v xml:space="preserve">          6113 - GROUP INSURANCE</v>
      </c>
      <c r="C170" s="11"/>
      <c r="D170" s="6">
        <v>21620.289999999997</v>
      </c>
      <c r="E170" s="2"/>
      <c r="F170" s="7">
        <f t="shared" si="32"/>
        <v>1.8340562248437262E-2</v>
      </c>
      <c r="G170" s="2"/>
      <c r="H170" s="6">
        <v>22055.759999999998</v>
      </c>
      <c r="I170" s="2"/>
      <c r="J170" s="7">
        <f t="shared" si="33"/>
        <v>9.3670097817261672E-3</v>
      </c>
      <c r="K170" s="2"/>
      <c r="L170" s="6">
        <f t="shared" si="34"/>
        <v>-435.47000000000116</v>
      </c>
      <c r="M170" s="2"/>
      <c r="N170" s="7">
        <f t="shared" si="35"/>
        <v>-1.9744048720152976E-2</v>
      </c>
      <c r="O170" s="11"/>
      <c r="P170" s="6">
        <v>128085.70999999999</v>
      </c>
      <c r="Q170" s="2"/>
      <c r="R170" s="7">
        <f t="shared" si="36"/>
        <v>3.3011569415562977E-2</v>
      </c>
      <c r="S170" s="2"/>
      <c r="T170" s="6">
        <v>169811.12000000002</v>
      </c>
      <c r="U170" s="2"/>
      <c r="V170" s="7">
        <f t="shared" si="37"/>
        <v>1.7881257450463841E-2</v>
      </c>
      <c r="W170" s="2"/>
      <c r="X170" s="6">
        <f t="shared" si="38"/>
        <v>-41725.410000000033</v>
      </c>
      <c r="Y170" s="2"/>
      <c r="Z170" s="7">
        <f t="shared" si="39"/>
        <v>-0.24571659382495109</v>
      </c>
    </row>
    <row r="171" spans="1:26" s="24" customFormat="1" hidden="1" outlineLevel="2" x14ac:dyDescent="0.25">
      <c r="A171" s="25"/>
      <c r="B171" s="11" t="str">
        <f>CONCATENATE("          ", "6114", " - ", "STATE UNEMPLOYMENT INSURANCE")</f>
        <v xml:space="preserve">          6114 - STATE UNEMPLOYMENT INSURANCE</v>
      </c>
      <c r="C171" s="11"/>
      <c r="D171" s="6">
        <v>667.99</v>
      </c>
      <c r="E171" s="2"/>
      <c r="F171" s="7">
        <f t="shared" si="32"/>
        <v>5.6665808721037536E-4</v>
      </c>
      <c r="G171" s="2"/>
      <c r="H171" s="6">
        <v>647.87</v>
      </c>
      <c r="I171" s="2"/>
      <c r="J171" s="7">
        <f t="shared" si="33"/>
        <v>2.7514828903138825E-4</v>
      </c>
      <c r="K171" s="2"/>
      <c r="L171" s="6">
        <f t="shared" si="34"/>
        <v>20.120000000000005</v>
      </c>
      <c r="M171" s="2"/>
      <c r="N171" s="7">
        <f t="shared" si="35"/>
        <v>3.1055613008782634E-2</v>
      </c>
      <c r="O171" s="11"/>
      <c r="P171" s="6">
        <v>2748.41</v>
      </c>
      <c r="Q171" s="2"/>
      <c r="R171" s="7">
        <f t="shared" si="36"/>
        <v>7.0834855424096435E-4</v>
      </c>
      <c r="S171" s="2"/>
      <c r="T171" s="6">
        <v>4475.29</v>
      </c>
      <c r="U171" s="2"/>
      <c r="V171" s="7">
        <f t="shared" si="37"/>
        <v>4.7125189831788585E-4</v>
      </c>
      <c r="W171" s="2"/>
      <c r="X171" s="6">
        <f t="shared" si="38"/>
        <v>-1726.88</v>
      </c>
      <c r="Y171" s="2"/>
      <c r="Z171" s="7">
        <f t="shared" si="39"/>
        <v>-0.38586996596868584</v>
      </c>
    </row>
    <row r="172" spans="1:26" s="24" customFormat="1" hidden="1" outlineLevel="2" x14ac:dyDescent="0.25">
      <c r="A172" s="25"/>
      <c r="B172" s="11" t="str">
        <f>CONCATENATE("          ", "6115", " - ", "P.E.R.S.")</f>
        <v xml:space="preserve">          6115 - P.E.R.S.</v>
      </c>
      <c r="C172" s="11"/>
      <c r="D172" s="6">
        <v>9507.2199999999993</v>
      </c>
      <c r="E172" s="2"/>
      <c r="F172" s="7">
        <f t="shared" si="32"/>
        <v>8.0650056136891638E-3</v>
      </c>
      <c r="G172" s="2"/>
      <c r="H172" s="6">
        <v>10804.34</v>
      </c>
      <c r="I172" s="2"/>
      <c r="J172" s="7">
        <f t="shared" si="33"/>
        <v>4.5885681774328023E-3</v>
      </c>
      <c r="K172" s="2"/>
      <c r="L172" s="6">
        <f t="shared" si="34"/>
        <v>-1297.1200000000008</v>
      </c>
      <c r="M172" s="2"/>
      <c r="N172" s="7">
        <f t="shared" si="35"/>
        <v>-0.1200554591951013</v>
      </c>
      <c r="O172" s="11"/>
      <c r="P172" s="6">
        <v>55050.76</v>
      </c>
      <c r="Q172" s="2"/>
      <c r="R172" s="7">
        <f t="shared" si="36"/>
        <v>1.4188249299000628E-2</v>
      </c>
      <c r="S172" s="2"/>
      <c r="T172" s="6">
        <v>62223.049999999996</v>
      </c>
      <c r="U172" s="2"/>
      <c r="V172" s="7">
        <f t="shared" si="37"/>
        <v>6.5521408515713453E-3</v>
      </c>
      <c r="W172" s="2"/>
      <c r="X172" s="6">
        <f t="shared" si="38"/>
        <v>-7172.2899999999936</v>
      </c>
      <c r="Y172" s="2"/>
      <c r="Z172" s="7">
        <f t="shared" si="39"/>
        <v>-0.11526741296030962</v>
      </c>
    </row>
    <row r="173" spans="1:26" s="24" customFormat="1" hidden="1" outlineLevel="2" x14ac:dyDescent="0.25">
      <c r="A173" s="25"/>
      <c r="B173" s="11" t="str">
        <f>CONCATENATE("          ", "6116", " - ", "EDUCATIONAL BENEFITS")</f>
        <v xml:space="preserve">          6116 - EDUCATIONAL BENEFITS</v>
      </c>
      <c r="C173" s="11"/>
      <c r="D173" s="6"/>
      <c r="E173" s="2"/>
      <c r="F173" s="7">
        <f t="shared" si="32"/>
        <v>0</v>
      </c>
      <c r="G173" s="2"/>
      <c r="H173" s="6"/>
      <c r="I173" s="2"/>
      <c r="J173" s="7">
        <f t="shared" si="33"/>
        <v>0</v>
      </c>
      <c r="K173" s="2"/>
      <c r="L173" s="6">
        <f t="shared" si="34"/>
        <v>0</v>
      </c>
      <c r="M173" s="2"/>
      <c r="N173" s="7">
        <f t="shared" si="35"/>
        <v>0</v>
      </c>
      <c r="O173" s="11"/>
      <c r="P173" s="6">
        <v>0</v>
      </c>
      <c r="Q173" s="2"/>
      <c r="R173" s="7">
        <f t="shared" si="36"/>
        <v>0</v>
      </c>
      <c r="S173" s="2"/>
      <c r="T173" s="6"/>
      <c r="U173" s="2"/>
      <c r="V173" s="7">
        <f t="shared" si="37"/>
        <v>0</v>
      </c>
      <c r="W173" s="2"/>
      <c r="X173" s="6">
        <f t="shared" si="38"/>
        <v>0</v>
      </c>
      <c r="Y173" s="2"/>
      <c r="Z173" s="7">
        <f t="shared" si="39"/>
        <v>0</v>
      </c>
    </row>
    <row r="174" spans="1:26" s="24" customFormat="1" hidden="1" outlineLevel="2" x14ac:dyDescent="0.25">
      <c r="A174" s="25"/>
      <c r="B174" s="11" t="str">
        <f>CONCATENATE("          ", "6117", " - ", "RETIREMENT STAFF HOURLY")</f>
        <v xml:space="preserve">          6117 - RETIREMENT STAFF HOURLY</v>
      </c>
      <c r="C174" s="11"/>
      <c r="D174" s="6">
        <v>506.92</v>
      </c>
      <c r="E174" s="2"/>
      <c r="F174" s="7">
        <f t="shared" si="32"/>
        <v>4.3002188291543813E-4</v>
      </c>
      <c r="G174" s="2"/>
      <c r="H174" s="6">
        <v>213.49</v>
      </c>
      <c r="I174" s="2"/>
      <c r="J174" s="7">
        <f t="shared" si="33"/>
        <v>9.0668511005774431E-5</v>
      </c>
      <c r="K174" s="2"/>
      <c r="L174" s="6">
        <f t="shared" si="34"/>
        <v>293.43</v>
      </c>
      <c r="M174" s="2"/>
      <c r="N174" s="7">
        <f t="shared" si="35"/>
        <v>1.3744437678579793</v>
      </c>
      <c r="O174" s="11"/>
      <c r="P174" s="6">
        <v>2241.04</v>
      </c>
      <c r="Q174" s="2"/>
      <c r="R174" s="7">
        <f t="shared" si="36"/>
        <v>5.775839281607078E-4</v>
      </c>
      <c r="S174" s="2"/>
      <c r="T174" s="6">
        <v>952.23</v>
      </c>
      <c r="U174" s="2"/>
      <c r="V174" s="7">
        <f t="shared" si="37"/>
        <v>1.0027064059206006E-4</v>
      </c>
      <c r="W174" s="2"/>
      <c r="X174" s="6">
        <f t="shared" si="38"/>
        <v>1288.81</v>
      </c>
      <c r="Y174" s="2"/>
      <c r="Z174" s="7">
        <f t="shared" si="39"/>
        <v>1.3534650242063366</v>
      </c>
    </row>
    <row r="175" spans="1:26" s="24" customFormat="1" hidden="1" outlineLevel="2" x14ac:dyDescent="0.25">
      <c r="A175" s="25"/>
      <c r="B175" s="11" t="str">
        <f>CONCATENATE("          ", "6118", " - ", "VACATION")</f>
        <v xml:space="preserve">          6118 - VACATION</v>
      </c>
      <c r="C175" s="11"/>
      <c r="D175" s="6">
        <v>5779.06</v>
      </c>
      <c r="E175" s="2"/>
      <c r="F175" s="7">
        <f t="shared" si="32"/>
        <v>4.9023953733947998E-3</v>
      </c>
      <c r="G175" s="2"/>
      <c r="H175" s="6">
        <v>5268.48</v>
      </c>
      <c r="I175" s="2"/>
      <c r="J175" s="7">
        <f t="shared" si="33"/>
        <v>2.2375063790514892E-3</v>
      </c>
      <c r="K175" s="2"/>
      <c r="L175" s="6">
        <f t="shared" si="34"/>
        <v>510.58000000000084</v>
      </c>
      <c r="M175" s="2"/>
      <c r="N175" s="7">
        <f t="shared" si="35"/>
        <v>9.691220238095255E-2</v>
      </c>
      <c r="O175" s="11"/>
      <c r="P175" s="6">
        <v>41451.310000000005</v>
      </c>
      <c r="Q175" s="2"/>
      <c r="R175" s="7">
        <f t="shared" si="36"/>
        <v>1.0683258869635184E-2</v>
      </c>
      <c r="S175" s="2"/>
      <c r="T175" s="6">
        <v>46707.360000000001</v>
      </c>
      <c r="U175" s="2"/>
      <c r="V175" s="7">
        <f t="shared" si="37"/>
        <v>4.9183253075033998E-3</v>
      </c>
      <c r="W175" s="2"/>
      <c r="X175" s="6">
        <f t="shared" si="38"/>
        <v>-5256.0499999999956</v>
      </c>
      <c r="Y175" s="2"/>
      <c r="Z175" s="7">
        <f t="shared" si="39"/>
        <v>-0.11253151537573512</v>
      </c>
    </row>
    <row r="176" spans="1:26" s="24" customFormat="1" hidden="1" outlineLevel="2" x14ac:dyDescent="0.25">
      <c r="A176" s="25"/>
      <c r="B176" s="11" t="str">
        <f>CONCATENATE("          ", "6119", " - ", "SICK LEAVE")</f>
        <v xml:space="preserve">          6119 - SICK LEAVE</v>
      </c>
      <c r="C176" s="11"/>
      <c r="D176" s="6">
        <v>3939.34</v>
      </c>
      <c r="E176" s="2"/>
      <c r="F176" s="7">
        <f t="shared" si="32"/>
        <v>3.3417549203900061E-3</v>
      </c>
      <c r="G176" s="2"/>
      <c r="H176" s="6">
        <v>4016.85</v>
      </c>
      <c r="I176" s="2"/>
      <c r="J176" s="7">
        <f t="shared" si="33"/>
        <v>1.705943175013092E-3</v>
      </c>
      <c r="K176" s="2"/>
      <c r="L176" s="6">
        <f t="shared" si="34"/>
        <v>-77.509999999999764</v>
      </c>
      <c r="M176" s="2"/>
      <c r="N176" s="7">
        <f t="shared" si="35"/>
        <v>-1.9296214695594748E-2</v>
      </c>
      <c r="O176" s="11"/>
      <c r="P176" s="6">
        <v>29767.63</v>
      </c>
      <c r="Q176" s="2"/>
      <c r="R176" s="7">
        <f t="shared" si="36"/>
        <v>7.6720204313330109E-3</v>
      </c>
      <c r="S176" s="2"/>
      <c r="T176" s="6">
        <v>35556.18</v>
      </c>
      <c r="U176" s="2"/>
      <c r="V176" s="7">
        <f t="shared" si="37"/>
        <v>3.7440964321714229E-3</v>
      </c>
      <c r="W176" s="2"/>
      <c r="X176" s="6">
        <f t="shared" si="38"/>
        <v>-5788.5499999999993</v>
      </c>
      <c r="Y176" s="2"/>
      <c r="Z176" s="7">
        <f t="shared" si="39"/>
        <v>-0.16280010957307561</v>
      </c>
    </row>
    <row r="177" spans="1:26" s="24" customFormat="1" hidden="1" outlineLevel="2" x14ac:dyDescent="0.25">
      <c r="A177" s="25"/>
      <c r="B177" s="11" t="str">
        <f>CONCATENATE("          ", "6156", " - ", "EMPLOYEE MEALS")</f>
        <v xml:space="preserve">          6156 - EMPLOYEE MEALS</v>
      </c>
      <c r="C177" s="11"/>
      <c r="D177" s="6">
        <v>834.42</v>
      </c>
      <c r="E177" s="2"/>
      <c r="F177" s="7">
        <f t="shared" si="32"/>
        <v>7.0784119691923739E-4</v>
      </c>
      <c r="G177" s="2"/>
      <c r="H177" s="6">
        <v>3299.83</v>
      </c>
      <c r="I177" s="2"/>
      <c r="J177" s="7">
        <f t="shared" si="33"/>
        <v>1.4014271051205427E-3</v>
      </c>
      <c r="K177" s="2"/>
      <c r="L177" s="6">
        <f t="shared" si="34"/>
        <v>-2465.41</v>
      </c>
      <c r="M177" s="2"/>
      <c r="N177" s="7">
        <f t="shared" si="35"/>
        <v>-0.74713242803417146</v>
      </c>
      <c r="O177" s="11"/>
      <c r="P177" s="6">
        <v>10457.24</v>
      </c>
      <c r="Q177" s="2"/>
      <c r="R177" s="7">
        <f t="shared" si="36"/>
        <v>2.6951476800589368E-3</v>
      </c>
      <c r="S177" s="2"/>
      <c r="T177" s="6">
        <v>18608.59</v>
      </c>
      <c r="U177" s="2"/>
      <c r="V177" s="7">
        <f t="shared" si="37"/>
        <v>1.9595005826481028E-3</v>
      </c>
      <c r="W177" s="2"/>
      <c r="X177" s="6">
        <f t="shared" si="38"/>
        <v>-8151.35</v>
      </c>
      <c r="Y177" s="2"/>
      <c r="Z177" s="7">
        <f t="shared" si="39"/>
        <v>-0.43804232346459354</v>
      </c>
    </row>
    <row r="178" spans="1:26" s="26" customFormat="1" outlineLevel="1" collapsed="1" x14ac:dyDescent="0.25">
      <c r="A178" s="27"/>
      <c r="B178" s="13" t="str">
        <f>CONCATENATE("     ","*Payroll                                          ")</f>
        <v xml:space="preserve">     *Payroll                                          </v>
      </c>
      <c r="C178" s="13"/>
      <c r="D178" s="1">
        <f>SUM(OSRRefD22_1x_0)</f>
        <v>164815.32</v>
      </c>
      <c r="E178" s="1"/>
      <c r="F178" s="5">
        <f t="shared" ref="F178:F185" si="40">IF(D$12=0,0,D178/D$12)</f>
        <v>0.13981337141898223</v>
      </c>
      <c r="G178" s="1"/>
      <c r="H178" s="1">
        <f>SUM(OSRRefH22_1x_0)</f>
        <v>317239.62</v>
      </c>
      <c r="I178" s="1"/>
      <c r="J178" s="5">
        <f t="shared" ref="J178:J185" si="41">IF(H$12=0,0,H178/H$12)</f>
        <v>0.13473063833171436</v>
      </c>
      <c r="K178" s="1"/>
      <c r="L178" s="1">
        <f t="shared" ref="L178:L185" si="42">+D178-H178</f>
        <v>-152424.29999999999</v>
      </c>
      <c r="M178" s="1"/>
      <c r="N178" s="5">
        <f t="shared" ref="N178:N185" si="43">IF(H178=0,0,L178/H178)</f>
        <v>-0.48047056669655569</v>
      </c>
      <c r="O178" s="13"/>
      <c r="P178" s="1">
        <f>SUM(OSRRefP22_1x_0)</f>
        <v>936998.2</v>
      </c>
      <c r="Q178" s="1"/>
      <c r="R178" s="5">
        <f t="shared" ref="R178:R185" si="44">IF(P$12=0,0,P178/P$12)</f>
        <v>0.24149283414642866</v>
      </c>
      <c r="S178" s="1"/>
      <c r="T178" s="1">
        <f>SUM(OSRRefT22_1x_0)</f>
        <v>1669048.91</v>
      </c>
      <c r="U178" s="1"/>
      <c r="V178" s="5">
        <f t="shared" ref="V178:V185" si="45">IF(T$12=0,0,T178/T$12)</f>
        <v>0.17575229029244993</v>
      </c>
      <c r="W178" s="1"/>
      <c r="X178" s="1">
        <f t="shared" ref="X178:X185" si="46">+P178-T178</f>
        <v>-732050.71</v>
      </c>
      <c r="Y178" s="1"/>
      <c r="Z178" s="5">
        <f t="shared" ref="Z178:Z185" si="47">IF(T178=0,0,X178/T178)</f>
        <v>-0.4386035098276419</v>
      </c>
    </row>
    <row r="179" spans="1:26" s="24" customFormat="1" hidden="1" outlineLevel="2" x14ac:dyDescent="0.25">
      <c r="A179" s="25"/>
      <c r="B179" s="11" t="str">
        <f>CONCATENATE("          ", "6001", " - ", "ADMINISTRATIVE SALARIES")</f>
        <v xml:space="preserve">          6001 - ADMINISTRATIVE SALARIES</v>
      </c>
      <c r="C179" s="11"/>
      <c r="D179" s="6">
        <v>5332.74</v>
      </c>
      <c r="E179" s="2"/>
      <c r="F179" s="7">
        <f t="shared" si="40"/>
        <v>4.5237806673606743E-3</v>
      </c>
      <c r="G179" s="2"/>
      <c r="H179" s="6">
        <v>12324.43</v>
      </c>
      <c r="I179" s="2"/>
      <c r="J179" s="7">
        <f t="shared" si="41"/>
        <v>5.2341454733003728E-3</v>
      </c>
      <c r="K179" s="2"/>
      <c r="L179" s="6">
        <f t="shared" si="42"/>
        <v>-6991.6900000000005</v>
      </c>
      <c r="M179" s="2"/>
      <c r="N179" s="7">
        <f t="shared" si="43"/>
        <v>-0.56730331544744872</v>
      </c>
      <c r="O179" s="11"/>
      <c r="P179" s="6">
        <v>30215.85</v>
      </c>
      <c r="Q179" s="2"/>
      <c r="R179" s="7">
        <f t="shared" si="44"/>
        <v>7.7875403097288414E-3</v>
      </c>
      <c r="S179" s="2"/>
      <c r="T179" s="6">
        <v>79306.540000000008</v>
      </c>
      <c r="U179" s="2"/>
      <c r="V179" s="7">
        <f t="shared" si="45"/>
        <v>8.3510470883503309E-3</v>
      </c>
      <c r="W179" s="2"/>
      <c r="X179" s="6">
        <f t="shared" si="46"/>
        <v>-49090.69000000001</v>
      </c>
      <c r="Y179" s="2"/>
      <c r="Z179" s="7">
        <f t="shared" si="47"/>
        <v>-0.61899926538214889</v>
      </c>
    </row>
    <row r="180" spans="1:26" s="24" customFormat="1" hidden="1" outlineLevel="2" x14ac:dyDescent="0.25">
      <c r="A180" s="25"/>
      <c r="B180" s="11" t="str">
        <f>CONCATENATE("          ", "6002", " - ", "STAFF SALARIES")</f>
        <v xml:space="preserve">          6002 - STAFF SALARIES</v>
      </c>
      <c r="C180" s="11"/>
      <c r="D180" s="6">
        <v>79241.260000000009</v>
      </c>
      <c r="E180" s="2"/>
      <c r="F180" s="7">
        <f t="shared" si="40"/>
        <v>6.722061830228003E-2</v>
      </c>
      <c r="G180" s="2"/>
      <c r="H180" s="6">
        <v>83155.53</v>
      </c>
      <c r="I180" s="2"/>
      <c r="J180" s="7">
        <f t="shared" si="41"/>
        <v>3.5315884055440561E-2</v>
      </c>
      <c r="K180" s="2"/>
      <c r="L180" s="6">
        <f t="shared" si="42"/>
        <v>-3914.2699999999895</v>
      </c>
      <c r="M180" s="2"/>
      <c r="N180" s="7">
        <f t="shared" si="43"/>
        <v>-4.7071674006527162E-2</v>
      </c>
      <c r="O180" s="11"/>
      <c r="P180" s="6">
        <v>454581.87</v>
      </c>
      <c r="Q180" s="2"/>
      <c r="R180" s="7">
        <f t="shared" si="44"/>
        <v>0.11715952510675411</v>
      </c>
      <c r="S180" s="2"/>
      <c r="T180" s="6">
        <v>531284.98</v>
      </c>
      <c r="U180" s="2"/>
      <c r="V180" s="7">
        <f t="shared" si="45"/>
        <v>5.5944766791153205E-2</v>
      </c>
      <c r="W180" s="2"/>
      <c r="X180" s="6">
        <f t="shared" si="46"/>
        <v>-76703.109999999986</v>
      </c>
      <c r="Y180" s="2"/>
      <c r="Z180" s="7">
        <f t="shared" si="47"/>
        <v>-0.14437281852010947</v>
      </c>
    </row>
    <row r="181" spans="1:26" s="24" customFormat="1" hidden="1" outlineLevel="2" x14ac:dyDescent="0.25">
      <c r="A181" s="25"/>
      <c r="B181" s="11" t="str">
        <f>CONCATENATE("          ", "6004", " - ", "STAFF HOURLY")</f>
        <v xml:space="preserve">          6004 - STAFF HOURLY</v>
      </c>
      <c r="C181" s="11"/>
      <c r="D181" s="6">
        <v>18984.73</v>
      </c>
      <c r="E181" s="2"/>
      <c r="F181" s="7">
        <f t="shared" si="40"/>
        <v>1.6104808137854504E-2</v>
      </c>
      <c r="G181" s="2"/>
      <c r="H181" s="6">
        <v>4901.03</v>
      </c>
      <c r="I181" s="2"/>
      <c r="J181" s="7">
        <f t="shared" si="41"/>
        <v>2.0814515550828172E-3</v>
      </c>
      <c r="K181" s="2"/>
      <c r="L181" s="6">
        <f t="shared" si="42"/>
        <v>14083.7</v>
      </c>
      <c r="M181" s="2"/>
      <c r="N181" s="7">
        <f t="shared" si="43"/>
        <v>2.8736204430497265</v>
      </c>
      <c r="O181" s="11"/>
      <c r="P181" s="6">
        <v>110021.64</v>
      </c>
      <c r="Q181" s="2"/>
      <c r="R181" s="7">
        <f t="shared" si="44"/>
        <v>2.8355911101043827E-2</v>
      </c>
      <c r="S181" s="2"/>
      <c r="T181" s="6">
        <v>21099.91</v>
      </c>
      <c r="U181" s="2"/>
      <c r="V181" s="7">
        <f t="shared" si="45"/>
        <v>2.221838728179971E-3</v>
      </c>
      <c r="W181" s="2"/>
      <c r="X181" s="6">
        <f t="shared" si="46"/>
        <v>88921.73</v>
      </c>
      <c r="Y181" s="2"/>
      <c r="Z181" s="7">
        <f t="shared" si="47"/>
        <v>4.2143179757638771</v>
      </c>
    </row>
    <row r="182" spans="1:26" s="24" customFormat="1" hidden="1" outlineLevel="2" x14ac:dyDescent="0.25">
      <c r="A182" s="25"/>
      <c r="B182" s="11" t="str">
        <f>CONCATENATE("          ", "6005", " - ", "TEMPORARY WAGES-HOURLY")</f>
        <v xml:space="preserve">          6005 - TEMPORARY WAGES-HOURLY</v>
      </c>
      <c r="C182" s="11"/>
      <c r="D182" s="6">
        <v>12550.77</v>
      </c>
      <c r="E182" s="2"/>
      <c r="F182" s="7">
        <f t="shared" si="40"/>
        <v>1.0646858966776992E-2</v>
      </c>
      <c r="G182" s="2"/>
      <c r="H182" s="6">
        <v>26795.57</v>
      </c>
      <c r="I182" s="2"/>
      <c r="J182" s="7">
        <f t="shared" si="41"/>
        <v>1.1379991725378234E-2</v>
      </c>
      <c r="K182" s="2"/>
      <c r="L182" s="6">
        <f t="shared" si="42"/>
        <v>-14244.8</v>
      </c>
      <c r="M182" s="2"/>
      <c r="N182" s="7">
        <f t="shared" si="43"/>
        <v>-0.5316102624426351</v>
      </c>
      <c r="O182" s="11"/>
      <c r="P182" s="6">
        <v>112326.18</v>
      </c>
      <c r="Q182" s="2"/>
      <c r="R182" s="7">
        <f t="shared" si="44"/>
        <v>2.8949860903726275E-2</v>
      </c>
      <c r="S182" s="2"/>
      <c r="T182" s="6">
        <v>174453.56999999998</v>
      </c>
      <c r="U182" s="2"/>
      <c r="V182" s="7">
        <f t="shared" si="45"/>
        <v>1.837011144100878E-2</v>
      </c>
      <c r="W182" s="2"/>
      <c r="X182" s="6">
        <f t="shared" si="46"/>
        <v>-62127.389999999985</v>
      </c>
      <c r="Y182" s="2"/>
      <c r="Z182" s="7">
        <f t="shared" si="47"/>
        <v>-0.35612564420435761</v>
      </c>
    </row>
    <row r="183" spans="1:26" s="24" customFormat="1" hidden="1" outlineLevel="2" x14ac:dyDescent="0.25">
      <c r="A183" s="25"/>
      <c r="B183" s="11" t="str">
        <f>CONCATENATE("          ", "6006", " - ", "TEMPORARY PART TIME")</f>
        <v xml:space="preserve">          6006 - TEMPORARY PART TIME</v>
      </c>
      <c r="C183" s="11"/>
      <c r="D183" s="6"/>
      <c r="E183" s="2"/>
      <c r="F183" s="7">
        <f t="shared" si="40"/>
        <v>0</v>
      </c>
      <c r="G183" s="2"/>
      <c r="H183" s="6">
        <v>1614.68</v>
      </c>
      <c r="I183" s="2"/>
      <c r="J183" s="7">
        <f t="shared" si="41"/>
        <v>6.857493622689769E-4</v>
      </c>
      <c r="K183" s="2"/>
      <c r="L183" s="6">
        <f t="shared" si="42"/>
        <v>-1614.68</v>
      </c>
      <c r="M183" s="2"/>
      <c r="N183" s="7">
        <f t="shared" si="43"/>
        <v>-1</v>
      </c>
      <c r="O183" s="11"/>
      <c r="P183" s="6">
        <v>9987.9599999999991</v>
      </c>
      <c r="Q183" s="2"/>
      <c r="R183" s="7">
        <f t="shared" si="44"/>
        <v>2.5742000013886509E-3</v>
      </c>
      <c r="S183" s="2"/>
      <c r="T183" s="6">
        <v>32155.859999999997</v>
      </c>
      <c r="U183" s="2"/>
      <c r="V183" s="7">
        <f t="shared" si="45"/>
        <v>3.3860398023467021E-3</v>
      </c>
      <c r="W183" s="2"/>
      <c r="X183" s="6">
        <f t="shared" si="46"/>
        <v>-22167.899999999998</v>
      </c>
      <c r="Y183" s="2"/>
      <c r="Z183" s="7">
        <f t="shared" si="47"/>
        <v>-0.689389119121678</v>
      </c>
    </row>
    <row r="184" spans="1:26" s="24" customFormat="1" hidden="1" outlineLevel="2" x14ac:dyDescent="0.25">
      <c r="A184" s="25"/>
      <c r="B184" s="11" t="str">
        <f>CONCATENATE("          ", "6007", " - ", "STUDENT HOURLY")</f>
        <v xml:space="preserve">          6007 - STUDENT HOURLY</v>
      </c>
      <c r="C184" s="11"/>
      <c r="D184" s="6">
        <v>47460.94</v>
      </c>
      <c r="E184" s="2"/>
      <c r="F184" s="7">
        <f t="shared" si="40"/>
        <v>4.0261269596261015E-2</v>
      </c>
      <c r="G184" s="2"/>
      <c r="H184" s="6">
        <v>183736.24000000002</v>
      </c>
      <c r="I184" s="2"/>
      <c r="J184" s="7">
        <f t="shared" si="41"/>
        <v>7.8032185575903384E-2</v>
      </c>
      <c r="K184" s="2"/>
      <c r="L184" s="6">
        <f t="shared" si="42"/>
        <v>-136275.30000000002</v>
      </c>
      <c r="M184" s="2"/>
      <c r="N184" s="7">
        <f t="shared" si="43"/>
        <v>-0.74168982667763317</v>
      </c>
      <c r="O184" s="11"/>
      <c r="P184" s="6">
        <v>213689.37</v>
      </c>
      <c r="Q184" s="2"/>
      <c r="R184" s="7">
        <f t="shared" si="44"/>
        <v>5.5074227024411393E-2</v>
      </c>
      <c r="S184" s="2"/>
      <c r="T184" s="6">
        <v>810761.87</v>
      </c>
      <c r="U184" s="2"/>
      <c r="V184" s="7">
        <f t="shared" si="45"/>
        <v>8.5373924443166591E-2</v>
      </c>
      <c r="W184" s="2"/>
      <c r="X184" s="6">
        <f t="shared" si="46"/>
        <v>-597072.5</v>
      </c>
      <c r="Y184" s="2"/>
      <c r="Z184" s="7">
        <f t="shared" si="47"/>
        <v>-0.73643386806042077</v>
      </c>
    </row>
    <row r="185" spans="1:26" s="24" customFormat="1" hidden="1" outlineLevel="2" x14ac:dyDescent="0.25">
      <c r="A185" s="25"/>
      <c r="B185" s="11" t="str">
        <f>CONCATENATE("          ", "6008", " - ", "STUDENT HOURLY-FICA EXEMPT")</f>
        <v xml:space="preserve">          6008 - STUDENT HOURLY-FICA EXEMPT</v>
      </c>
      <c r="C185" s="11"/>
      <c r="D185" s="6">
        <v>1244.8800000000001</v>
      </c>
      <c r="E185" s="2"/>
      <c r="F185" s="7">
        <f t="shared" si="40"/>
        <v>1.0560357484490071E-3</v>
      </c>
      <c r="G185" s="2"/>
      <c r="H185" s="6">
        <v>4712.1400000000003</v>
      </c>
      <c r="I185" s="2"/>
      <c r="J185" s="7">
        <f t="shared" si="41"/>
        <v>2.0012305843400157E-3</v>
      </c>
      <c r="K185" s="2"/>
      <c r="L185" s="6">
        <f t="shared" si="42"/>
        <v>-3467.26</v>
      </c>
      <c r="M185" s="2"/>
      <c r="N185" s="7">
        <f t="shared" si="43"/>
        <v>-0.73581430093333389</v>
      </c>
      <c r="O185" s="11"/>
      <c r="P185" s="6">
        <v>6175.33</v>
      </c>
      <c r="Q185" s="2"/>
      <c r="R185" s="7">
        <f t="shared" si="44"/>
        <v>1.5915696993755862E-3</v>
      </c>
      <c r="S185" s="2"/>
      <c r="T185" s="6">
        <v>19986.18</v>
      </c>
      <c r="U185" s="2"/>
      <c r="V185" s="7">
        <f t="shared" si="45"/>
        <v>2.1045619982443518E-3</v>
      </c>
      <c r="W185" s="2"/>
      <c r="X185" s="6">
        <f t="shared" si="46"/>
        <v>-13810.85</v>
      </c>
      <c r="Y185" s="2"/>
      <c r="Z185" s="7">
        <f t="shared" si="47"/>
        <v>-0.69101999481641818</v>
      </c>
    </row>
    <row r="186" spans="1:26" s="26" customFormat="1" outlineLevel="1" collapsed="1" x14ac:dyDescent="0.25">
      <c r="A186" s="27"/>
      <c r="B186" s="13" t="str">
        <f>CONCATENATE("     ","Advertising/Promo                                 ")</f>
        <v xml:space="preserve">     Advertising/Promo                                 </v>
      </c>
      <c r="C186" s="13"/>
      <c r="D186" s="1">
        <f>SUM(OSRRefD22_2x_0)</f>
        <v>1331.63</v>
      </c>
      <c r="E186" s="1"/>
      <c r="F186" s="5">
        <f t="shared" ref="F186:F190" si="48">IF(D$12=0,0,D186/D$12)</f>
        <v>1.1296260552881813E-3</v>
      </c>
      <c r="G186" s="1"/>
      <c r="H186" s="1">
        <f>SUM(OSRRefH22_2x_0)</f>
        <v>3634.07</v>
      </c>
      <c r="I186" s="1"/>
      <c r="J186" s="5">
        <f t="shared" ref="J186:J190" si="49">IF(H$12=0,0,H186/H$12)</f>
        <v>1.5433777497342017E-3</v>
      </c>
      <c r="K186" s="1"/>
      <c r="L186" s="1">
        <f t="shared" ref="L186:L190" si="50">+D186-H186</f>
        <v>-2302.44</v>
      </c>
      <c r="M186" s="1"/>
      <c r="N186" s="5">
        <f t="shared" ref="N186:N190" si="51">IF(H186=0,0,L186/H186)</f>
        <v>-0.6335706246715116</v>
      </c>
      <c r="O186" s="13"/>
      <c r="P186" s="1">
        <f>SUM(OSRRefP22_2x_0)</f>
        <v>16034.14</v>
      </c>
      <c r="Q186" s="1"/>
      <c r="R186" s="5">
        <f t="shared" ref="R186:R190" si="52">IF(P$12=0,0,P186/P$12)</f>
        <v>4.1324838315597804E-3</v>
      </c>
      <c r="S186" s="1"/>
      <c r="T186" s="1">
        <f>SUM(OSRRefT22_2x_0)</f>
        <v>43369.009999999995</v>
      </c>
      <c r="U186" s="1"/>
      <c r="V186" s="5">
        <f t="shared" ref="V186:V190" si="53">IF(T$12=0,0,T186/T$12)</f>
        <v>4.5667941721469164E-3</v>
      </c>
      <c r="W186" s="1"/>
      <c r="X186" s="1">
        <f t="shared" ref="X186:X190" si="54">+P186-T186</f>
        <v>-27334.869999999995</v>
      </c>
      <c r="Y186" s="1"/>
      <c r="Z186" s="5">
        <f t="shared" ref="Z186:Z190" si="55">IF(T186=0,0,X186/T186)</f>
        <v>-0.63028577318227919</v>
      </c>
    </row>
    <row r="187" spans="1:26" s="24" customFormat="1" hidden="1" outlineLevel="2" x14ac:dyDescent="0.25">
      <c r="A187" s="25"/>
      <c r="B187" s="11" t="str">
        <f>CONCATENATE("          ", "6362", " - ", "ADVERTISING EXPENSE")</f>
        <v xml:space="preserve">          6362 - ADVERTISING EXPENSE</v>
      </c>
      <c r="C187" s="11"/>
      <c r="D187" s="6">
        <v>1331.63</v>
      </c>
      <c r="E187" s="2"/>
      <c r="F187" s="7">
        <f t="shared" si="48"/>
        <v>1.1296260552881813E-3</v>
      </c>
      <c r="G187" s="2"/>
      <c r="H187" s="6">
        <v>3634.07</v>
      </c>
      <c r="I187" s="2"/>
      <c r="J187" s="7">
        <f t="shared" si="49"/>
        <v>1.5433777497342017E-3</v>
      </c>
      <c r="K187" s="2"/>
      <c r="L187" s="6">
        <f t="shared" si="50"/>
        <v>-2302.44</v>
      </c>
      <c r="M187" s="2"/>
      <c r="N187" s="7">
        <f t="shared" si="51"/>
        <v>-0.6335706246715116</v>
      </c>
      <c r="O187" s="11"/>
      <c r="P187" s="6">
        <v>16034.14</v>
      </c>
      <c r="Q187" s="2"/>
      <c r="R187" s="7">
        <f t="shared" si="52"/>
        <v>4.1324838315597804E-3</v>
      </c>
      <c r="S187" s="2"/>
      <c r="T187" s="6">
        <v>43369.009999999995</v>
      </c>
      <c r="U187" s="2"/>
      <c r="V187" s="7">
        <f t="shared" si="53"/>
        <v>4.5667941721469164E-3</v>
      </c>
      <c r="W187" s="2"/>
      <c r="X187" s="6">
        <f t="shared" si="54"/>
        <v>-27334.869999999995</v>
      </c>
      <c r="Y187" s="2"/>
      <c r="Z187" s="7">
        <f t="shared" si="55"/>
        <v>-0.63028577318227919</v>
      </c>
    </row>
    <row r="188" spans="1:26" s="26" customFormat="1" outlineLevel="1" collapsed="1" x14ac:dyDescent="0.25">
      <c r="A188" s="27"/>
      <c r="B188" s="13" t="str">
        <f>CONCATENATE("     ","Bad Debts/Over/Short                              ")</f>
        <v xml:space="preserve">     Bad Debts/Over/Short                              </v>
      </c>
      <c r="C188" s="13"/>
      <c r="D188" s="1">
        <f>SUM(OSRRefD22_3x_0)</f>
        <v>1872.1</v>
      </c>
      <c r="E188" s="1"/>
      <c r="F188" s="5">
        <f t="shared" si="48"/>
        <v>1.5881085122030924E-3</v>
      </c>
      <c r="G188" s="1"/>
      <c r="H188" s="1">
        <f>SUM(OSRRefH22_3x_0)</f>
        <v>-130.44</v>
      </c>
      <c r="I188" s="1"/>
      <c r="J188" s="5">
        <f t="shared" si="49"/>
        <v>-5.5397445199274986E-5</v>
      </c>
      <c r="K188" s="1"/>
      <c r="L188" s="1">
        <f t="shared" si="50"/>
        <v>2002.54</v>
      </c>
      <c r="M188" s="1"/>
      <c r="N188" s="5">
        <f t="shared" si="51"/>
        <v>-15.352192578963509</v>
      </c>
      <c r="O188" s="13"/>
      <c r="P188" s="1">
        <f>SUM(OSRRefP22_3x_0)</f>
        <v>1921.37</v>
      </c>
      <c r="Q188" s="1"/>
      <c r="R188" s="5">
        <f t="shared" si="52"/>
        <v>4.9519528078487628E-4</v>
      </c>
      <c r="S188" s="1"/>
      <c r="T188" s="1">
        <f>SUM(OSRRefT22_3x_0)</f>
        <v>-263.3</v>
      </c>
      <c r="U188" s="1"/>
      <c r="V188" s="5">
        <f t="shared" si="53"/>
        <v>-2.7725717177456514E-5</v>
      </c>
      <c r="W188" s="1"/>
      <c r="X188" s="1">
        <f t="shared" si="54"/>
        <v>2184.67</v>
      </c>
      <c r="Y188" s="1"/>
      <c r="Z188" s="5">
        <f t="shared" si="55"/>
        <v>-8.2972654766426128</v>
      </c>
    </row>
    <row r="189" spans="1:26" s="24" customFormat="1" hidden="1" outlineLevel="2" x14ac:dyDescent="0.25">
      <c r="A189" s="25"/>
      <c r="B189" s="11" t="str">
        <f>CONCATENATE("          ", "6272", " - ", "CASH (OVER/SHORT)")</f>
        <v xml:space="preserve">          6272 - CASH (OVER/SHORT)</v>
      </c>
      <c r="C189" s="11"/>
      <c r="D189" s="6">
        <v>-124.68</v>
      </c>
      <c r="E189" s="2"/>
      <c r="F189" s="7">
        <f t="shared" si="48"/>
        <v>-1.0576644906868308E-4</v>
      </c>
      <c r="G189" s="2"/>
      <c r="H189" s="6">
        <v>-130.44</v>
      </c>
      <c r="I189" s="2"/>
      <c r="J189" s="7">
        <f t="shared" si="49"/>
        <v>-5.5397445199274986E-5</v>
      </c>
      <c r="K189" s="2"/>
      <c r="L189" s="6">
        <f t="shared" si="50"/>
        <v>5.7599999999999909</v>
      </c>
      <c r="M189" s="2"/>
      <c r="N189" s="7">
        <f t="shared" si="51"/>
        <v>-4.4158233670653108E-2</v>
      </c>
      <c r="O189" s="11"/>
      <c r="P189" s="6">
        <v>-75.41</v>
      </c>
      <c r="Q189" s="2"/>
      <c r="R189" s="7">
        <f t="shared" si="52"/>
        <v>-1.9435442483221619E-5</v>
      </c>
      <c r="S189" s="2"/>
      <c r="T189" s="6">
        <v>-308.10000000000002</v>
      </c>
      <c r="U189" s="2"/>
      <c r="V189" s="7">
        <f t="shared" si="53"/>
        <v>-3.244319583127365E-5</v>
      </c>
      <c r="W189" s="2"/>
      <c r="X189" s="6">
        <f t="shared" si="54"/>
        <v>232.69000000000003</v>
      </c>
      <c r="Y189" s="2"/>
      <c r="Z189" s="7">
        <f t="shared" si="55"/>
        <v>-0.75524180460889323</v>
      </c>
    </row>
    <row r="190" spans="1:26" s="24" customFormat="1" hidden="1" outlineLevel="2" x14ac:dyDescent="0.25">
      <c r="A190" s="25"/>
      <c r="B190" s="11" t="str">
        <f>CONCATENATE("          ", "6342", " - ", "BAD DEBT")</f>
        <v xml:space="preserve">          6342 - BAD DEBT</v>
      </c>
      <c r="C190" s="11"/>
      <c r="D190" s="6">
        <v>1996.78</v>
      </c>
      <c r="E190" s="2"/>
      <c r="F190" s="7">
        <f t="shared" si="48"/>
        <v>1.6938749612717754E-3</v>
      </c>
      <c r="G190" s="2"/>
      <c r="H190" s="6"/>
      <c r="I190" s="2"/>
      <c r="J190" s="7">
        <f t="shared" si="49"/>
        <v>0</v>
      </c>
      <c r="K190" s="2"/>
      <c r="L190" s="6">
        <f t="shared" si="50"/>
        <v>1996.78</v>
      </c>
      <c r="M190" s="2"/>
      <c r="N190" s="7">
        <f t="shared" si="51"/>
        <v>0</v>
      </c>
      <c r="O190" s="11"/>
      <c r="P190" s="6">
        <v>1996.78</v>
      </c>
      <c r="Q190" s="2"/>
      <c r="R190" s="7">
        <f t="shared" si="52"/>
        <v>5.1463072326809794E-4</v>
      </c>
      <c r="S190" s="2"/>
      <c r="T190" s="6">
        <v>44.8</v>
      </c>
      <c r="U190" s="2"/>
      <c r="V190" s="7">
        <f t="shared" si="53"/>
        <v>4.7174786538171349E-6</v>
      </c>
      <c r="W190" s="2"/>
      <c r="X190" s="6">
        <f t="shared" si="54"/>
        <v>1951.98</v>
      </c>
      <c r="Y190" s="2"/>
      <c r="Z190" s="7">
        <f t="shared" si="55"/>
        <v>43.570982142857147</v>
      </c>
    </row>
    <row r="191" spans="1:26" s="26" customFormat="1" outlineLevel="1" collapsed="1" x14ac:dyDescent="0.25">
      <c r="A191" s="27"/>
      <c r="B191" s="13" t="str">
        <f>CONCATENATE("     ","Bank/card Fees                                    ")</f>
        <v xml:space="preserve">     Bank/card Fees                                    </v>
      </c>
      <c r="C191" s="13"/>
      <c r="D191" s="1">
        <f>SUM(OSRRefD22_4x_0)</f>
        <v>15172.830000000002</v>
      </c>
      <c r="E191" s="1"/>
      <c r="F191" s="5">
        <f t="shared" ref="F191:F195" si="56">IF(D$12=0,0,D191/D$12)</f>
        <v>1.2871160983500054E-2</v>
      </c>
      <c r="G191" s="1"/>
      <c r="H191" s="1">
        <f>SUM(OSRRefH22_4x_0)</f>
        <v>33095.75</v>
      </c>
      <c r="I191" s="1"/>
      <c r="J191" s="5">
        <f t="shared" ref="J191:J195" si="57">IF(H$12=0,0,H191/H$12)</f>
        <v>1.4055657750336592E-2</v>
      </c>
      <c r="K191" s="1"/>
      <c r="L191" s="1">
        <f t="shared" ref="L191:L195" si="58">+D191-H191</f>
        <v>-17922.919999999998</v>
      </c>
      <c r="M191" s="1"/>
      <c r="N191" s="5">
        <f t="shared" ref="N191:N195" si="59">IF(H191=0,0,L191/H191)</f>
        <v>-0.5415474796612858</v>
      </c>
      <c r="O191" s="13"/>
      <c r="P191" s="1">
        <f>SUM(OSRRefP22_4x_0)</f>
        <v>62882.94</v>
      </c>
      <c r="Q191" s="1"/>
      <c r="R191" s="5">
        <f t="shared" ref="R191:R195" si="60">IF(P$12=0,0,P191/P$12)</f>
        <v>1.6206839458239967E-2</v>
      </c>
      <c r="S191" s="1"/>
      <c r="T191" s="1">
        <f>SUM(OSRRefT22_4x_0)</f>
        <v>181478.93</v>
      </c>
      <c r="U191" s="1"/>
      <c r="V191" s="5">
        <f t="shared" ref="V191:V195" si="61">IF(T$12=0,0,T191/T$12)</f>
        <v>1.9109887910548528E-2</v>
      </c>
      <c r="W191" s="1"/>
      <c r="X191" s="1">
        <f t="shared" ref="X191:X195" si="62">+P191-T191</f>
        <v>-118595.98999999999</v>
      </c>
      <c r="Y191" s="1"/>
      <c r="Z191" s="5">
        <f t="shared" ref="Z191:Z195" si="63">IF(T191=0,0,X191/T191)</f>
        <v>-0.65349729580177707</v>
      </c>
    </row>
    <row r="192" spans="1:26" s="24" customFormat="1" hidden="1" outlineLevel="2" x14ac:dyDescent="0.25">
      <c r="A192" s="25"/>
      <c r="B192" s="11" t="str">
        <f>CONCATENATE("          ", "6381", " - ", "BANK/CREDIT CARD FEES")</f>
        <v xml:space="preserve">          6381 - BANK/CREDIT CARD FEES</v>
      </c>
      <c r="C192" s="11"/>
      <c r="D192" s="6">
        <v>15172.830000000002</v>
      </c>
      <c r="E192" s="2"/>
      <c r="F192" s="7">
        <f t="shared" si="56"/>
        <v>1.2871160983500054E-2</v>
      </c>
      <c r="G192" s="2"/>
      <c r="H192" s="6">
        <v>33095.75</v>
      </c>
      <c r="I192" s="2"/>
      <c r="J192" s="7">
        <f t="shared" si="57"/>
        <v>1.4055657750336592E-2</v>
      </c>
      <c r="K192" s="2"/>
      <c r="L192" s="6">
        <f t="shared" si="58"/>
        <v>-17922.919999999998</v>
      </c>
      <c r="M192" s="2"/>
      <c r="N192" s="7">
        <f t="shared" si="59"/>
        <v>-0.5415474796612858</v>
      </c>
      <c r="O192" s="11"/>
      <c r="P192" s="6">
        <v>62882.94</v>
      </c>
      <c r="Q192" s="2"/>
      <c r="R192" s="7">
        <f t="shared" si="60"/>
        <v>1.6206839458239967E-2</v>
      </c>
      <c r="S192" s="2"/>
      <c r="T192" s="6">
        <v>181478.93</v>
      </c>
      <c r="U192" s="2"/>
      <c r="V192" s="7">
        <f t="shared" si="61"/>
        <v>1.9109887910548528E-2</v>
      </c>
      <c r="W192" s="2"/>
      <c r="X192" s="6">
        <f t="shared" si="62"/>
        <v>-118595.98999999999</v>
      </c>
      <c r="Y192" s="2"/>
      <c r="Z192" s="7">
        <f t="shared" si="63"/>
        <v>-0.65349729580177707</v>
      </c>
    </row>
    <row r="193" spans="1:26" s="26" customFormat="1" outlineLevel="1" collapsed="1" x14ac:dyDescent="0.25">
      <c r="A193" s="27"/>
      <c r="B193" s="13" t="str">
        <f>CONCATENATE("     ","Depreciation                                      ")</f>
        <v xml:space="preserve">     Depreciation                                      </v>
      </c>
      <c r="C193" s="13"/>
      <c r="D193" s="1">
        <f>SUM(OSRRefD22_5x_0)</f>
        <v>39887.94</v>
      </c>
      <c r="E193" s="1"/>
      <c r="F193" s="5">
        <f t="shared" si="56"/>
        <v>3.3837069092594534E-2</v>
      </c>
      <c r="G193" s="1"/>
      <c r="H193" s="1">
        <f>SUM(OSRRefH22_5x_0)</f>
        <v>38324.210000000006</v>
      </c>
      <c r="I193" s="1"/>
      <c r="J193" s="5">
        <f t="shared" si="57"/>
        <v>1.6276167765106615E-2</v>
      </c>
      <c r="K193" s="1"/>
      <c r="L193" s="1">
        <f t="shared" si="58"/>
        <v>1563.7299999999959</v>
      </c>
      <c r="M193" s="1"/>
      <c r="N193" s="5">
        <f t="shared" si="59"/>
        <v>4.0802667556617489E-2</v>
      </c>
      <c r="O193" s="13"/>
      <c r="P193" s="1">
        <f>SUM(OSRRefP22_5x_0)</f>
        <v>279692.35000000003</v>
      </c>
      <c r="Q193" s="1"/>
      <c r="R193" s="5">
        <f t="shared" si="60"/>
        <v>7.2085195351042172E-2</v>
      </c>
      <c r="S193" s="1"/>
      <c r="T193" s="1">
        <f>SUM(OSRRefT22_5x_0)</f>
        <v>266702.97000000003</v>
      </c>
      <c r="U193" s="1"/>
      <c r="V193" s="5">
        <f t="shared" si="61"/>
        <v>2.8084052854567679E-2</v>
      </c>
      <c r="W193" s="1"/>
      <c r="X193" s="1">
        <f t="shared" si="62"/>
        <v>12989.380000000005</v>
      </c>
      <c r="Y193" s="1"/>
      <c r="Z193" s="5">
        <f t="shared" si="63"/>
        <v>4.8703544621194146E-2</v>
      </c>
    </row>
    <row r="194" spans="1:26" s="24" customFormat="1" hidden="1" outlineLevel="2" x14ac:dyDescent="0.25">
      <c r="A194" s="25"/>
      <c r="B194" s="11" t="str">
        <f>CONCATENATE("          ", "6321", " - ", "BUILDING DEPRECIATION")</f>
        <v xml:space="preserve">          6321 - BUILDING DEPRECIATION</v>
      </c>
      <c r="C194" s="11"/>
      <c r="D194" s="6">
        <v>21477.030000000002</v>
      </c>
      <c r="E194" s="2"/>
      <c r="F194" s="7">
        <f t="shared" si="56"/>
        <v>1.821903432500464E-2</v>
      </c>
      <c r="G194" s="2"/>
      <c r="H194" s="6">
        <v>21477.030000000002</v>
      </c>
      <c r="I194" s="2"/>
      <c r="J194" s="7">
        <f t="shared" si="57"/>
        <v>9.1212250265883549E-3</v>
      </c>
      <c r="K194" s="2"/>
      <c r="L194" s="6">
        <f t="shared" si="58"/>
        <v>0</v>
      </c>
      <c r="M194" s="2"/>
      <c r="N194" s="7">
        <f t="shared" si="59"/>
        <v>0</v>
      </c>
      <c r="O194" s="11"/>
      <c r="P194" s="6">
        <v>150339.21000000002</v>
      </c>
      <c r="Q194" s="2"/>
      <c r="R194" s="7">
        <f t="shared" si="60"/>
        <v>3.8746970811934449E-2</v>
      </c>
      <c r="S194" s="2"/>
      <c r="T194" s="6">
        <v>150339.21000000002</v>
      </c>
      <c r="U194" s="2"/>
      <c r="V194" s="7">
        <f t="shared" si="61"/>
        <v>1.5830848526935976E-2</v>
      </c>
      <c r="W194" s="2"/>
      <c r="X194" s="6">
        <f t="shared" si="62"/>
        <v>0</v>
      </c>
      <c r="Y194" s="2"/>
      <c r="Z194" s="7">
        <f t="shared" si="63"/>
        <v>0</v>
      </c>
    </row>
    <row r="195" spans="1:26" s="24" customFormat="1" hidden="1" outlineLevel="2" x14ac:dyDescent="0.25">
      <c r="A195" s="25"/>
      <c r="B195" s="11" t="str">
        <f>CONCATENATE("          ", "6322", " - ", "EQUIPMENT DEPRECIATION EXPENSE")</f>
        <v xml:space="preserve">          6322 - EQUIPMENT DEPRECIATION EXPENSE</v>
      </c>
      <c r="C195" s="11"/>
      <c r="D195" s="6">
        <v>18410.91</v>
      </c>
      <c r="E195" s="2"/>
      <c r="F195" s="7">
        <f t="shared" si="56"/>
        <v>1.5618034767589892E-2</v>
      </c>
      <c r="G195" s="2"/>
      <c r="H195" s="6">
        <v>16847.18</v>
      </c>
      <c r="I195" s="2"/>
      <c r="J195" s="7">
        <f t="shared" si="57"/>
        <v>7.1549427385182579E-3</v>
      </c>
      <c r="K195" s="2"/>
      <c r="L195" s="6">
        <f t="shared" si="58"/>
        <v>1563.7299999999996</v>
      </c>
      <c r="M195" s="2"/>
      <c r="N195" s="7">
        <f t="shared" si="59"/>
        <v>9.2818501375304327E-2</v>
      </c>
      <c r="O195" s="11"/>
      <c r="P195" s="6">
        <v>129353.14</v>
      </c>
      <c r="Q195" s="2"/>
      <c r="R195" s="7">
        <f t="shared" si="60"/>
        <v>3.3338224539107723E-2</v>
      </c>
      <c r="S195" s="2"/>
      <c r="T195" s="6">
        <v>116363.76</v>
      </c>
      <c r="U195" s="2"/>
      <c r="V195" s="7">
        <f t="shared" si="61"/>
        <v>1.2253204327631701E-2</v>
      </c>
      <c r="W195" s="2"/>
      <c r="X195" s="6">
        <f t="shared" si="62"/>
        <v>12989.380000000005</v>
      </c>
      <c r="Y195" s="2"/>
      <c r="Z195" s="7">
        <f t="shared" si="63"/>
        <v>0.11162736577092391</v>
      </c>
    </row>
    <row r="196" spans="1:26" s="26" customFormat="1" outlineLevel="1" collapsed="1" x14ac:dyDescent="0.25">
      <c r="A196" s="27"/>
      <c r="B196" s="13" t="str">
        <f>CONCATENATE("     ","Discounts and Markdowns                           ")</f>
        <v xml:space="preserve">     Discounts and Markdowns                           </v>
      </c>
      <c r="C196" s="13"/>
      <c r="D196" s="1">
        <f>SUM(OSRRefD22_6x_0)</f>
        <v>-42.86</v>
      </c>
      <c r="E196" s="1"/>
      <c r="F196" s="5">
        <f t="shared" ref="F196:F198" si="64">IF(D$12=0,0,D196/D$12)</f>
        <v>-3.6358277246420889E-5</v>
      </c>
      <c r="G196" s="1"/>
      <c r="H196" s="1">
        <f>SUM(OSRRefH22_6x_0)</f>
        <v>36988.130000000005</v>
      </c>
      <c r="I196" s="1"/>
      <c r="J196" s="5">
        <f t="shared" ref="J196:J198" si="65">IF(H$12=0,0,H196/H$12)</f>
        <v>1.5708738919799597E-2</v>
      </c>
      <c r="K196" s="1"/>
      <c r="L196" s="1">
        <f t="shared" ref="L196:L198" si="66">+D196-H196</f>
        <v>-37030.990000000005</v>
      </c>
      <c r="M196" s="1"/>
      <c r="N196" s="5">
        <f t="shared" ref="N196:N198" si="67">IF(H196=0,0,L196/H196)</f>
        <v>-1.0011587501179433</v>
      </c>
      <c r="O196" s="13"/>
      <c r="P196" s="1">
        <f>SUM(OSRRefP22_6x_0)</f>
        <v>-42.86</v>
      </c>
      <c r="Q196" s="1"/>
      <c r="R196" s="5">
        <f t="shared" ref="R196:R198" si="68">IF(P$12=0,0,P196/P$12)</f>
        <v>-1.1046320976407355E-5</v>
      </c>
      <c r="S196" s="1"/>
      <c r="T196" s="1">
        <f>SUM(OSRRefT22_6x_0)</f>
        <v>224768.84</v>
      </c>
      <c r="U196" s="1"/>
      <c r="V196" s="5">
        <f t="shared" ref="V196:V198" si="69">IF(T$12=0,0,T196/T$12)</f>
        <v>2.3668352784447299E-2</v>
      </c>
      <c r="W196" s="1"/>
      <c r="X196" s="1">
        <f t="shared" ref="X196:X198" si="70">+P196-T196</f>
        <v>-224811.69999999998</v>
      </c>
      <c r="Y196" s="1"/>
      <c r="Z196" s="5">
        <f t="shared" ref="Z196:Z198" si="71">IF(T196=0,0,X196/T196)</f>
        <v>-1.000190684794209</v>
      </c>
    </row>
    <row r="197" spans="1:26" s="24" customFormat="1" hidden="1" outlineLevel="2" x14ac:dyDescent="0.25">
      <c r="A197" s="25"/>
      <c r="B197" s="11" t="str">
        <f>CONCATENATE("          ", "6382", " - ", "DISCOUNTS/MARK DOWNS")</f>
        <v xml:space="preserve">          6382 - DISCOUNTS/MARK DOWNS</v>
      </c>
      <c r="C197" s="11"/>
      <c r="D197" s="6"/>
      <c r="E197" s="2"/>
      <c r="F197" s="7">
        <f t="shared" si="64"/>
        <v>0</v>
      </c>
      <c r="G197" s="2"/>
      <c r="H197" s="6">
        <v>37408.630000000005</v>
      </c>
      <c r="I197" s="2"/>
      <c r="J197" s="7">
        <f t="shared" si="65"/>
        <v>1.5887323906815045E-2</v>
      </c>
      <c r="K197" s="2"/>
      <c r="L197" s="6">
        <f t="shared" si="66"/>
        <v>-37408.630000000005</v>
      </c>
      <c r="M197" s="2"/>
      <c r="N197" s="7">
        <f t="shared" si="67"/>
        <v>-1</v>
      </c>
      <c r="O197" s="11"/>
      <c r="P197" s="6">
        <v>0</v>
      </c>
      <c r="Q197" s="2"/>
      <c r="R197" s="7">
        <f t="shared" si="68"/>
        <v>0</v>
      </c>
      <c r="S197" s="2"/>
      <c r="T197" s="6">
        <v>227675.84</v>
      </c>
      <c r="U197" s="2"/>
      <c r="V197" s="7">
        <f t="shared" si="69"/>
        <v>2.397446239263137E-2</v>
      </c>
      <c r="W197" s="2"/>
      <c r="X197" s="6">
        <f t="shared" si="70"/>
        <v>-227675.84</v>
      </c>
      <c r="Y197" s="2"/>
      <c r="Z197" s="7">
        <f t="shared" si="71"/>
        <v>-1</v>
      </c>
    </row>
    <row r="198" spans="1:26" s="24" customFormat="1" hidden="1" outlineLevel="2" x14ac:dyDescent="0.25">
      <c r="A198" s="25"/>
      <c r="B198" s="11" t="str">
        <f>CONCATENATE("          ", "9175", " - ", "EARNED DISCOUNTS")</f>
        <v xml:space="preserve">          9175 - EARNED DISCOUNTS</v>
      </c>
      <c r="C198" s="11"/>
      <c r="D198" s="6">
        <v>-42.86</v>
      </c>
      <c r="E198" s="2"/>
      <c r="F198" s="7">
        <f t="shared" si="64"/>
        <v>-3.6358277246420889E-5</v>
      </c>
      <c r="G198" s="2"/>
      <c r="H198" s="6">
        <v>-420.5</v>
      </c>
      <c r="I198" s="2"/>
      <c r="J198" s="7">
        <f t="shared" si="65"/>
        <v>-1.7858498701544873E-4</v>
      </c>
      <c r="K198" s="2"/>
      <c r="L198" s="6">
        <f t="shared" si="66"/>
        <v>377.64</v>
      </c>
      <c r="M198" s="2"/>
      <c r="N198" s="7">
        <f t="shared" si="67"/>
        <v>-0.89807372175980971</v>
      </c>
      <c r="O198" s="11"/>
      <c r="P198" s="6">
        <v>-42.86</v>
      </c>
      <c r="Q198" s="2"/>
      <c r="R198" s="7">
        <f t="shared" si="68"/>
        <v>-1.1046320976407355E-5</v>
      </c>
      <c r="S198" s="2"/>
      <c r="T198" s="6">
        <v>-2907</v>
      </c>
      <c r="U198" s="2"/>
      <c r="V198" s="7">
        <f t="shared" si="69"/>
        <v>-3.0610960818407173E-4</v>
      </c>
      <c r="W198" s="2"/>
      <c r="X198" s="6">
        <f t="shared" si="70"/>
        <v>2864.14</v>
      </c>
      <c r="Y198" s="2"/>
      <c r="Z198" s="7">
        <f t="shared" si="71"/>
        <v>-0.98525627794977633</v>
      </c>
    </row>
    <row r="199" spans="1:26" s="26" customFormat="1" outlineLevel="1" collapsed="1" x14ac:dyDescent="0.25">
      <c r="A199" s="27"/>
      <c r="B199" s="13" t="str">
        <f>CONCATENATE("     ","Donations                                         ")</f>
        <v xml:space="preserve">     Donations                                         </v>
      </c>
      <c r="C199" s="13"/>
      <c r="D199" s="1">
        <f>SUM(OSRRefD22_7x_0)</f>
        <v>0</v>
      </c>
      <c r="E199" s="1"/>
      <c r="F199" s="5">
        <f t="shared" ref="F199:F207" si="72">IF(D$12=0,0,D199/D$12)</f>
        <v>0</v>
      </c>
      <c r="G199" s="1"/>
      <c r="H199" s="1">
        <f>SUM(OSRRefH22_7x_0)</f>
        <v>0</v>
      </c>
      <c r="I199" s="1"/>
      <c r="J199" s="5">
        <f t="shared" ref="J199:J207" si="73">IF(H$12=0,0,H199/H$12)</f>
        <v>0</v>
      </c>
      <c r="K199" s="1"/>
      <c r="L199" s="1">
        <f t="shared" ref="L199:L207" si="74">+D199-H199</f>
        <v>0</v>
      </c>
      <c r="M199" s="1"/>
      <c r="N199" s="5">
        <f t="shared" ref="N199:N207" si="75">IF(H199=0,0,L199/H199)</f>
        <v>0</v>
      </c>
      <c r="O199" s="13"/>
      <c r="P199" s="1">
        <f>SUM(OSRRefP22_7x_0)</f>
        <v>0</v>
      </c>
      <c r="Q199" s="1"/>
      <c r="R199" s="5">
        <f t="shared" ref="R199:R207" si="76">IF(P$12=0,0,P199/P$12)</f>
        <v>0</v>
      </c>
      <c r="S199" s="1"/>
      <c r="T199" s="1">
        <f>SUM(OSRRefT22_7x_0)</f>
        <v>9798.2199999999993</v>
      </c>
      <c r="U199" s="1"/>
      <c r="V199" s="5">
        <f t="shared" ref="V199:V207" si="77">IF(T$12=0,0,T199/T$12)</f>
        <v>1.0317610199866993E-3</v>
      </c>
      <c r="W199" s="1"/>
      <c r="X199" s="1">
        <f t="shared" ref="X199:X207" si="78">+P199-T199</f>
        <v>-9798.2199999999993</v>
      </c>
      <c r="Y199" s="1"/>
      <c r="Z199" s="5">
        <f t="shared" ref="Z199:Z207" si="79">IF(T199=0,0,X199/T199)</f>
        <v>-1</v>
      </c>
    </row>
    <row r="200" spans="1:26" s="24" customFormat="1" hidden="1" outlineLevel="2" x14ac:dyDescent="0.25">
      <c r="A200" s="25"/>
      <c r="B200" s="11" t="str">
        <f>CONCATENATE("          ", "6399", " - ", "DONATION-ON CAMPUS")</f>
        <v xml:space="preserve">          6399 - DONATION-ON CAMPUS</v>
      </c>
      <c r="C200" s="11"/>
      <c r="D200" s="6"/>
      <c r="E200" s="2"/>
      <c r="F200" s="7">
        <f t="shared" si="72"/>
        <v>0</v>
      </c>
      <c r="G200" s="2"/>
      <c r="H200" s="6"/>
      <c r="I200" s="2"/>
      <c r="J200" s="7">
        <f t="shared" si="73"/>
        <v>0</v>
      </c>
      <c r="K200" s="2"/>
      <c r="L200" s="6">
        <f t="shared" si="74"/>
        <v>0</v>
      </c>
      <c r="M200" s="2"/>
      <c r="N200" s="7">
        <f t="shared" si="75"/>
        <v>0</v>
      </c>
      <c r="O200" s="11"/>
      <c r="P200" s="6"/>
      <c r="Q200" s="2"/>
      <c r="R200" s="7">
        <f t="shared" si="76"/>
        <v>0</v>
      </c>
      <c r="S200" s="2"/>
      <c r="T200" s="6">
        <v>9798.2199999999993</v>
      </c>
      <c r="U200" s="2"/>
      <c r="V200" s="7">
        <f t="shared" si="77"/>
        <v>1.0317610199866993E-3</v>
      </c>
      <c r="W200" s="2"/>
      <c r="X200" s="6">
        <f t="shared" si="78"/>
        <v>-9798.2199999999993</v>
      </c>
      <c r="Y200" s="2"/>
      <c r="Z200" s="7">
        <f t="shared" si="79"/>
        <v>-1</v>
      </c>
    </row>
    <row r="201" spans="1:26" s="26" customFormat="1" outlineLevel="1" collapsed="1" x14ac:dyDescent="0.25">
      <c r="A201" s="27"/>
      <c r="B201" s="13" t="str">
        <f>CONCATENATE("     ","Employees' Appreciation                           ")</f>
        <v xml:space="preserve">     Employees' Appreciation                           </v>
      </c>
      <c r="C201" s="13"/>
      <c r="D201" s="1">
        <f>SUM(OSRRefD22_8x_0)</f>
        <v>78.33</v>
      </c>
      <c r="E201" s="1"/>
      <c r="F201" s="5">
        <f t="shared" si="72"/>
        <v>6.6447593483717882E-5</v>
      </c>
      <c r="G201" s="1"/>
      <c r="H201" s="1">
        <f>SUM(OSRRefH22_8x_0)</f>
        <v>39.909999999999997</v>
      </c>
      <c r="I201" s="1"/>
      <c r="J201" s="5">
        <f t="shared" si="73"/>
        <v>1.6949647638017975E-5</v>
      </c>
      <c r="K201" s="1"/>
      <c r="L201" s="1">
        <f t="shared" si="74"/>
        <v>38.42</v>
      </c>
      <c r="M201" s="1"/>
      <c r="N201" s="5">
        <f t="shared" si="75"/>
        <v>0.96266599849661749</v>
      </c>
      <c r="O201" s="13"/>
      <c r="P201" s="1">
        <f>SUM(OSRRefP22_8x_0)</f>
        <v>186.03</v>
      </c>
      <c r="Q201" s="1"/>
      <c r="R201" s="5">
        <f t="shared" si="76"/>
        <v>4.794556909101867E-5</v>
      </c>
      <c r="S201" s="1"/>
      <c r="T201" s="1">
        <f>SUM(OSRRefT22_8x_0)</f>
        <v>1330.87</v>
      </c>
      <c r="U201" s="1"/>
      <c r="V201" s="5">
        <f t="shared" si="77"/>
        <v>1.4014175928583951E-4</v>
      </c>
      <c r="W201" s="1"/>
      <c r="X201" s="1">
        <f t="shared" si="78"/>
        <v>-1144.8399999999999</v>
      </c>
      <c r="Y201" s="1"/>
      <c r="Z201" s="5">
        <f t="shared" si="79"/>
        <v>-0.86021925507374875</v>
      </c>
    </row>
    <row r="202" spans="1:26" s="24" customFormat="1" hidden="1" outlineLevel="2" x14ac:dyDescent="0.25">
      <c r="A202" s="25"/>
      <c r="B202" s="11" t="str">
        <f>CONCATENATE("          ", "6277", " - ", "EMPLOYEE APPRECIATION")</f>
        <v xml:space="preserve">          6277 - EMPLOYEE APPRECIATION</v>
      </c>
      <c r="C202" s="11"/>
      <c r="D202" s="6">
        <v>78.33</v>
      </c>
      <c r="E202" s="2"/>
      <c r="F202" s="7">
        <f t="shared" si="72"/>
        <v>6.6447593483717882E-5</v>
      </c>
      <c r="G202" s="2"/>
      <c r="H202" s="6">
        <v>39.909999999999997</v>
      </c>
      <c r="I202" s="2"/>
      <c r="J202" s="7">
        <f t="shared" si="73"/>
        <v>1.6949647638017975E-5</v>
      </c>
      <c r="K202" s="2"/>
      <c r="L202" s="6">
        <f t="shared" si="74"/>
        <v>38.42</v>
      </c>
      <c r="M202" s="2"/>
      <c r="N202" s="7">
        <f t="shared" si="75"/>
        <v>0.96266599849661749</v>
      </c>
      <c r="O202" s="11"/>
      <c r="P202" s="6">
        <v>186.03</v>
      </c>
      <c r="Q202" s="2"/>
      <c r="R202" s="7">
        <f t="shared" si="76"/>
        <v>4.794556909101867E-5</v>
      </c>
      <c r="S202" s="2"/>
      <c r="T202" s="6">
        <v>1330.87</v>
      </c>
      <c r="U202" s="2"/>
      <c r="V202" s="7">
        <f t="shared" si="77"/>
        <v>1.4014175928583951E-4</v>
      </c>
      <c r="W202" s="2"/>
      <c r="X202" s="6">
        <f t="shared" si="78"/>
        <v>-1144.8399999999999</v>
      </c>
      <c r="Y202" s="2"/>
      <c r="Z202" s="7">
        <f t="shared" si="79"/>
        <v>-0.86021925507374875</v>
      </c>
    </row>
    <row r="203" spans="1:26" s="26" customFormat="1" outlineLevel="1" collapsed="1" x14ac:dyDescent="0.25">
      <c r="A203" s="27"/>
      <c r="B203" s="13" t="str">
        <f>CONCATENATE("     ","Equipment Rental                                  ")</f>
        <v xml:space="preserve">     Equipment Rental                                  </v>
      </c>
      <c r="C203" s="13"/>
      <c r="D203" s="1">
        <f>SUM(OSRRefD22_9x_0)</f>
        <v>1564.56</v>
      </c>
      <c r="E203" s="1"/>
      <c r="F203" s="5">
        <f t="shared" si="72"/>
        <v>1.3272213310466696E-3</v>
      </c>
      <c r="G203" s="1"/>
      <c r="H203" s="1">
        <f>SUM(OSRRefH22_9x_0)</f>
        <v>1481.16</v>
      </c>
      <c r="I203" s="1"/>
      <c r="J203" s="5">
        <f t="shared" si="73"/>
        <v>6.2904385105303699E-4</v>
      </c>
      <c r="K203" s="1"/>
      <c r="L203" s="1">
        <f t="shared" si="74"/>
        <v>83.399999999999864</v>
      </c>
      <c r="M203" s="1"/>
      <c r="N203" s="5">
        <f t="shared" si="75"/>
        <v>5.6307218666450526E-2</v>
      </c>
      <c r="O203" s="13"/>
      <c r="P203" s="1">
        <f>SUM(OSRRefP22_9x_0)</f>
        <v>10629.45</v>
      </c>
      <c r="Q203" s="1"/>
      <c r="R203" s="5">
        <f t="shared" si="76"/>
        <v>2.7395314163012868E-3</v>
      </c>
      <c r="S203" s="1"/>
      <c r="T203" s="1">
        <f>SUM(OSRRefT22_9x_0)</f>
        <v>13252.27</v>
      </c>
      <c r="U203" s="1"/>
      <c r="V203" s="5">
        <f t="shared" si="77"/>
        <v>1.3954754651701164E-3</v>
      </c>
      <c r="W203" s="1"/>
      <c r="X203" s="1">
        <f t="shared" si="78"/>
        <v>-2622.8199999999997</v>
      </c>
      <c r="Y203" s="1"/>
      <c r="Z203" s="5">
        <f t="shared" si="79"/>
        <v>-0.19791477233711655</v>
      </c>
    </row>
    <row r="204" spans="1:26" s="24" customFormat="1" hidden="1" outlineLevel="2" x14ac:dyDescent="0.25">
      <c r="A204" s="25"/>
      <c r="B204" s="11" t="str">
        <f>CONCATENATE("          ", "6351", " - ", "EQUIPMENT RENTAL")</f>
        <v xml:space="preserve">          6351 - EQUIPMENT RENTAL</v>
      </c>
      <c r="C204" s="11"/>
      <c r="D204" s="6">
        <v>1564.56</v>
      </c>
      <c r="E204" s="2"/>
      <c r="F204" s="7">
        <f t="shared" si="72"/>
        <v>1.3272213310466696E-3</v>
      </c>
      <c r="G204" s="2"/>
      <c r="H204" s="6">
        <v>1481.16</v>
      </c>
      <c r="I204" s="2"/>
      <c r="J204" s="7">
        <f t="shared" si="73"/>
        <v>6.2904385105303699E-4</v>
      </c>
      <c r="K204" s="2"/>
      <c r="L204" s="6">
        <f t="shared" si="74"/>
        <v>83.399999999999864</v>
      </c>
      <c r="M204" s="2"/>
      <c r="N204" s="7">
        <f t="shared" si="75"/>
        <v>5.6307218666450526E-2</v>
      </c>
      <c r="O204" s="11"/>
      <c r="P204" s="6">
        <v>10629.45</v>
      </c>
      <c r="Q204" s="2"/>
      <c r="R204" s="7">
        <f t="shared" si="76"/>
        <v>2.7395314163012868E-3</v>
      </c>
      <c r="S204" s="2"/>
      <c r="T204" s="6">
        <v>13252.27</v>
      </c>
      <c r="U204" s="2"/>
      <c r="V204" s="7">
        <f t="shared" si="77"/>
        <v>1.3954754651701164E-3</v>
      </c>
      <c r="W204" s="2"/>
      <c r="X204" s="6">
        <f t="shared" si="78"/>
        <v>-2622.8199999999997</v>
      </c>
      <c r="Y204" s="2"/>
      <c r="Z204" s="7">
        <f t="shared" si="79"/>
        <v>-0.19791477233711655</v>
      </c>
    </row>
    <row r="205" spans="1:26" s="26" customFormat="1" outlineLevel="1" collapsed="1" x14ac:dyDescent="0.25">
      <c r="A205" s="27"/>
      <c r="B205" s="13" t="str">
        <f>CONCATENATE("     ","Freight out/Postage                               ")</f>
        <v xml:space="preserve">     Freight out/Postage                               </v>
      </c>
      <c r="C205" s="13"/>
      <c r="D205" s="1">
        <f>SUM(OSRRefD22_10x_0)</f>
        <v>-21762.36</v>
      </c>
      <c r="E205" s="1"/>
      <c r="F205" s="5">
        <f t="shared" si="72"/>
        <v>-1.8461080691003735E-2</v>
      </c>
      <c r="G205" s="1"/>
      <c r="H205" s="1">
        <f>SUM(OSRRefH22_10x_0)</f>
        <v>-13208.339999999997</v>
      </c>
      <c r="I205" s="1"/>
      <c r="J205" s="5">
        <f t="shared" si="73"/>
        <v>-5.6095391852452594E-3</v>
      </c>
      <c r="K205" s="1"/>
      <c r="L205" s="1">
        <f t="shared" si="74"/>
        <v>-8554.0200000000041</v>
      </c>
      <c r="M205" s="1"/>
      <c r="N205" s="5">
        <f t="shared" si="75"/>
        <v>0.64762263842390533</v>
      </c>
      <c r="O205" s="13"/>
      <c r="P205" s="1">
        <f>SUM(OSRRefP22_10x_0)</f>
        <v>-36701.959999999992</v>
      </c>
      <c r="Q205" s="1"/>
      <c r="R205" s="5">
        <f t="shared" si="76"/>
        <v>-9.4592074340472138E-3</v>
      </c>
      <c r="S205" s="1"/>
      <c r="T205" s="1">
        <f>SUM(OSRRefT22_10x_0)</f>
        <v>-6424.0699999999924</v>
      </c>
      <c r="U205" s="1"/>
      <c r="V205" s="5">
        <f t="shared" si="77"/>
        <v>-6.7646011374167432E-4</v>
      </c>
      <c r="W205" s="1"/>
      <c r="X205" s="1">
        <f t="shared" si="78"/>
        <v>-30277.89</v>
      </c>
      <c r="Y205" s="1"/>
      <c r="Z205" s="5">
        <f t="shared" si="79"/>
        <v>4.7131942833748752</v>
      </c>
    </row>
    <row r="206" spans="1:26" s="24" customFormat="1" hidden="1" outlineLevel="2" x14ac:dyDescent="0.25">
      <c r="A206" s="25"/>
      <c r="B206" s="11" t="str">
        <f>CONCATENATE("          ", "6305", " - ", "FREIGHT OUT")</f>
        <v xml:space="preserve">          6305 - FREIGHT OUT</v>
      </c>
      <c r="C206" s="11"/>
      <c r="D206" s="6">
        <v>18723.86</v>
      </c>
      <c r="E206" s="2"/>
      <c r="F206" s="7">
        <f t="shared" si="72"/>
        <v>1.5883511269322685E-2</v>
      </c>
      <c r="G206" s="2"/>
      <c r="H206" s="6">
        <v>2315.63</v>
      </c>
      <c r="I206" s="2"/>
      <c r="J206" s="7">
        <f t="shared" si="73"/>
        <v>9.8344055524990153E-4</v>
      </c>
      <c r="K206" s="2"/>
      <c r="L206" s="6">
        <f t="shared" si="74"/>
        <v>16408.23</v>
      </c>
      <c r="M206" s="2"/>
      <c r="N206" s="7">
        <f t="shared" si="75"/>
        <v>7.0858600035411525</v>
      </c>
      <c r="O206" s="11"/>
      <c r="P206" s="6">
        <v>135606.63</v>
      </c>
      <c r="Q206" s="2"/>
      <c r="R206" s="7">
        <f t="shared" si="76"/>
        <v>3.4949938439311962E-2</v>
      </c>
      <c r="S206" s="2"/>
      <c r="T206" s="6">
        <v>37253.740000000005</v>
      </c>
      <c r="U206" s="2"/>
      <c r="V206" s="7">
        <f t="shared" si="77"/>
        <v>3.9228509648404821E-3</v>
      </c>
      <c r="W206" s="2"/>
      <c r="X206" s="6">
        <f t="shared" si="78"/>
        <v>98352.89</v>
      </c>
      <c r="Y206" s="2"/>
      <c r="Z206" s="7">
        <f t="shared" si="79"/>
        <v>2.6400809690516973</v>
      </c>
    </row>
    <row r="207" spans="1:26" s="24" customFormat="1" hidden="1" outlineLevel="2" x14ac:dyDescent="0.25">
      <c r="A207" s="25"/>
      <c r="B207" s="11" t="str">
        <f>CONCATENATE("          ", "6307", " - ", "POSTAGE")</f>
        <v xml:space="preserve">          6307 - POSTAGE</v>
      </c>
      <c r="C207" s="11"/>
      <c r="D207" s="6">
        <v>-40486.22</v>
      </c>
      <c r="E207" s="2"/>
      <c r="F207" s="7">
        <f t="shared" si="72"/>
        <v>-3.4344591960326416E-2</v>
      </c>
      <c r="G207" s="2"/>
      <c r="H207" s="6">
        <v>-15523.969999999998</v>
      </c>
      <c r="I207" s="2"/>
      <c r="J207" s="7">
        <f t="shared" si="73"/>
        <v>-6.5929797404951605E-3</v>
      </c>
      <c r="K207" s="2"/>
      <c r="L207" s="6">
        <f t="shared" si="74"/>
        <v>-24962.250000000004</v>
      </c>
      <c r="M207" s="2"/>
      <c r="N207" s="7">
        <f t="shared" si="75"/>
        <v>1.6079810770054315</v>
      </c>
      <c r="O207" s="11"/>
      <c r="P207" s="6">
        <v>-172308.59</v>
      </c>
      <c r="Q207" s="2"/>
      <c r="R207" s="7">
        <f t="shared" si="76"/>
        <v>-4.4409145873359181E-2</v>
      </c>
      <c r="S207" s="2"/>
      <c r="T207" s="6">
        <v>-43677.81</v>
      </c>
      <c r="U207" s="2"/>
      <c r="V207" s="7">
        <f t="shared" si="77"/>
        <v>-4.5993110785821564E-3</v>
      </c>
      <c r="W207" s="2"/>
      <c r="X207" s="6">
        <f t="shared" si="78"/>
        <v>-128630.78</v>
      </c>
      <c r="Y207" s="2"/>
      <c r="Z207" s="7">
        <f t="shared" si="79"/>
        <v>2.9449915185765954</v>
      </c>
    </row>
    <row r="208" spans="1:26" s="26" customFormat="1" outlineLevel="1" collapsed="1" x14ac:dyDescent="0.25">
      <c r="A208" s="27"/>
      <c r="B208" s="13" t="str">
        <f>CONCATENATE("     ","General                                           ")</f>
        <v xml:space="preserve">     General                                           </v>
      </c>
      <c r="C208" s="13"/>
      <c r="D208" s="1">
        <f>SUM(OSRRefD22_11x_0)</f>
        <v>-198.36</v>
      </c>
      <c r="E208" s="1"/>
      <c r="F208" s="5">
        <f t="shared" ref="F208:F224" si="80">IF(D$12=0,0,D208/D$12)</f>
        <v>-1.6826943244517144E-4</v>
      </c>
      <c r="G208" s="1"/>
      <c r="H208" s="1">
        <f>SUM(OSRRefH22_11x_0)</f>
        <v>3959.86</v>
      </c>
      <c r="I208" s="1"/>
      <c r="J208" s="5">
        <f t="shared" ref="J208:J224" si="81">IF(H$12=0,0,H208/H$12)</f>
        <v>1.6817397067372052E-3</v>
      </c>
      <c r="K208" s="1"/>
      <c r="L208" s="1">
        <f t="shared" ref="L208:L224" si="82">+D208-H208</f>
        <v>-4158.22</v>
      </c>
      <c r="M208" s="1"/>
      <c r="N208" s="5">
        <f t="shared" ref="N208:N224" si="83">IF(H208=0,0,L208/H208)</f>
        <v>-1.0500926800442441</v>
      </c>
      <c r="O208" s="13"/>
      <c r="P208" s="1">
        <f>SUM(OSRRefP22_11x_0)</f>
        <v>5302.49</v>
      </c>
      <c r="Q208" s="1"/>
      <c r="R208" s="5">
        <f t="shared" ref="R208:R224" si="84">IF(P$12=0,0,P208/P$12)</f>
        <v>1.3666123778392494E-3</v>
      </c>
      <c r="S208" s="1"/>
      <c r="T208" s="1">
        <f>SUM(OSRRefT22_11x_0)</f>
        <v>9441.25</v>
      </c>
      <c r="U208" s="1"/>
      <c r="V208" s="5">
        <f t="shared" ref="V208:V224" si="85">IF(T$12=0,0,T208/T$12)</f>
        <v>9.9417177098997831E-4</v>
      </c>
      <c r="W208" s="1"/>
      <c r="X208" s="1">
        <f t="shared" ref="X208:X224" si="86">+P208-T208</f>
        <v>-4138.76</v>
      </c>
      <c r="Y208" s="1"/>
      <c r="Z208" s="5">
        <f t="shared" ref="Z208:Z224" si="87">IF(T208=0,0,X208/T208)</f>
        <v>-0.43836991923738916</v>
      </c>
    </row>
    <row r="209" spans="1:26" s="24" customFormat="1" hidden="1" outlineLevel="2" x14ac:dyDescent="0.25">
      <c r="A209" s="25"/>
      <c r="B209" s="11" t="str">
        <f>CONCATENATE("          ", "6279", " - ", "GENERAL EXPENSE")</f>
        <v xml:space="preserve">          6279 - GENERAL EXPENSE</v>
      </c>
      <c r="C209" s="11"/>
      <c r="D209" s="6">
        <v>-198.36</v>
      </c>
      <c r="E209" s="2"/>
      <c r="F209" s="7">
        <f t="shared" si="80"/>
        <v>-1.6826943244517144E-4</v>
      </c>
      <c r="G209" s="2"/>
      <c r="H209" s="6">
        <v>3959.86</v>
      </c>
      <c r="I209" s="2"/>
      <c r="J209" s="7">
        <f t="shared" si="81"/>
        <v>1.6817397067372052E-3</v>
      </c>
      <c r="K209" s="2"/>
      <c r="L209" s="6">
        <f t="shared" si="82"/>
        <v>-4158.22</v>
      </c>
      <c r="M209" s="2"/>
      <c r="N209" s="7">
        <f t="shared" si="83"/>
        <v>-1.0500926800442441</v>
      </c>
      <c r="O209" s="11"/>
      <c r="P209" s="6">
        <v>5302.49</v>
      </c>
      <c r="Q209" s="2"/>
      <c r="R209" s="7">
        <f t="shared" si="84"/>
        <v>1.3666123778392494E-3</v>
      </c>
      <c r="S209" s="2"/>
      <c r="T209" s="6">
        <v>9441.25</v>
      </c>
      <c r="U209" s="2"/>
      <c r="V209" s="7">
        <f t="shared" si="85"/>
        <v>9.9417177098997831E-4</v>
      </c>
      <c r="W209" s="2"/>
      <c r="X209" s="6">
        <f t="shared" si="86"/>
        <v>-4138.76</v>
      </c>
      <c r="Y209" s="2"/>
      <c r="Z209" s="7">
        <f t="shared" si="87"/>
        <v>-0.43836991923738916</v>
      </c>
    </row>
    <row r="210" spans="1:26" s="26" customFormat="1" outlineLevel="1" collapsed="1" x14ac:dyDescent="0.25">
      <c r="A210" s="27"/>
      <c r="B210" s="13" t="str">
        <f>CONCATENATE("     ","Insurance                                         ")</f>
        <v xml:space="preserve">     Insurance                                         </v>
      </c>
      <c r="C210" s="13"/>
      <c r="D210" s="1">
        <f>SUM(OSRRefD22_12x_0)</f>
        <v>4288.28</v>
      </c>
      <c r="E210" s="1"/>
      <c r="F210" s="5">
        <f t="shared" si="80"/>
        <v>3.6377618560495045E-3</v>
      </c>
      <c r="G210" s="1"/>
      <c r="H210" s="1">
        <f>SUM(OSRRefH22_12x_0)</f>
        <v>4288.28</v>
      </c>
      <c r="I210" s="1"/>
      <c r="J210" s="5">
        <f t="shared" si="81"/>
        <v>1.8212186162154778E-3</v>
      </c>
      <c r="K210" s="1"/>
      <c r="L210" s="1">
        <f t="shared" si="82"/>
        <v>0</v>
      </c>
      <c r="M210" s="1"/>
      <c r="N210" s="5">
        <f t="shared" si="83"/>
        <v>0</v>
      </c>
      <c r="O210" s="13"/>
      <c r="P210" s="1">
        <f>SUM(OSRRefP22_12x_0)</f>
        <v>30017.96</v>
      </c>
      <c r="Q210" s="1"/>
      <c r="R210" s="5">
        <f t="shared" si="84"/>
        <v>7.7365380591917143E-3</v>
      </c>
      <c r="S210" s="1"/>
      <c r="T210" s="1">
        <f>SUM(OSRRefT22_12x_0)</f>
        <v>30017.96</v>
      </c>
      <c r="U210" s="1"/>
      <c r="V210" s="5">
        <f t="shared" si="85"/>
        <v>3.1609170877485849E-3</v>
      </c>
      <c r="W210" s="1"/>
      <c r="X210" s="1">
        <f t="shared" si="86"/>
        <v>0</v>
      </c>
      <c r="Y210" s="1"/>
      <c r="Z210" s="5">
        <f t="shared" si="87"/>
        <v>0</v>
      </c>
    </row>
    <row r="211" spans="1:26" s="24" customFormat="1" hidden="1" outlineLevel="2" x14ac:dyDescent="0.25">
      <c r="A211" s="25"/>
      <c r="B211" s="11" t="str">
        <f>CONCATENATE("          ", "6314", " - ", "LIABILITY INSURANCE")</f>
        <v xml:space="preserve">          6314 - LIABILITY INSURANCE</v>
      </c>
      <c r="C211" s="11"/>
      <c r="D211" s="6">
        <v>4288.28</v>
      </c>
      <c r="E211" s="2"/>
      <c r="F211" s="7">
        <f t="shared" si="80"/>
        <v>3.6377618560495045E-3</v>
      </c>
      <c r="G211" s="2"/>
      <c r="H211" s="6">
        <v>4288.28</v>
      </c>
      <c r="I211" s="2"/>
      <c r="J211" s="7">
        <f t="shared" si="81"/>
        <v>1.8212186162154778E-3</v>
      </c>
      <c r="K211" s="2"/>
      <c r="L211" s="6">
        <f t="shared" si="82"/>
        <v>0</v>
      </c>
      <c r="M211" s="2"/>
      <c r="N211" s="7">
        <f t="shared" si="83"/>
        <v>0</v>
      </c>
      <c r="O211" s="11"/>
      <c r="P211" s="6">
        <v>30017.96</v>
      </c>
      <c r="Q211" s="2"/>
      <c r="R211" s="7">
        <f t="shared" si="84"/>
        <v>7.7365380591917143E-3</v>
      </c>
      <c r="S211" s="2"/>
      <c r="T211" s="6">
        <v>30017.96</v>
      </c>
      <c r="U211" s="2"/>
      <c r="V211" s="7">
        <f t="shared" si="85"/>
        <v>3.1609170877485849E-3</v>
      </c>
      <c r="W211" s="2"/>
      <c r="X211" s="6">
        <f t="shared" si="86"/>
        <v>0</v>
      </c>
      <c r="Y211" s="2"/>
      <c r="Z211" s="7">
        <f t="shared" si="87"/>
        <v>0</v>
      </c>
    </row>
    <row r="212" spans="1:26" s="26" customFormat="1" outlineLevel="1" collapsed="1" x14ac:dyDescent="0.25">
      <c r="A212" s="27"/>
      <c r="B212" s="13" t="str">
        <f>CONCATENATE("     ","Interest                                          ")</f>
        <v xml:space="preserve">     Interest                                          </v>
      </c>
      <c r="C212" s="13"/>
      <c r="D212" s="1">
        <f>SUM(OSRRefD22_13x_0)</f>
        <v>4044</v>
      </c>
      <c r="E212" s="1"/>
      <c r="F212" s="5">
        <f t="shared" si="80"/>
        <v>3.4305383384163808E-3</v>
      </c>
      <c r="G212" s="1"/>
      <c r="H212" s="1">
        <f>SUM(OSRRefH22_13x_0)</f>
        <v>4175</v>
      </c>
      <c r="I212" s="1"/>
      <c r="J212" s="5">
        <f t="shared" si="81"/>
        <v>1.7731089673947644E-3</v>
      </c>
      <c r="K212" s="1"/>
      <c r="L212" s="1">
        <f t="shared" si="82"/>
        <v>-131</v>
      </c>
      <c r="M212" s="1"/>
      <c r="N212" s="5">
        <f t="shared" si="83"/>
        <v>-3.1377245508982035E-2</v>
      </c>
      <c r="O212" s="13"/>
      <c r="P212" s="1">
        <f>SUM(OSRRefP22_13x_0)</f>
        <v>28045.85</v>
      </c>
      <c r="Q212" s="1"/>
      <c r="R212" s="5">
        <f t="shared" si="84"/>
        <v>7.2282655426078903E-3</v>
      </c>
      <c r="S212" s="1"/>
      <c r="T212" s="1">
        <f>SUM(OSRRefT22_13x_0)</f>
        <v>29018.95</v>
      </c>
      <c r="U212" s="1"/>
      <c r="V212" s="5">
        <f t="shared" si="85"/>
        <v>3.0557204727943476E-3</v>
      </c>
      <c r="W212" s="1"/>
      <c r="X212" s="1">
        <f t="shared" si="86"/>
        <v>-973.10000000000218</v>
      </c>
      <c r="Y212" s="1"/>
      <c r="Z212" s="5">
        <f t="shared" si="87"/>
        <v>-3.353326016275579E-2</v>
      </c>
    </row>
    <row r="213" spans="1:26" s="24" customFormat="1" hidden="1" outlineLevel="2" x14ac:dyDescent="0.25">
      <c r="A213" s="25"/>
      <c r="B213" s="11" t="str">
        <f>CONCATENATE("          ", "6401", " - ", "INTEREST EXPENSE")</f>
        <v xml:space="preserve">          6401 - INTEREST EXPENSE</v>
      </c>
      <c r="C213" s="11"/>
      <c r="D213" s="6">
        <v>4044</v>
      </c>
      <c r="E213" s="2"/>
      <c r="F213" s="7">
        <f t="shared" si="80"/>
        <v>3.4305383384163808E-3</v>
      </c>
      <c r="G213" s="2"/>
      <c r="H213" s="6">
        <v>4175</v>
      </c>
      <c r="I213" s="2"/>
      <c r="J213" s="7">
        <f t="shared" si="81"/>
        <v>1.7731089673947644E-3</v>
      </c>
      <c r="K213" s="2"/>
      <c r="L213" s="6">
        <f t="shared" si="82"/>
        <v>-131</v>
      </c>
      <c r="M213" s="2"/>
      <c r="N213" s="7">
        <f t="shared" si="83"/>
        <v>-3.1377245508982035E-2</v>
      </c>
      <c r="O213" s="11"/>
      <c r="P213" s="6">
        <v>28045.85</v>
      </c>
      <c r="Q213" s="2"/>
      <c r="R213" s="7">
        <f t="shared" si="84"/>
        <v>7.2282655426078903E-3</v>
      </c>
      <c r="S213" s="2"/>
      <c r="T213" s="6">
        <v>29018.95</v>
      </c>
      <c r="U213" s="2"/>
      <c r="V213" s="7">
        <f t="shared" si="85"/>
        <v>3.0557204727943476E-3</v>
      </c>
      <c r="W213" s="2"/>
      <c r="X213" s="6">
        <f t="shared" si="86"/>
        <v>-973.10000000000218</v>
      </c>
      <c r="Y213" s="2"/>
      <c r="Z213" s="7">
        <f t="shared" si="87"/>
        <v>-3.353326016275579E-2</v>
      </c>
    </row>
    <row r="214" spans="1:26" s="26" customFormat="1" outlineLevel="1" collapsed="1" x14ac:dyDescent="0.25">
      <c r="A214" s="27"/>
      <c r="B214" s="13" t="str">
        <f>CONCATENATE("     ","Inventory Adjustment                              ")</f>
        <v xml:space="preserve">     Inventory Adjustment                              </v>
      </c>
      <c r="C214" s="13"/>
      <c r="D214" s="1">
        <f>SUM(OSRRefD22_14x_0)</f>
        <v>2100</v>
      </c>
      <c r="E214" s="1"/>
      <c r="F214" s="5">
        <f t="shared" si="80"/>
        <v>1.7814368226197821E-3</v>
      </c>
      <c r="G214" s="1"/>
      <c r="H214" s="1">
        <f>SUM(OSRRefH22_14x_0)</f>
        <v>4250</v>
      </c>
      <c r="I214" s="1"/>
      <c r="J214" s="5">
        <f t="shared" si="81"/>
        <v>1.8049612242940715E-3</v>
      </c>
      <c r="K214" s="1"/>
      <c r="L214" s="1">
        <f t="shared" si="82"/>
        <v>-2150</v>
      </c>
      <c r="M214" s="1"/>
      <c r="N214" s="5">
        <f t="shared" si="83"/>
        <v>-0.50588235294117645</v>
      </c>
      <c r="O214" s="13"/>
      <c r="P214" s="1">
        <f>SUM(OSRRefP22_14x_0)</f>
        <v>19700</v>
      </c>
      <c r="Q214" s="1"/>
      <c r="R214" s="5">
        <f t="shared" si="84"/>
        <v>5.0772870563514901E-3</v>
      </c>
      <c r="S214" s="1"/>
      <c r="T214" s="1">
        <f>SUM(OSRRefT22_14x_0)</f>
        <v>35450</v>
      </c>
      <c r="U214" s="1"/>
      <c r="V214" s="5">
        <f t="shared" si="85"/>
        <v>3.7329155865584249E-3</v>
      </c>
      <c r="W214" s="1"/>
      <c r="X214" s="1">
        <f t="shared" si="86"/>
        <v>-15750</v>
      </c>
      <c r="Y214" s="1"/>
      <c r="Z214" s="5">
        <f t="shared" si="87"/>
        <v>-0.44428772919605075</v>
      </c>
    </row>
    <row r="215" spans="1:26" s="24" customFormat="1" hidden="1" outlineLevel="2" x14ac:dyDescent="0.25">
      <c r="A215" s="25"/>
      <c r="B215" s="11" t="str">
        <f>CONCATENATE("          ", "6408", " - ", "INVENTORY ADJUSTMENT")</f>
        <v xml:space="preserve">          6408 - INVENTORY ADJUSTMENT</v>
      </c>
      <c r="C215" s="11"/>
      <c r="D215" s="6">
        <v>2100</v>
      </c>
      <c r="E215" s="2"/>
      <c r="F215" s="7">
        <f t="shared" si="80"/>
        <v>1.7814368226197821E-3</v>
      </c>
      <c r="G215" s="2"/>
      <c r="H215" s="6">
        <v>4250</v>
      </c>
      <c r="I215" s="2"/>
      <c r="J215" s="7">
        <f t="shared" si="81"/>
        <v>1.8049612242940715E-3</v>
      </c>
      <c r="K215" s="2"/>
      <c r="L215" s="6">
        <f t="shared" si="82"/>
        <v>-2150</v>
      </c>
      <c r="M215" s="2"/>
      <c r="N215" s="7">
        <f t="shared" si="83"/>
        <v>-0.50588235294117645</v>
      </c>
      <c r="O215" s="11"/>
      <c r="P215" s="6">
        <v>19700</v>
      </c>
      <c r="Q215" s="2"/>
      <c r="R215" s="7">
        <f t="shared" si="84"/>
        <v>5.0772870563514901E-3</v>
      </c>
      <c r="S215" s="2"/>
      <c r="T215" s="6">
        <v>35450</v>
      </c>
      <c r="U215" s="2"/>
      <c r="V215" s="7">
        <f t="shared" si="85"/>
        <v>3.7329155865584249E-3</v>
      </c>
      <c r="W215" s="2"/>
      <c r="X215" s="6">
        <f t="shared" si="86"/>
        <v>-15750</v>
      </c>
      <c r="Y215" s="2"/>
      <c r="Z215" s="7">
        <f t="shared" si="87"/>
        <v>-0.44428772919605075</v>
      </c>
    </row>
    <row r="216" spans="1:26" s="26" customFormat="1" outlineLevel="1" collapsed="1" x14ac:dyDescent="0.25">
      <c r="A216" s="27"/>
      <c r="B216" s="13" t="str">
        <f>CONCATENATE("     ","Professional Services                             ")</f>
        <v xml:space="preserve">     Professional Services                             </v>
      </c>
      <c r="C216" s="13"/>
      <c r="D216" s="1">
        <f>SUM(OSRRefD22_15x_0)</f>
        <v>0</v>
      </c>
      <c r="E216" s="1"/>
      <c r="F216" s="5">
        <f t="shared" si="80"/>
        <v>0</v>
      </c>
      <c r="G216" s="1"/>
      <c r="H216" s="1">
        <f>SUM(OSRRefH22_15x_0)</f>
        <v>0</v>
      </c>
      <c r="I216" s="1"/>
      <c r="J216" s="5">
        <f t="shared" si="81"/>
        <v>0</v>
      </c>
      <c r="K216" s="1"/>
      <c r="L216" s="1">
        <f t="shared" si="82"/>
        <v>0</v>
      </c>
      <c r="M216" s="1"/>
      <c r="N216" s="5">
        <f t="shared" si="83"/>
        <v>0</v>
      </c>
      <c r="O216" s="13"/>
      <c r="P216" s="1">
        <f>SUM(OSRRefP22_15x_0)</f>
        <v>0</v>
      </c>
      <c r="Q216" s="1"/>
      <c r="R216" s="5">
        <f t="shared" si="84"/>
        <v>0</v>
      </c>
      <c r="S216" s="1"/>
      <c r="T216" s="1">
        <f>SUM(OSRRefT22_15x_0)</f>
        <v>6199.56</v>
      </c>
      <c r="U216" s="1"/>
      <c r="V216" s="5">
        <f t="shared" si="85"/>
        <v>6.5281901703255713E-4</v>
      </c>
      <c r="W216" s="1"/>
      <c r="X216" s="1">
        <f t="shared" si="86"/>
        <v>-6199.56</v>
      </c>
      <c r="Y216" s="1"/>
      <c r="Z216" s="5">
        <f t="shared" si="87"/>
        <v>-1</v>
      </c>
    </row>
    <row r="217" spans="1:26" s="24" customFormat="1" hidden="1" outlineLevel="2" x14ac:dyDescent="0.25">
      <c r="A217" s="25"/>
      <c r="B217" s="11" t="str">
        <f>CONCATENATE("          ", "6336", " - ", "PROFESSIONAL SERVICES")</f>
        <v xml:space="preserve">          6336 - PROFESSIONAL SERVICES</v>
      </c>
      <c r="C217" s="11"/>
      <c r="D217" s="6"/>
      <c r="E217" s="2"/>
      <c r="F217" s="7">
        <f t="shared" si="80"/>
        <v>0</v>
      </c>
      <c r="G217" s="2"/>
      <c r="H217" s="6"/>
      <c r="I217" s="2"/>
      <c r="J217" s="7">
        <f t="shared" si="81"/>
        <v>0</v>
      </c>
      <c r="K217" s="2"/>
      <c r="L217" s="6">
        <f t="shared" si="82"/>
        <v>0</v>
      </c>
      <c r="M217" s="2"/>
      <c r="N217" s="7">
        <f t="shared" si="83"/>
        <v>0</v>
      </c>
      <c r="O217" s="11"/>
      <c r="P217" s="6"/>
      <c r="Q217" s="2"/>
      <c r="R217" s="7">
        <f t="shared" si="84"/>
        <v>0</v>
      </c>
      <c r="S217" s="2"/>
      <c r="T217" s="6">
        <v>6199.56</v>
      </c>
      <c r="U217" s="2"/>
      <c r="V217" s="7">
        <f t="shared" si="85"/>
        <v>6.5281901703255713E-4</v>
      </c>
      <c r="W217" s="2"/>
      <c r="X217" s="6">
        <f t="shared" si="86"/>
        <v>-6199.56</v>
      </c>
      <c r="Y217" s="2"/>
      <c r="Z217" s="7">
        <f t="shared" si="87"/>
        <v>-1</v>
      </c>
    </row>
    <row r="218" spans="1:26" s="26" customFormat="1" outlineLevel="1" collapsed="1" x14ac:dyDescent="0.25">
      <c r="A218" s="27"/>
      <c r="B218" s="13" t="str">
        <f>CONCATENATE("     ","Rent                                              ")</f>
        <v xml:space="preserve">     Rent                                              </v>
      </c>
      <c r="C218" s="13"/>
      <c r="D218" s="1">
        <f>SUM(OSRRefD22_16x_0)</f>
        <v>6100</v>
      </c>
      <c r="E218" s="1"/>
      <c r="F218" s="5">
        <f t="shared" si="80"/>
        <v>5.1746498180860337E-3</v>
      </c>
      <c r="G218" s="1"/>
      <c r="H218" s="1">
        <f>SUM(OSRRefH22_16x_0)</f>
        <v>8850</v>
      </c>
      <c r="I218" s="1"/>
      <c r="J218" s="5">
        <f t="shared" si="81"/>
        <v>3.7585663141182432E-3</v>
      </c>
      <c r="K218" s="1"/>
      <c r="L218" s="1">
        <f t="shared" si="82"/>
        <v>-2750</v>
      </c>
      <c r="M218" s="1"/>
      <c r="N218" s="5">
        <f t="shared" si="83"/>
        <v>-0.31073446327683618</v>
      </c>
      <c r="O218" s="13"/>
      <c r="P218" s="1">
        <f>SUM(OSRRefP22_16x_0)</f>
        <v>42700</v>
      </c>
      <c r="Q218" s="1"/>
      <c r="R218" s="5">
        <f t="shared" si="84"/>
        <v>1.1005084127218713E-2</v>
      </c>
      <c r="S218" s="1"/>
      <c r="T218" s="1">
        <f>SUM(OSRRefT22_16x_0)</f>
        <v>52350</v>
      </c>
      <c r="U218" s="1"/>
      <c r="V218" s="5">
        <f t="shared" si="85"/>
        <v>5.5125001680206929E-3</v>
      </c>
      <c r="W218" s="1"/>
      <c r="X218" s="1">
        <f t="shared" si="86"/>
        <v>-9650</v>
      </c>
      <c r="Y218" s="1"/>
      <c r="Z218" s="5">
        <f t="shared" si="87"/>
        <v>-0.18433619866284623</v>
      </c>
    </row>
    <row r="219" spans="1:26" s="24" customFormat="1" hidden="1" outlineLevel="2" x14ac:dyDescent="0.25">
      <c r="A219" s="25"/>
      <c r="B219" s="11" t="str">
        <f>CONCATENATE("          ", "6273", " - ", "RENT")</f>
        <v xml:space="preserve">          6273 - RENT</v>
      </c>
      <c r="C219" s="11"/>
      <c r="D219" s="6">
        <v>6100</v>
      </c>
      <c r="E219" s="2"/>
      <c r="F219" s="7">
        <f t="shared" si="80"/>
        <v>5.1746498180860337E-3</v>
      </c>
      <c r="G219" s="2"/>
      <c r="H219" s="6">
        <v>8850</v>
      </c>
      <c r="I219" s="2"/>
      <c r="J219" s="7">
        <f t="shared" si="81"/>
        <v>3.7585663141182432E-3</v>
      </c>
      <c r="K219" s="2"/>
      <c r="L219" s="6">
        <f t="shared" si="82"/>
        <v>-2750</v>
      </c>
      <c r="M219" s="2"/>
      <c r="N219" s="7">
        <f t="shared" si="83"/>
        <v>-0.31073446327683618</v>
      </c>
      <c r="O219" s="11"/>
      <c r="P219" s="6">
        <v>42700</v>
      </c>
      <c r="Q219" s="2"/>
      <c r="R219" s="7">
        <f t="shared" si="84"/>
        <v>1.1005084127218713E-2</v>
      </c>
      <c r="S219" s="2"/>
      <c r="T219" s="6">
        <v>52350</v>
      </c>
      <c r="U219" s="2"/>
      <c r="V219" s="7">
        <f t="shared" si="85"/>
        <v>5.5125001680206929E-3</v>
      </c>
      <c r="W219" s="2"/>
      <c r="X219" s="6">
        <f t="shared" si="86"/>
        <v>-9650</v>
      </c>
      <c r="Y219" s="2"/>
      <c r="Z219" s="7">
        <f t="shared" si="87"/>
        <v>-0.18433619866284623</v>
      </c>
    </row>
    <row r="220" spans="1:26" s="26" customFormat="1" outlineLevel="1" collapsed="1" x14ac:dyDescent="0.25">
      <c r="A220" s="27"/>
      <c r="B220" s="13" t="str">
        <f>CONCATENATE("     ","Repair and Maintenance                            ")</f>
        <v xml:space="preserve">     Repair and Maintenance                            </v>
      </c>
      <c r="C220" s="13"/>
      <c r="D220" s="1">
        <f>SUM(OSRRefD22_17x_0)</f>
        <v>3697</v>
      </c>
      <c r="E220" s="1"/>
      <c r="F220" s="5">
        <f t="shared" si="80"/>
        <v>3.1361771110596831E-3</v>
      </c>
      <c r="G220" s="1"/>
      <c r="H220" s="1">
        <f>SUM(OSRRefH22_17x_0)</f>
        <v>19887.7</v>
      </c>
      <c r="I220" s="1"/>
      <c r="J220" s="5">
        <f t="shared" si="81"/>
        <v>8.4462417271513428E-3</v>
      </c>
      <c r="K220" s="1"/>
      <c r="L220" s="1">
        <f t="shared" si="82"/>
        <v>-16190.7</v>
      </c>
      <c r="M220" s="1"/>
      <c r="N220" s="5">
        <f t="shared" si="83"/>
        <v>-0.81410620634864761</v>
      </c>
      <c r="O220" s="13"/>
      <c r="P220" s="1">
        <f>SUM(OSRRefP22_17x_0)</f>
        <v>115119.17</v>
      </c>
      <c r="Q220" s="1"/>
      <c r="R220" s="5">
        <f t="shared" si="84"/>
        <v>2.9669699075072425E-2</v>
      </c>
      <c r="S220" s="1"/>
      <c r="T220" s="1">
        <f>SUM(OSRRefT22_17x_0)</f>
        <v>116428.81</v>
      </c>
      <c r="U220" s="1"/>
      <c r="V220" s="5">
        <f t="shared" si="85"/>
        <v>1.2260054148757388E-2</v>
      </c>
      <c r="W220" s="1"/>
      <c r="X220" s="1">
        <f t="shared" si="86"/>
        <v>-1309.6399999999994</v>
      </c>
      <c r="Y220" s="1"/>
      <c r="Z220" s="5">
        <f t="shared" si="87"/>
        <v>-1.1248418668884441E-2</v>
      </c>
    </row>
    <row r="221" spans="1:26" s="24" customFormat="1" hidden="1" outlineLevel="2" x14ac:dyDescent="0.25">
      <c r="A221" s="25"/>
      <c r="B221" s="11" t="str">
        <f>CONCATENATE("          ", "6371", " - ", "COMPUTER SOFTWARE MAINTENANCE")</f>
        <v xml:space="preserve">          6371 - COMPUTER SOFTWARE MAINTENANCE</v>
      </c>
      <c r="C221" s="11"/>
      <c r="D221" s="6"/>
      <c r="E221" s="2"/>
      <c r="F221" s="7">
        <f t="shared" si="80"/>
        <v>0</v>
      </c>
      <c r="G221" s="2"/>
      <c r="H221" s="6">
        <v>601</v>
      </c>
      <c r="I221" s="2"/>
      <c r="J221" s="7">
        <f t="shared" si="81"/>
        <v>2.5524275195311461E-4</v>
      </c>
      <c r="K221" s="2"/>
      <c r="L221" s="6">
        <f t="shared" si="82"/>
        <v>-601</v>
      </c>
      <c r="M221" s="2"/>
      <c r="N221" s="7">
        <f t="shared" si="83"/>
        <v>-1</v>
      </c>
      <c r="O221" s="11"/>
      <c r="P221" s="6">
        <v>58436.47</v>
      </c>
      <c r="Q221" s="2"/>
      <c r="R221" s="7">
        <f t="shared" si="84"/>
        <v>1.50608493781661E-2</v>
      </c>
      <c r="S221" s="2"/>
      <c r="T221" s="6">
        <v>15866.329999999998</v>
      </c>
      <c r="U221" s="2"/>
      <c r="V221" s="7">
        <f t="shared" si="85"/>
        <v>1.6707382386030897E-3</v>
      </c>
      <c r="W221" s="2"/>
      <c r="X221" s="6">
        <f t="shared" si="86"/>
        <v>42570.14</v>
      </c>
      <c r="Y221" s="2"/>
      <c r="Z221" s="7">
        <f t="shared" si="87"/>
        <v>2.683048947046986</v>
      </c>
    </row>
    <row r="222" spans="1:26" s="24" customFormat="1" hidden="1" outlineLevel="2" x14ac:dyDescent="0.25">
      <c r="A222" s="25"/>
      <c r="B222" s="11" t="str">
        <f>CONCATENATE("          ", "6372", " - ", "COMPUTER HARDWARE MAINTENANCE")</f>
        <v xml:space="preserve">          6372 - COMPUTER HARDWARE MAINTENANCE</v>
      </c>
      <c r="C222" s="11"/>
      <c r="D222" s="6"/>
      <c r="E222" s="2"/>
      <c r="F222" s="7">
        <f t="shared" si="80"/>
        <v>0</v>
      </c>
      <c r="G222" s="2"/>
      <c r="H222" s="6">
        <v>52.32</v>
      </c>
      <c r="I222" s="2"/>
      <c r="J222" s="7">
        <f t="shared" si="81"/>
        <v>2.2220134412956664E-5</v>
      </c>
      <c r="K222" s="2"/>
      <c r="L222" s="6">
        <f t="shared" si="82"/>
        <v>-52.32</v>
      </c>
      <c r="M222" s="2"/>
      <c r="N222" s="7">
        <f t="shared" si="83"/>
        <v>-1</v>
      </c>
      <c r="O222" s="11"/>
      <c r="P222" s="6">
        <v>0</v>
      </c>
      <c r="Q222" s="2"/>
      <c r="R222" s="7">
        <f t="shared" si="84"/>
        <v>0</v>
      </c>
      <c r="S222" s="2"/>
      <c r="T222" s="6">
        <v>52.32</v>
      </c>
      <c r="U222" s="2"/>
      <c r="V222" s="7">
        <f t="shared" si="85"/>
        <v>5.5093411421364404E-6</v>
      </c>
      <c r="W222" s="2"/>
      <c r="X222" s="6">
        <f t="shared" si="86"/>
        <v>-52.32</v>
      </c>
      <c r="Y222" s="2"/>
      <c r="Z222" s="7">
        <f t="shared" si="87"/>
        <v>-1</v>
      </c>
    </row>
    <row r="223" spans="1:26" s="24" customFormat="1" hidden="1" outlineLevel="2" x14ac:dyDescent="0.25">
      <c r="A223" s="25"/>
      <c r="B223" s="11" t="str">
        <f>CONCATENATE("          ", "6373", " - ", "MAINTENANCE CONTRACTS")</f>
        <v xml:space="preserve">          6373 - MAINTENANCE CONTRACTS</v>
      </c>
      <c r="C223" s="11"/>
      <c r="D223" s="6">
        <v>1122</v>
      </c>
      <c r="E223" s="2"/>
      <c r="F223" s="7">
        <f t="shared" si="80"/>
        <v>9.5179624522828362E-4</v>
      </c>
      <c r="G223" s="2"/>
      <c r="H223" s="6">
        <v>12841.11</v>
      </c>
      <c r="I223" s="2"/>
      <c r="J223" s="7">
        <f t="shared" si="81"/>
        <v>5.4535777945634934E-3</v>
      </c>
      <c r="K223" s="2"/>
      <c r="L223" s="6">
        <f t="shared" si="82"/>
        <v>-11719.11</v>
      </c>
      <c r="M223" s="2"/>
      <c r="N223" s="7">
        <f t="shared" si="83"/>
        <v>-0.91262437593011825</v>
      </c>
      <c r="O223" s="11"/>
      <c r="P223" s="6">
        <v>41010.780000000006</v>
      </c>
      <c r="Q223" s="2"/>
      <c r="R223" s="7">
        <f t="shared" si="84"/>
        <v>1.0569720937303483E-2</v>
      </c>
      <c r="S223" s="2"/>
      <c r="T223" s="6">
        <v>53122.12</v>
      </c>
      <c r="U223" s="2"/>
      <c r="V223" s="7">
        <f t="shared" si="85"/>
        <v>5.5938050702123284E-3</v>
      </c>
      <c r="W223" s="2"/>
      <c r="X223" s="6">
        <f t="shared" si="86"/>
        <v>-12111.339999999997</v>
      </c>
      <c r="Y223" s="2"/>
      <c r="Z223" s="7">
        <f t="shared" si="87"/>
        <v>-0.22799052447455026</v>
      </c>
    </row>
    <row r="224" spans="1:26" s="24" customFormat="1" hidden="1" outlineLevel="2" x14ac:dyDescent="0.25">
      <c r="A224" s="25"/>
      <c r="B224" s="11" t="str">
        <f>CONCATENATE("          ", "6375", " - ", "OUTSIDE REPAIRS &amp; MAINTENANCE")</f>
        <v xml:space="preserve">          6375 - OUTSIDE REPAIRS &amp; MAINTENANCE</v>
      </c>
      <c r="C224" s="11"/>
      <c r="D224" s="6">
        <v>2575</v>
      </c>
      <c r="E224" s="2"/>
      <c r="F224" s="7">
        <f t="shared" si="80"/>
        <v>2.1843808658313997E-3</v>
      </c>
      <c r="G224" s="2"/>
      <c r="H224" s="6">
        <v>6393.27</v>
      </c>
      <c r="I224" s="2"/>
      <c r="J224" s="7">
        <f t="shared" si="81"/>
        <v>2.715201046221779E-3</v>
      </c>
      <c r="K224" s="2"/>
      <c r="L224" s="6">
        <f t="shared" si="82"/>
        <v>-3818.2700000000004</v>
      </c>
      <c r="M224" s="2"/>
      <c r="N224" s="7">
        <f t="shared" si="83"/>
        <v>-0.59723271502689546</v>
      </c>
      <c r="O224" s="11"/>
      <c r="P224" s="6">
        <v>15671.92</v>
      </c>
      <c r="Q224" s="2"/>
      <c r="R224" s="7">
        <f t="shared" si="84"/>
        <v>4.0391287596028454E-3</v>
      </c>
      <c r="S224" s="2"/>
      <c r="T224" s="6">
        <v>47388.04</v>
      </c>
      <c r="U224" s="2"/>
      <c r="V224" s="7">
        <f t="shared" si="85"/>
        <v>4.9900014987998339E-3</v>
      </c>
      <c r="W224" s="2"/>
      <c r="X224" s="6">
        <f t="shared" si="86"/>
        <v>-31716.120000000003</v>
      </c>
      <c r="Y224" s="2"/>
      <c r="Z224" s="7">
        <f t="shared" si="87"/>
        <v>-0.66928533022256254</v>
      </c>
    </row>
    <row r="225" spans="1:26" s="26" customFormat="1" outlineLevel="1" collapsed="1" x14ac:dyDescent="0.25">
      <c r="A225" s="27"/>
      <c r="B225" s="13" t="str">
        <f>CONCATENATE("     ","Royalty &amp; Commissions                             ")</f>
        <v xml:space="preserve">     Royalty &amp; Commissions                             </v>
      </c>
      <c r="C225" s="13"/>
      <c r="D225" s="1">
        <f>SUM(OSRRefD22_18x_0)</f>
        <v>7789.59</v>
      </c>
      <c r="E225" s="1"/>
      <c r="F225" s="5">
        <f t="shared" ref="F225:F228" si="88">IF(D$12=0,0,D225/D$12)</f>
        <v>6.6079345043384904E-3</v>
      </c>
      <c r="G225" s="1"/>
      <c r="H225" s="1">
        <f>SUM(OSRRefH22_18x_0)</f>
        <v>8601.39</v>
      </c>
      <c r="I225" s="1"/>
      <c r="J225" s="5">
        <f t="shared" ref="J225:J228" si="89">IF(H$12=0,0,H225/H$12)</f>
        <v>3.6529824529484196E-3</v>
      </c>
      <c r="K225" s="1"/>
      <c r="L225" s="1">
        <f t="shared" ref="L225:L228" si="90">+D225-H225</f>
        <v>-811.79999999999927</v>
      </c>
      <c r="M225" s="1"/>
      <c r="N225" s="5">
        <f t="shared" ref="N225:N228" si="91">IF(H225=0,0,L225/H225)</f>
        <v>-9.4380094380094301E-2</v>
      </c>
      <c r="O225" s="13"/>
      <c r="P225" s="1">
        <f>SUM(OSRRefP22_18x_0)</f>
        <v>36551.350000000006</v>
      </c>
      <c r="Q225" s="1"/>
      <c r="R225" s="5">
        <f t="shared" ref="R225:R228" si="92">IF(P$12=0,0,P225/P$12)</f>
        <v>9.4203906724453328E-3</v>
      </c>
      <c r="S225" s="1"/>
      <c r="T225" s="1">
        <f>SUM(OSRRefT22_18x_0)</f>
        <v>87426.95</v>
      </c>
      <c r="U225" s="1"/>
      <c r="V225" s="5">
        <f t="shared" ref="V225:V228" si="93">IF(T$12=0,0,T225/T$12)</f>
        <v>9.206133267708437E-3</v>
      </c>
      <c r="W225" s="1"/>
      <c r="X225" s="1">
        <f t="shared" ref="X225:X228" si="94">+P225-T225</f>
        <v>-50875.599999999991</v>
      </c>
      <c r="Y225" s="1"/>
      <c r="Z225" s="5">
        <f t="shared" ref="Z225:Z228" si="95">IF(T225=0,0,X225/T225)</f>
        <v>-0.58192124968330694</v>
      </c>
    </row>
    <row r="226" spans="1:26" s="24" customFormat="1" hidden="1" outlineLevel="2" x14ac:dyDescent="0.25">
      <c r="A226" s="25"/>
      <c r="B226" s="11" t="str">
        <f>CONCATENATE("          ", "6253", " - ", "ROYALTY DUE ATHLETICS-LRG")</f>
        <v xml:space="preserve">          6253 - ROYALTY DUE ATHLETICS-LRG</v>
      </c>
      <c r="C226" s="11"/>
      <c r="D226" s="6">
        <v>7785.78</v>
      </c>
      <c r="E226" s="2"/>
      <c r="F226" s="7">
        <f t="shared" si="88"/>
        <v>6.6047024689603086E-3</v>
      </c>
      <c r="G226" s="2"/>
      <c r="H226" s="6"/>
      <c r="I226" s="2"/>
      <c r="J226" s="7">
        <f t="shared" si="89"/>
        <v>0</v>
      </c>
      <c r="K226" s="2"/>
      <c r="L226" s="6">
        <f t="shared" si="90"/>
        <v>7785.78</v>
      </c>
      <c r="M226" s="2"/>
      <c r="N226" s="7">
        <f t="shared" si="91"/>
        <v>0</v>
      </c>
      <c r="O226" s="11"/>
      <c r="P226" s="6">
        <v>26197.58</v>
      </c>
      <c r="Q226" s="2"/>
      <c r="R226" s="7">
        <f t="shared" si="92"/>
        <v>6.7519103472960754E-3</v>
      </c>
      <c r="S226" s="2"/>
      <c r="T226" s="6">
        <v>4366.95</v>
      </c>
      <c r="U226" s="2"/>
      <c r="V226" s="7">
        <f t="shared" si="93"/>
        <v>4.5984360284122186E-4</v>
      </c>
      <c r="W226" s="2"/>
      <c r="X226" s="6">
        <f t="shared" si="94"/>
        <v>21830.63</v>
      </c>
      <c r="Y226" s="2"/>
      <c r="Z226" s="7">
        <f t="shared" si="95"/>
        <v>4.9990565497658555</v>
      </c>
    </row>
    <row r="227" spans="1:26" s="24" customFormat="1" hidden="1" outlineLevel="2" x14ac:dyDescent="0.25">
      <c r="A227" s="25"/>
      <c r="B227" s="11" t="str">
        <f>CONCATENATE("          ", "6254", " - ", "ROYALTY &amp; COMMISSIONS")</f>
        <v xml:space="preserve">          6254 - ROYALTY &amp; COMMISSIONS</v>
      </c>
      <c r="C227" s="11"/>
      <c r="D227" s="6"/>
      <c r="E227" s="2"/>
      <c r="F227" s="7">
        <f t="shared" si="88"/>
        <v>0</v>
      </c>
      <c r="G227" s="2"/>
      <c r="H227" s="6">
        <v>760.81</v>
      </c>
      <c r="I227" s="2"/>
      <c r="J227" s="7">
        <f t="shared" si="89"/>
        <v>3.2311354095415824E-4</v>
      </c>
      <c r="K227" s="2"/>
      <c r="L227" s="6">
        <f t="shared" si="90"/>
        <v>-760.81</v>
      </c>
      <c r="M227" s="2"/>
      <c r="N227" s="7">
        <f t="shared" si="91"/>
        <v>-1</v>
      </c>
      <c r="O227" s="11"/>
      <c r="P227" s="6">
        <v>185.7</v>
      </c>
      <c r="Q227" s="2"/>
      <c r="R227" s="7">
        <f t="shared" si="92"/>
        <v>4.786051808956709E-5</v>
      </c>
      <c r="S227" s="2"/>
      <c r="T227" s="6">
        <v>18659.439999999999</v>
      </c>
      <c r="U227" s="2"/>
      <c r="V227" s="7">
        <f t="shared" si="93"/>
        <v>1.9648551315219107E-3</v>
      </c>
      <c r="W227" s="2"/>
      <c r="X227" s="6">
        <f t="shared" si="94"/>
        <v>-18473.739999999998</v>
      </c>
      <c r="Y227" s="2"/>
      <c r="Z227" s="7">
        <f t="shared" si="95"/>
        <v>-0.99004793284257187</v>
      </c>
    </row>
    <row r="228" spans="1:26" s="24" customFormat="1" hidden="1" outlineLevel="2" x14ac:dyDescent="0.25">
      <c r="A228" s="25"/>
      <c r="B228" s="11" t="str">
        <f>CONCATENATE("          ", "6259", " - ", "ROYALTY &amp; COMMISSIONS")</f>
        <v xml:space="preserve">          6259 - ROYALTY &amp; COMMISSIONS</v>
      </c>
      <c r="C228" s="11"/>
      <c r="D228" s="6">
        <v>3.81</v>
      </c>
      <c r="E228" s="2"/>
      <c r="F228" s="7">
        <f t="shared" si="88"/>
        <v>3.2320353781816051E-6</v>
      </c>
      <c r="G228" s="2"/>
      <c r="H228" s="6">
        <v>7840.58</v>
      </c>
      <c r="I228" s="2"/>
      <c r="J228" s="7">
        <f t="shared" si="89"/>
        <v>3.3298689119942615E-3</v>
      </c>
      <c r="K228" s="2"/>
      <c r="L228" s="6">
        <f t="shared" si="90"/>
        <v>-7836.7699999999995</v>
      </c>
      <c r="M228" s="2"/>
      <c r="N228" s="7">
        <f t="shared" si="91"/>
        <v>-0.99951406656140229</v>
      </c>
      <c r="O228" s="11"/>
      <c r="P228" s="6">
        <v>10168.07</v>
      </c>
      <c r="Q228" s="2"/>
      <c r="R228" s="7">
        <f t="shared" si="92"/>
        <v>2.6206198070596902E-3</v>
      </c>
      <c r="S228" s="2"/>
      <c r="T228" s="6">
        <v>64400.56</v>
      </c>
      <c r="U228" s="2"/>
      <c r="V228" s="7">
        <f t="shared" si="93"/>
        <v>6.7814345333453048E-3</v>
      </c>
      <c r="W228" s="2"/>
      <c r="X228" s="6">
        <f t="shared" si="94"/>
        <v>-54232.49</v>
      </c>
      <c r="Y228" s="2"/>
      <c r="Z228" s="7">
        <f t="shared" si="95"/>
        <v>-0.84211208722408626</v>
      </c>
    </row>
    <row r="229" spans="1:26" s="26" customFormat="1" outlineLevel="1" collapsed="1" x14ac:dyDescent="0.25">
      <c r="A229" s="27"/>
      <c r="B229" s="13" t="str">
        <f>CONCATENATE("     ","Services                                          ")</f>
        <v xml:space="preserve">     Services                                          </v>
      </c>
      <c r="C229" s="13"/>
      <c r="D229" s="1">
        <f>SUM(OSRRefD22_19x_0)</f>
        <v>6605.9</v>
      </c>
      <c r="E229" s="1"/>
      <c r="F229" s="5">
        <f t="shared" ref="F229:F234" si="96">IF(D$12=0,0,D229/D$12)</f>
        <v>5.6038064316876277E-3</v>
      </c>
      <c r="G229" s="1"/>
      <c r="H229" s="1">
        <f>SUM(OSRRefH22_19x_0)</f>
        <v>6650.81</v>
      </c>
      <c r="I229" s="1"/>
      <c r="J229" s="5">
        <f t="shared" ref="J229:J234" si="97">IF(H$12=0,0,H229/H$12)</f>
        <v>2.8245774494464128E-3</v>
      </c>
      <c r="K229" s="1"/>
      <c r="L229" s="1">
        <f t="shared" ref="L229:L234" si="98">+D229-H229</f>
        <v>-44.910000000000764</v>
      </c>
      <c r="M229" s="1"/>
      <c r="N229" s="5">
        <f t="shared" ref="N229:N234" si="99">IF(H229=0,0,L229/H229)</f>
        <v>-6.7525609662583601E-3</v>
      </c>
      <c r="O229" s="13"/>
      <c r="P229" s="1">
        <f>SUM(OSRRefP22_19x_0)</f>
        <v>26143.54</v>
      </c>
      <c r="Q229" s="1"/>
      <c r="R229" s="5">
        <f t="shared" ref="R229:R234" si="100">IF(P$12=0,0,P229/P$12)</f>
        <v>6.7379826014826111E-3</v>
      </c>
      <c r="S229" s="1"/>
      <c r="T229" s="1">
        <f>SUM(OSRRefT22_19x_0)</f>
        <v>44839.040000000001</v>
      </c>
      <c r="U229" s="1"/>
      <c r="V229" s="5">
        <f t="shared" ref="V229:V234" si="101">IF(T$12=0,0,T229/T$12)</f>
        <v>4.7215895995011761E-3</v>
      </c>
      <c r="W229" s="1"/>
      <c r="X229" s="1">
        <f t="shared" ref="X229:X234" si="102">+P229-T229</f>
        <v>-18695.5</v>
      </c>
      <c r="Y229" s="1"/>
      <c r="Z229" s="5">
        <f t="shared" ref="Z229:Z234" si="103">IF(T229=0,0,X229/T229)</f>
        <v>-0.41694692839097358</v>
      </c>
    </row>
    <row r="230" spans="1:26" s="24" customFormat="1" hidden="1" outlineLevel="2" x14ac:dyDescent="0.25">
      <c r="A230" s="25"/>
      <c r="B230" s="11" t="str">
        <f>CONCATENATE("          ", "6282", " - ", "JANITORIAL/EXTERMINATOR EXPENS")</f>
        <v xml:space="preserve">          6282 - JANITORIAL/EXTERMINATOR EXPENS</v>
      </c>
      <c r="C230" s="11"/>
      <c r="D230" s="6">
        <v>2384.33</v>
      </c>
      <c r="E230" s="2"/>
      <c r="F230" s="7">
        <f t="shared" si="96"/>
        <v>2.0226348853700118E-3</v>
      </c>
      <c r="G230" s="2"/>
      <c r="H230" s="6">
        <v>773.26</v>
      </c>
      <c r="I230" s="2"/>
      <c r="J230" s="7">
        <f t="shared" si="97"/>
        <v>3.2840101559944326E-4</v>
      </c>
      <c r="K230" s="2"/>
      <c r="L230" s="6">
        <f t="shared" si="98"/>
        <v>1611.07</v>
      </c>
      <c r="M230" s="2"/>
      <c r="N230" s="7">
        <f t="shared" si="99"/>
        <v>2.0834777435791323</v>
      </c>
      <c r="O230" s="11"/>
      <c r="P230" s="6">
        <v>8304.94</v>
      </c>
      <c r="Q230" s="2"/>
      <c r="R230" s="7">
        <f t="shared" si="100"/>
        <v>2.1404347393794796E-3</v>
      </c>
      <c r="S230" s="2"/>
      <c r="T230" s="6">
        <v>6523.89</v>
      </c>
      <c r="U230" s="2"/>
      <c r="V230" s="7">
        <f t="shared" si="101"/>
        <v>6.8697124586721144E-4</v>
      </c>
      <c r="W230" s="2"/>
      <c r="X230" s="6">
        <f t="shared" si="102"/>
        <v>1781.0500000000002</v>
      </c>
      <c r="Y230" s="2"/>
      <c r="Z230" s="7">
        <f t="shared" si="103"/>
        <v>0.27300429651634228</v>
      </c>
    </row>
    <row r="231" spans="1:26" s="24" customFormat="1" hidden="1" outlineLevel="2" x14ac:dyDescent="0.25">
      <c r="A231" s="25"/>
      <c r="B231" s="11" t="str">
        <f>CONCATENATE("          ", "6283", " - ", "PLANT SERVICE")</f>
        <v xml:space="preserve">          6283 - PLANT SERVICE</v>
      </c>
      <c r="C231" s="11"/>
      <c r="D231" s="6"/>
      <c r="E231" s="2"/>
      <c r="F231" s="7">
        <f t="shared" si="96"/>
        <v>0</v>
      </c>
      <c r="G231" s="2"/>
      <c r="H231" s="6"/>
      <c r="I231" s="2"/>
      <c r="J231" s="7">
        <f t="shared" si="97"/>
        <v>0</v>
      </c>
      <c r="K231" s="2"/>
      <c r="L231" s="6">
        <f t="shared" si="98"/>
        <v>0</v>
      </c>
      <c r="M231" s="2"/>
      <c r="N231" s="7">
        <f t="shared" si="99"/>
        <v>0</v>
      </c>
      <c r="O231" s="11"/>
      <c r="P231" s="6">
        <v>171.31</v>
      </c>
      <c r="Q231" s="2"/>
      <c r="R231" s="7">
        <f t="shared" si="100"/>
        <v>4.4151778965663645E-5</v>
      </c>
      <c r="S231" s="2"/>
      <c r="T231" s="6">
        <v>541.98</v>
      </c>
      <c r="U231" s="2"/>
      <c r="V231" s="7">
        <f t="shared" si="101"/>
        <v>5.7070961624906495E-5</v>
      </c>
      <c r="W231" s="2"/>
      <c r="X231" s="6">
        <f t="shared" si="102"/>
        <v>-370.67</v>
      </c>
      <c r="Y231" s="2"/>
      <c r="Z231" s="7">
        <f t="shared" si="103"/>
        <v>-0.68391822576478833</v>
      </c>
    </row>
    <row r="232" spans="1:26" s="24" customFormat="1" hidden="1" outlineLevel="2" x14ac:dyDescent="0.25">
      <c r="A232" s="25"/>
      <c r="B232" s="11" t="str">
        <f>CONCATENATE("          ", "6284", " - ", "TRASH REMOVAL EXPENSE")</f>
        <v xml:space="preserve">          6284 - TRASH REMOVAL EXPENSE</v>
      </c>
      <c r="C232" s="11"/>
      <c r="D232" s="6">
        <v>431.57</v>
      </c>
      <c r="E232" s="2"/>
      <c r="F232" s="7">
        <f t="shared" si="96"/>
        <v>3.6610223311334258E-4</v>
      </c>
      <c r="G232" s="2"/>
      <c r="H232" s="6">
        <v>423.82</v>
      </c>
      <c r="I232" s="2"/>
      <c r="J232" s="7">
        <f t="shared" si="97"/>
        <v>1.799949802541914E-4</v>
      </c>
      <c r="K232" s="2"/>
      <c r="L232" s="6">
        <f t="shared" si="98"/>
        <v>7.75</v>
      </c>
      <c r="M232" s="2"/>
      <c r="N232" s="7">
        <f t="shared" si="99"/>
        <v>1.8286064838846681E-2</v>
      </c>
      <c r="O232" s="11"/>
      <c r="P232" s="6">
        <v>1880.01</v>
      </c>
      <c r="Q232" s="2"/>
      <c r="R232" s="7">
        <f t="shared" si="100"/>
        <v>4.8453555526961243E-4</v>
      </c>
      <c r="S232" s="2"/>
      <c r="T232" s="6">
        <v>2965.74</v>
      </c>
      <c r="U232" s="2"/>
      <c r="V232" s="7">
        <f t="shared" si="101"/>
        <v>3.1229498086543815E-4</v>
      </c>
      <c r="W232" s="2"/>
      <c r="X232" s="6">
        <f t="shared" si="102"/>
        <v>-1085.7299999999998</v>
      </c>
      <c r="Y232" s="2"/>
      <c r="Z232" s="7">
        <f t="shared" si="103"/>
        <v>-0.36609075643852795</v>
      </c>
    </row>
    <row r="233" spans="1:26" s="24" customFormat="1" hidden="1" outlineLevel="2" x14ac:dyDescent="0.25">
      <c r="A233" s="25"/>
      <c r="B233" s="11" t="str">
        <f>CONCATENATE("          ", "6285", " - ", "JANITORIAL SERVICES")</f>
        <v xml:space="preserve">          6285 - JANITORIAL SERVICES</v>
      </c>
      <c r="C233" s="11"/>
      <c r="D233" s="6">
        <v>3790</v>
      </c>
      <c r="E233" s="2"/>
      <c r="F233" s="7">
        <f t="shared" si="96"/>
        <v>3.2150693132042738E-3</v>
      </c>
      <c r="G233" s="2"/>
      <c r="H233" s="6">
        <v>4570.0600000000004</v>
      </c>
      <c r="I233" s="2"/>
      <c r="J233" s="7">
        <f t="shared" si="97"/>
        <v>1.9408896688699684E-3</v>
      </c>
      <c r="K233" s="2"/>
      <c r="L233" s="6">
        <f t="shared" si="98"/>
        <v>-780.0600000000004</v>
      </c>
      <c r="M233" s="2"/>
      <c r="N233" s="7">
        <f t="shared" si="99"/>
        <v>-0.17068922508676043</v>
      </c>
      <c r="O233" s="11"/>
      <c r="P233" s="6">
        <v>15787.28</v>
      </c>
      <c r="Q233" s="2"/>
      <c r="R233" s="7">
        <f t="shared" si="100"/>
        <v>4.0688605278678559E-3</v>
      </c>
      <c r="S233" s="2"/>
      <c r="T233" s="6">
        <v>29663.420000000002</v>
      </c>
      <c r="U233" s="2"/>
      <c r="V233" s="7">
        <f t="shared" si="101"/>
        <v>3.1235837198484886E-3</v>
      </c>
      <c r="W233" s="2"/>
      <c r="X233" s="6">
        <f t="shared" si="102"/>
        <v>-13876.140000000001</v>
      </c>
      <c r="Y233" s="2"/>
      <c r="Z233" s="7">
        <f t="shared" si="103"/>
        <v>-0.4677862498659966</v>
      </c>
    </row>
    <row r="234" spans="1:26" s="24" customFormat="1" hidden="1" outlineLevel="2" x14ac:dyDescent="0.25">
      <c r="A234" s="25"/>
      <c r="B234" s="11" t="str">
        <f>CONCATENATE("          ", "6286", " - ", "LAUNDRY EXPENSE")</f>
        <v xml:space="preserve">          6286 - LAUNDRY EXPENSE</v>
      </c>
      <c r="C234" s="11"/>
      <c r="D234" s="6"/>
      <c r="E234" s="2"/>
      <c r="F234" s="7">
        <f t="shared" si="96"/>
        <v>0</v>
      </c>
      <c r="G234" s="2"/>
      <c r="H234" s="6">
        <v>883.67</v>
      </c>
      <c r="I234" s="2"/>
      <c r="J234" s="7">
        <f t="shared" si="97"/>
        <v>3.7529178472280993E-4</v>
      </c>
      <c r="K234" s="2"/>
      <c r="L234" s="6">
        <f t="shared" si="98"/>
        <v>-883.67</v>
      </c>
      <c r="M234" s="2"/>
      <c r="N234" s="7">
        <f t="shared" si="99"/>
        <v>-1</v>
      </c>
      <c r="O234" s="11"/>
      <c r="P234" s="6"/>
      <c r="Q234" s="2"/>
      <c r="R234" s="7">
        <f t="shared" si="100"/>
        <v>0</v>
      </c>
      <c r="S234" s="2"/>
      <c r="T234" s="6">
        <v>5144.01</v>
      </c>
      <c r="U234" s="2"/>
      <c r="V234" s="7">
        <f t="shared" si="101"/>
        <v>5.4166869129513131E-4</v>
      </c>
      <c r="W234" s="2"/>
      <c r="X234" s="6">
        <f t="shared" si="102"/>
        <v>-5144.01</v>
      </c>
      <c r="Y234" s="2"/>
      <c r="Z234" s="7">
        <f t="shared" si="103"/>
        <v>-1</v>
      </c>
    </row>
    <row r="235" spans="1:26" s="26" customFormat="1" outlineLevel="1" collapsed="1" x14ac:dyDescent="0.25">
      <c r="A235" s="27"/>
      <c r="B235" s="13" t="str">
        <f>CONCATENATE("     ","Subscriptions &amp; Dues                              ")</f>
        <v xml:space="preserve">     Subscriptions &amp; Dues                              </v>
      </c>
      <c r="C235" s="13"/>
      <c r="D235" s="1">
        <f>SUM(OSRRefD22_20x_0)</f>
        <v>2389.69</v>
      </c>
      <c r="E235" s="1"/>
      <c r="F235" s="5">
        <f t="shared" ref="F235:F237" si="104">IF(D$12=0,0,D235/D$12)</f>
        <v>2.0271817907839369E-3</v>
      </c>
      <c r="G235" s="1"/>
      <c r="H235" s="1">
        <f>SUM(OSRRefH22_20x_0)</f>
        <v>509.5</v>
      </c>
      <c r="I235" s="1"/>
      <c r="J235" s="5">
        <f t="shared" ref="J235:J237" si="105">IF(H$12=0,0,H235/H$12)</f>
        <v>2.1638299853595988E-4</v>
      </c>
      <c r="K235" s="1"/>
      <c r="L235" s="1">
        <f t="shared" ref="L235:L237" si="106">+D235-H235</f>
        <v>1880.19</v>
      </c>
      <c r="M235" s="1"/>
      <c r="N235" s="5">
        <f t="shared" ref="N235:N237" si="107">IF(H235=0,0,L235/H235)</f>
        <v>3.6902649656526005</v>
      </c>
      <c r="O235" s="13"/>
      <c r="P235" s="1">
        <f>SUM(OSRRefP22_20x_0)</f>
        <v>3845.13</v>
      </c>
      <c r="Q235" s="1"/>
      <c r="R235" s="5">
        <f t="shared" ref="R235:R237" si="108">IF(P$12=0,0,P235/P$12)</f>
        <v>9.9100653700450792E-4</v>
      </c>
      <c r="S235" s="1"/>
      <c r="T235" s="1">
        <f>SUM(OSRRefT22_20x_0)</f>
        <v>4035.66</v>
      </c>
      <c r="U235" s="1"/>
      <c r="V235" s="5">
        <f t="shared" ref="V235:V237" si="109">IF(T$12=0,0,T235/T$12)</f>
        <v>4.2495848000142095E-4</v>
      </c>
      <c r="W235" s="1"/>
      <c r="X235" s="1">
        <f t="shared" ref="X235:X237" si="110">+P235-T235</f>
        <v>-190.52999999999975</v>
      </c>
      <c r="Y235" s="1"/>
      <c r="Z235" s="5">
        <f t="shared" ref="Z235:Z237" si="111">IF(T235=0,0,X235/T235)</f>
        <v>-4.7211608510132112E-2</v>
      </c>
    </row>
    <row r="236" spans="1:26" s="24" customFormat="1" hidden="1" outlineLevel="2" x14ac:dyDescent="0.25">
      <c r="A236" s="25"/>
      <c r="B236" s="11" t="str">
        <f>CONCATENATE("          ", "6258", " - ", "MEMBERSHIP DUES")</f>
        <v xml:space="preserve">          6258 - MEMBERSHIP DUES</v>
      </c>
      <c r="C236" s="11"/>
      <c r="D236" s="6">
        <v>462.61</v>
      </c>
      <c r="E236" s="2"/>
      <c r="F236" s="7">
        <f t="shared" si="104"/>
        <v>3.9243356595816068E-4</v>
      </c>
      <c r="G236" s="2"/>
      <c r="H236" s="6">
        <v>258.10000000000002</v>
      </c>
      <c r="I236" s="2"/>
      <c r="J236" s="7">
        <f t="shared" si="105"/>
        <v>1.0961423340948233E-4</v>
      </c>
      <c r="K236" s="2"/>
      <c r="L236" s="6">
        <f t="shared" si="106"/>
        <v>204.51</v>
      </c>
      <c r="M236" s="2"/>
      <c r="N236" s="7">
        <f t="shared" si="107"/>
        <v>0.79236729949631912</v>
      </c>
      <c r="O236" s="11"/>
      <c r="P236" s="6">
        <v>1692.32</v>
      </c>
      <c r="Q236" s="2"/>
      <c r="R236" s="7">
        <f t="shared" si="108"/>
        <v>4.3616215386826159E-4</v>
      </c>
      <c r="S236" s="2"/>
      <c r="T236" s="6">
        <v>1935.5</v>
      </c>
      <c r="U236" s="2"/>
      <c r="V236" s="7">
        <f t="shared" si="109"/>
        <v>2.0380981996569343E-4</v>
      </c>
      <c r="W236" s="2"/>
      <c r="X236" s="6">
        <f t="shared" si="110"/>
        <v>-243.18000000000006</v>
      </c>
      <c r="Y236" s="2"/>
      <c r="Z236" s="7">
        <f t="shared" si="111"/>
        <v>-0.12564195298372516</v>
      </c>
    </row>
    <row r="237" spans="1:26" s="24" customFormat="1" hidden="1" outlineLevel="2" x14ac:dyDescent="0.25">
      <c r="A237" s="25"/>
      <c r="B237" s="11" t="str">
        <f>CONCATENATE("          ", "6275", " - ", "SUBSCRIPTIONS")</f>
        <v xml:space="preserve">          6275 - SUBSCRIPTIONS</v>
      </c>
      <c r="C237" s="11"/>
      <c r="D237" s="6">
        <v>1927.08</v>
      </c>
      <c r="E237" s="2"/>
      <c r="F237" s="7">
        <f t="shared" si="104"/>
        <v>1.6347482248257762E-3</v>
      </c>
      <c r="G237" s="2"/>
      <c r="H237" s="6">
        <v>251.4</v>
      </c>
      <c r="I237" s="2"/>
      <c r="J237" s="7">
        <f t="shared" si="105"/>
        <v>1.0676876512647755E-4</v>
      </c>
      <c r="K237" s="2"/>
      <c r="L237" s="6">
        <f t="shared" si="106"/>
        <v>1675.6799999999998</v>
      </c>
      <c r="M237" s="2"/>
      <c r="N237" s="7">
        <f t="shared" si="107"/>
        <v>6.6653937947494022</v>
      </c>
      <c r="O237" s="11"/>
      <c r="P237" s="6">
        <v>2152.81</v>
      </c>
      <c r="Q237" s="2"/>
      <c r="R237" s="7">
        <f t="shared" si="108"/>
        <v>5.5484438313624623E-4</v>
      </c>
      <c r="S237" s="2"/>
      <c r="T237" s="6">
        <v>2100.16</v>
      </c>
      <c r="U237" s="2"/>
      <c r="V237" s="7">
        <f t="shared" si="109"/>
        <v>2.2114866003572755E-4</v>
      </c>
      <c r="W237" s="2"/>
      <c r="X237" s="6">
        <f t="shared" si="110"/>
        <v>52.650000000000091</v>
      </c>
      <c r="Y237" s="2"/>
      <c r="Z237" s="7">
        <f t="shared" si="111"/>
        <v>2.5069518512875255E-2</v>
      </c>
    </row>
    <row r="238" spans="1:26" s="26" customFormat="1" outlineLevel="1" collapsed="1" x14ac:dyDescent="0.25">
      <c r="A238" s="27"/>
      <c r="B238" s="13" t="str">
        <f>CONCATENATE("     ","Supplies                                          ")</f>
        <v xml:space="preserve">     Supplies                                          </v>
      </c>
      <c r="C238" s="13"/>
      <c r="D238" s="1">
        <f>SUM(OSRRefD22_21x_0)</f>
        <v>13676.5</v>
      </c>
      <c r="E238" s="1"/>
      <c r="F238" s="5">
        <f t="shared" ref="F238:F246" si="112">IF(D$12=0,0,D238/D$12)</f>
        <v>1.1601819383123548E-2</v>
      </c>
      <c r="G238" s="1"/>
      <c r="H238" s="1">
        <f>SUM(OSRRefH22_21x_0)</f>
        <v>14483.989999999998</v>
      </c>
      <c r="I238" s="1"/>
      <c r="J238" s="5">
        <f t="shared" ref="J238:J246" si="113">IF(H$12=0,0,H238/H$12)</f>
        <v>6.1513036054266085E-3</v>
      </c>
      <c r="K238" s="1"/>
      <c r="L238" s="1">
        <f t="shared" ref="L238:L246" si="114">+D238-H238</f>
        <v>-807.48999999999796</v>
      </c>
      <c r="M238" s="1"/>
      <c r="N238" s="5">
        <f t="shared" ref="N238:N246" si="115">IF(H238=0,0,L238/H238)</f>
        <v>-5.5750521783016843E-2</v>
      </c>
      <c r="O238" s="13"/>
      <c r="P238" s="1">
        <f>SUM(OSRRefP22_21x_0)</f>
        <v>92096.69</v>
      </c>
      <c r="Q238" s="1"/>
      <c r="R238" s="5">
        <f t="shared" ref="R238:R246" si="116">IF(P$12=0,0,P238/P$12)</f>
        <v>2.37361082268942E-2</v>
      </c>
      <c r="S238" s="1"/>
      <c r="T238" s="1">
        <f>SUM(OSRRefT22_21x_0)</f>
        <v>103131.57999999999</v>
      </c>
      <c r="U238" s="1"/>
      <c r="V238" s="5">
        <f t="shared" ref="V238:V246" si="117">IF(T$12=0,0,T238/T$12)</f>
        <v>1.0859844356795404E-2</v>
      </c>
      <c r="W238" s="1"/>
      <c r="X238" s="1">
        <f t="shared" ref="X238:X246" si="118">+P238-T238</f>
        <v>-11034.889999999985</v>
      </c>
      <c r="Y238" s="1"/>
      <c r="Z238" s="5">
        <f t="shared" ref="Z238:Z246" si="119">IF(T238=0,0,X238/T238)</f>
        <v>-0.10699816680787773</v>
      </c>
    </row>
    <row r="239" spans="1:26" s="24" customFormat="1" hidden="1" outlineLevel="2" x14ac:dyDescent="0.25">
      <c r="A239" s="25"/>
      <c r="B239" s="11" t="str">
        <f>CONCATENATE("          ", "6234", " - ", "EXPENDABLE SUPPLIES &amp; EQUIPMEN")</f>
        <v xml:space="preserve">          6234 - EXPENDABLE SUPPLIES &amp; EQUIPMEN</v>
      </c>
      <c r="C239" s="11"/>
      <c r="D239" s="6">
        <v>396.5</v>
      </c>
      <c r="E239" s="2"/>
      <c r="F239" s="7">
        <f t="shared" si="112"/>
        <v>3.363522381755922E-4</v>
      </c>
      <c r="G239" s="2"/>
      <c r="H239" s="6">
        <v>1338.2</v>
      </c>
      <c r="I239" s="2"/>
      <c r="J239" s="7">
        <f t="shared" si="113"/>
        <v>5.68329202435371E-4</v>
      </c>
      <c r="K239" s="2"/>
      <c r="L239" s="6">
        <f t="shared" si="114"/>
        <v>-941.7</v>
      </c>
      <c r="M239" s="2"/>
      <c r="N239" s="7">
        <f t="shared" si="115"/>
        <v>-0.70370647137946496</v>
      </c>
      <c r="O239" s="11"/>
      <c r="P239" s="6">
        <v>263.83</v>
      </c>
      <c r="Q239" s="2"/>
      <c r="R239" s="7">
        <f t="shared" si="116"/>
        <v>6.7996987008995616E-5</v>
      </c>
      <c r="S239" s="2"/>
      <c r="T239" s="6">
        <v>4253.41</v>
      </c>
      <c r="U239" s="2"/>
      <c r="V239" s="7">
        <f t="shared" si="117"/>
        <v>4.4788774287795403E-4</v>
      </c>
      <c r="W239" s="2"/>
      <c r="X239" s="6">
        <f t="shared" si="118"/>
        <v>-3989.58</v>
      </c>
      <c r="Y239" s="2"/>
      <c r="Z239" s="7">
        <f t="shared" si="119"/>
        <v>-0.93797212119217288</v>
      </c>
    </row>
    <row r="240" spans="1:26" s="24" customFormat="1" hidden="1" outlineLevel="2" x14ac:dyDescent="0.25">
      <c r="A240" s="25"/>
      <c r="B240" s="11" t="str">
        <f>CONCATENATE("          ", "6235", " - ", "COVID-19 EXPENSES")</f>
        <v xml:space="preserve">          6235 - COVID-19 EXPENSES</v>
      </c>
      <c r="C240" s="11"/>
      <c r="D240" s="6">
        <v>2921.2</v>
      </c>
      <c r="E240" s="2"/>
      <c r="F240" s="7">
        <f t="shared" si="112"/>
        <v>2.4780634505890036E-3</v>
      </c>
      <c r="G240" s="2"/>
      <c r="H240" s="6"/>
      <c r="I240" s="2"/>
      <c r="J240" s="7">
        <f t="shared" si="113"/>
        <v>0</v>
      </c>
      <c r="K240" s="2"/>
      <c r="L240" s="6">
        <f t="shared" si="114"/>
        <v>2921.2</v>
      </c>
      <c r="M240" s="2"/>
      <c r="N240" s="7">
        <f t="shared" si="115"/>
        <v>0</v>
      </c>
      <c r="O240" s="11"/>
      <c r="P240" s="6">
        <v>34506.300000000003</v>
      </c>
      <c r="Q240" s="2"/>
      <c r="R240" s="7">
        <f t="shared" si="116"/>
        <v>8.8933193072376366E-3</v>
      </c>
      <c r="S240" s="2"/>
      <c r="T240" s="6"/>
      <c r="U240" s="2"/>
      <c r="V240" s="7">
        <f t="shared" si="117"/>
        <v>0</v>
      </c>
      <c r="W240" s="2"/>
      <c r="X240" s="6">
        <f t="shared" si="118"/>
        <v>34506.300000000003</v>
      </c>
      <c r="Y240" s="2"/>
      <c r="Z240" s="7">
        <f t="shared" si="119"/>
        <v>0</v>
      </c>
    </row>
    <row r="241" spans="1:26" s="24" customFormat="1" hidden="1" outlineLevel="2" x14ac:dyDescent="0.25">
      <c r="A241" s="25"/>
      <c r="B241" s="11" t="str">
        <f>CONCATENATE("          ", "6237", " - ", "JANITORIAL SUPPLIES")</f>
        <v xml:space="preserve">          6237 - JANITORIAL SUPPLIES</v>
      </c>
      <c r="C241" s="11"/>
      <c r="D241" s="6">
        <v>329.77</v>
      </c>
      <c r="E241" s="2"/>
      <c r="F241" s="7">
        <f t="shared" si="112"/>
        <v>2.7974496237872647E-4</v>
      </c>
      <c r="G241" s="2"/>
      <c r="H241" s="6">
        <v>1153.96</v>
      </c>
      <c r="I241" s="2"/>
      <c r="J241" s="7">
        <f t="shared" si="113"/>
        <v>4.900830716203263E-4</v>
      </c>
      <c r="K241" s="2"/>
      <c r="L241" s="6">
        <f t="shared" si="114"/>
        <v>-824.19</v>
      </c>
      <c r="M241" s="2"/>
      <c r="N241" s="7">
        <f t="shared" si="115"/>
        <v>-0.71422752955041768</v>
      </c>
      <c r="O241" s="11"/>
      <c r="P241" s="6">
        <v>2581.2199999999998</v>
      </c>
      <c r="Q241" s="2"/>
      <c r="R241" s="7">
        <f t="shared" si="116"/>
        <v>6.6525862414190825E-4</v>
      </c>
      <c r="S241" s="2"/>
      <c r="T241" s="6">
        <v>7147.87</v>
      </c>
      <c r="U241" s="2"/>
      <c r="V241" s="7">
        <f t="shared" si="117"/>
        <v>7.5267687824240813E-4</v>
      </c>
      <c r="W241" s="2"/>
      <c r="X241" s="6">
        <f t="shared" si="118"/>
        <v>-4566.6499999999996</v>
      </c>
      <c r="Y241" s="2"/>
      <c r="Z241" s="7">
        <f t="shared" si="119"/>
        <v>-0.63888263216874397</v>
      </c>
    </row>
    <row r="242" spans="1:26" s="24" customFormat="1" hidden="1" outlineLevel="2" x14ac:dyDescent="0.25">
      <c r="A242" s="25"/>
      <c r="B242" s="11" t="str">
        <f>CONCATENATE("          ", "6239", " - ", "KITCHEN SUPPLIES")</f>
        <v xml:space="preserve">          6239 - KITCHEN SUPPLIES</v>
      </c>
      <c r="C242" s="11"/>
      <c r="D242" s="6"/>
      <c r="E242" s="2"/>
      <c r="F242" s="7">
        <f t="shared" si="112"/>
        <v>0</v>
      </c>
      <c r="G242" s="2"/>
      <c r="H242" s="6">
        <v>63.92</v>
      </c>
      <c r="I242" s="2"/>
      <c r="J242" s="7">
        <f t="shared" si="113"/>
        <v>2.7146616813382838E-5</v>
      </c>
      <c r="K242" s="2"/>
      <c r="L242" s="6">
        <f t="shared" si="114"/>
        <v>-63.92</v>
      </c>
      <c r="M242" s="2"/>
      <c r="N242" s="7">
        <f t="shared" si="115"/>
        <v>-1</v>
      </c>
      <c r="O242" s="11"/>
      <c r="P242" s="6"/>
      <c r="Q242" s="2"/>
      <c r="R242" s="7">
        <f t="shared" si="116"/>
        <v>0</v>
      </c>
      <c r="S242" s="2"/>
      <c r="T242" s="6">
        <v>63.92</v>
      </c>
      <c r="U242" s="2"/>
      <c r="V242" s="7">
        <f t="shared" si="117"/>
        <v>6.7308311507140917E-6</v>
      </c>
      <c r="W242" s="2"/>
      <c r="X242" s="6">
        <f t="shared" si="118"/>
        <v>-63.92</v>
      </c>
      <c r="Y242" s="2"/>
      <c r="Z242" s="7">
        <f t="shared" si="119"/>
        <v>-1</v>
      </c>
    </row>
    <row r="243" spans="1:26" s="24" customFormat="1" hidden="1" outlineLevel="2" x14ac:dyDescent="0.25">
      <c r="A243" s="25"/>
      <c r="B243" s="11" t="str">
        <f>CONCATENATE("          ", "6241", " - ", "OFFICE EXPENSE")</f>
        <v xml:space="preserve">          6241 - OFFICE EXPENSE</v>
      </c>
      <c r="C243" s="11"/>
      <c r="D243" s="6">
        <v>444.2</v>
      </c>
      <c r="E243" s="2"/>
      <c r="F243" s="7">
        <f t="shared" si="112"/>
        <v>3.7681630314652728E-4</v>
      </c>
      <c r="G243" s="2"/>
      <c r="H243" s="6">
        <v>4301.99</v>
      </c>
      <c r="I243" s="2"/>
      <c r="J243" s="7">
        <f t="shared" si="113"/>
        <v>1.8270412087766712E-3</v>
      </c>
      <c r="K243" s="2"/>
      <c r="L243" s="6">
        <f t="shared" si="114"/>
        <v>-3857.79</v>
      </c>
      <c r="M243" s="2"/>
      <c r="N243" s="7">
        <f t="shared" si="115"/>
        <v>-0.89674545965936703</v>
      </c>
      <c r="O243" s="11"/>
      <c r="P243" s="6">
        <v>9363.17</v>
      </c>
      <c r="Q243" s="2"/>
      <c r="R243" s="7">
        <f t="shared" si="116"/>
        <v>2.4131726826100803E-3</v>
      </c>
      <c r="S243" s="2"/>
      <c r="T243" s="6">
        <v>23673.7</v>
      </c>
      <c r="U243" s="2"/>
      <c r="V243" s="7">
        <f t="shared" si="117"/>
        <v>2.4928610358676499E-3</v>
      </c>
      <c r="W243" s="2"/>
      <c r="X243" s="6">
        <f t="shared" si="118"/>
        <v>-14310.53</v>
      </c>
      <c r="Y243" s="2"/>
      <c r="Z243" s="7">
        <f t="shared" si="119"/>
        <v>-0.6044906372894816</v>
      </c>
    </row>
    <row r="244" spans="1:26" s="24" customFormat="1" hidden="1" outlineLevel="2" x14ac:dyDescent="0.25">
      <c r="A244" s="25"/>
      <c r="B244" s="11" t="str">
        <f>CONCATENATE("          ", "6243", " - ", "PAPER SUPPLIES")</f>
        <v xml:space="preserve">          6243 - PAPER SUPPLIES</v>
      </c>
      <c r="C244" s="11"/>
      <c r="D244" s="6">
        <v>1080</v>
      </c>
      <c r="E244" s="2"/>
      <c r="F244" s="7">
        <f t="shared" si="112"/>
        <v>9.1616750877588802E-4</v>
      </c>
      <c r="G244" s="2"/>
      <c r="H244" s="6">
        <v>2872.87</v>
      </c>
      <c r="I244" s="2"/>
      <c r="J244" s="7">
        <f t="shared" si="113"/>
        <v>1.220098577044167E-3</v>
      </c>
      <c r="K244" s="2"/>
      <c r="L244" s="6">
        <f t="shared" si="114"/>
        <v>-1792.87</v>
      </c>
      <c r="M244" s="2"/>
      <c r="N244" s="7">
        <f t="shared" si="115"/>
        <v>-0.62406931048046033</v>
      </c>
      <c r="O244" s="11"/>
      <c r="P244" s="6">
        <v>6173.4</v>
      </c>
      <c r="Q244" s="2"/>
      <c r="R244" s="7">
        <f t="shared" si="116"/>
        <v>1.591072279882248E-3</v>
      </c>
      <c r="S244" s="2"/>
      <c r="T244" s="6">
        <v>15783.969999999998</v>
      </c>
      <c r="U244" s="2"/>
      <c r="V244" s="7">
        <f t="shared" si="117"/>
        <v>1.6620656595421883E-3</v>
      </c>
      <c r="W244" s="2"/>
      <c r="X244" s="6">
        <f t="shared" si="118"/>
        <v>-9610.5699999999979</v>
      </c>
      <c r="Y244" s="2"/>
      <c r="Z244" s="7">
        <f t="shared" si="119"/>
        <v>-0.60888166918715625</v>
      </c>
    </row>
    <row r="245" spans="1:26" s="24" customFormat="1" hidden="1" outlineLevel="2" x14ac:dyDescent="0.25">
      <c r="A245" s="25"/>
      <c r="B245" s="11" t="str">
        <f>CONCATENATE("          ", "6245", " - ", "PRINTING")</f>
        <v xml:space="preserve">          6245 - PRINTING</v>
      </c>
      <c r="C245" s="11"/>
      <c r="D245" s="6"/>
      <c r="E245" s="2"/>
      <c r="F245" s="7">
        <f t="shared" si="112"/>
        <v>0</v>
      </c>
      <c r="G245" s="2"/>
      <c r="H245" s="6">
        <v>926.39</v>
      </c>
      <c r="I245" s="2"/>
      <c r="J245" s="7">
        <f t="shared" si="113"/>
        <v>3.9343483025265527E-4</v>
      </c>
      <c r="K245" s="2"/>
      <c r="L245" s="6">
        <f t="shared" si="114"/>
        <v>-926.39</v>
      </c>
      <c r="M245" s="2"/>
      <c r="N245" s="7">
        <f t="shared" si="115"/>
        <v>-1</v>
      </c>
      <c r="O245" s="11"/>
      <c r="P245" s="6">
        <v>508.27</v>
      </c>
      <c r="Q245" s="2"/>
      <c r="R245" s="7">
        <f t="shared" si="116"/>
        <v>1.3099658335694273E-4</v>
      </c>
      <c r="S245" s="2"/>
      <c r="T245" s="6">
        <v>6601.94</v>
      </c>
      <c r="U245" s="2"/>
      <c r="V245" s="7">
        <f t="shared" si="117"/>
        <v>6.9518997820940836E-4</v>
      </c>
      <c r="W245" s="2"/>
      <c r="X245" s="6">
        <f t="shared" si="118"/>
        <v>-6093.67</v>
      </c>
      <c r="Y245" s="2"/>
      <c r="Z245" s="7">
        <f t="shared" si="119"/>
        <v>-0.92301202373847691</v>
      </c>
    </row>
    <row r="246" spans="1:26" s="24" customFormat="1" hidden="1" outlineLevel="2" x14ac:dyDescent="0.25">
      <c r="A246" s="25"/>
      <c r="B246" s="11" t="str">
        <f>CONCATENATE("          ", "6247", " - ", "STORE SUPPLIES")</f>
        <v xml:space="preserve">          6247 - STORE SUPPLIES</v>
      </c>
      <c r="C246" s="11"/>
      <c r="D246" s="6">
        <v>8504.83</v>
      </c>
      <c r="E246" s="2"/>
      <c r="F246" s="7">
        <f t="shared" si="112"/>
        <v>7.2146749200578102E-3</v>
      </c>
      <c r="G246" s="2"/>
      <c r="H246" s="6">
        <v>3826.66</v>
      </c>
      <c r="I246" s="2"/>
      <c r="J246" s="7">
        <f t="shared" si="113"/>
        <v>1.6251700984840356E-3</v>
      </c>
      <c r="K246" s="2"/>
      <c r="L246" s="6">
        <f t="shared" si="114"/>
        <v>4678.17</v>
      </c>
      <c r="M246" s="2"/>
      <c r="N246" s="7">
        <f t="shared" si="115"/>
        <v>1.222520422509447</v>
      </c>
      <c r="O246" s="11"/>
      <c r="P246" s="6">
        <v>38700.5</v>
      </c>
      <c r="Q246" s="2"/>
      <c r="R246" s="7">
        <f t="shared" si="116"/>
        <v>9.9742917626563874E-3</v>
      </c>
      <c r="S246" s="2"/>
      <c r="T246" s="6">
        <v>45606.77</v>
      </c>
      <c r="U246" s="2"/>
      <c r="V246" s="7">
        <f t="shared" si="117"/>
        <v>4.8024322309050821E-3</v>
      </c>
      <c r="W246" s="2"/>
      <c r="X246" s="6">
        <f t="shared" si="118"/>
        <v>-6906.2699999999968</v>
      </c>
      <c r="Y246" s="2"/>
      <c r="Z246" s="7">
        <f t="shared" si="119"/>
        <v>-0.15143080731215997</v>
      </c>
    </row>
    <row r="247" spans="1:26" s="26" customFormat="1" outlineLevel="1" collapsed="1" x14ac:dyDescent="0.25">
      <c r="A247" s="27"/>
      <c r="B247" s="13" t="str">
        <f>CONCATENATE("     ","Telephone/Data Lines                              ")</f>
        <v xml:space="preserve">     Telephone/Data Lines                              </v>
      </c>
      <c r="C247" s="13"/>
      <c r="D247" s="1">
        <f>SUM(OSRRefD22_22x_0)</f>
        <v>2487.31</v>
      </c>
      <c r="E247" s="1"/>
      <c r="F247" s="5">
        <f t="shared" ref="F247:F249" si="120">IF(D$12=0,0,D247/D$12)</f>
        <v>2.1099931539382906E-3</v>
      </c>
      <c r="G247" s="1"/>
      <c r="H247" s="1">
        <f>SUM(OSRRefH22_22x_0)</f>
        <v>3035.94</v>
      </c>
      <c r="I247" s="1"/>
      <c r="J247" s="5">
        <f t="shared" ref="J247:J249" si="121">IF(H$12=0,0,H247/H$12)</f>
        <v>1.2893538774784339E-3</v>
      </c>
      <c r="K247" s="1"/>
      <c r="L247" s="1">
        <f t="shared" ref="L247:L249" si="122">+D247-H247</f>
        <v>-548.63000000000011</v>
      </c>
      <c r="M247" s="1"/>
      <c r="N247" s="5">
        <f t="shared" ref="N247:N249" si="123">IF(H247=0,0,L247/H247)</f>
        <v>-0.18071174002121257</v>
      </c>
      <c r="O247" s="13"/>
      <c r="P247" s="1">
        <f>SUM(OSRRefP22_22x_0)</f>
        <v>20175.79</v>
      </c>
      <c r="Q247" s="1"/>
      <c r="R247" s="5">
        <f t="shared" ref="R247:R249" si="124">IF(P$12=0,0,P247/P$12)</f>
        <v>5.1999125593231391E-3</v>
      </c>
      <c r="S247" s="1"/>
      <c r="T247" s="1">
        <f>SUM(OSRRefT22_22x_0)</f>
        <v>21137.46</v>
      </c>
      <c r="U247" s="1"/>
      <c r="V247" s="5">
        <f t="shared" ref="V247:V249" si="125">IF(T$12=0,0,T247/T$12)</f>
        <v>2.2257927755784273E-3</v>
      </c>
      <c r="W247" s="1"/>
      <c r="X247" s="1">
        <f t="shared" ref="X247:X249" si="126">+P247-T247</f>
        <v>-961.66999999999825</v>
      </c>
      <c r="Y247" s="1"/>
      <c r="Z247" s="5">
        <f t="shared" ref="Z247:Z249" si="127">IF(T247=0,0,X247/T247)</f>
        <v>-4.5496005669555299E-2</v>
      </c>
    </row>
    <row r="248" spans="1:26" s="24" customFormat="1" hidden="1" outlineLevel="2" x14ac:dyDescent="0.25">
      <c r="A248" s="25"/>
      <c r="B248" s="11" t="str">
        <f>CONCATENATE("          ", "6303", " - ", "DATA PHONE LINES")</f>
        <v xml:space="preserve">          6303 - DATA PHONE LINES</v>
      </c>
      <c r="C248" s="11"/>
      <c r="D248" s="6">
        <v>295</v>
      </c>
      <c r="E248" s="2"/>
      <c r="F248" s="7">
        <f t="shared" si="120"/>
        <v>2.5024945841563609E-4</v>
      </c>
      <c r="G248" s="2"/>
      <c r="H248" s="6">
        <v>295</v>
      </c>
      <c r="I248" s="2"/>
      <c r="J248" s="7">
        <f t="shared" si="121"/>
        <v>1.2528554380394143E-4</v>
      </c>
      <c r="K248" s="2"/>
      <c r="L248" s="6">
        <f t="shared" si="122"/>
        <v>0</v>
      </c>
      <c r="M248" s="2"/>
      <c r="N248" s="7">
        <f t="shared" si="123"/>
        <v>0</v>
      </c>
      <c r="O248" s="11"/>
      <c r="P248" s="6">
        <v>2360</v>
      </c>
      <c r="Q248" s="2"/>
      <c r="R248" s="7">
        <f t="shared" si="124"/>
        <v>6.0824352553246277E-4</v>
      </c>
      <c r="S248" s="2"/>
      <c r="T248" s="6">
        <v>2065</v>
      </c>
      <c r="U248" s="2"/>
      <c r="V248" s="7">
        <f t="shared" si="125"/>
        <v>2.1744628169938359E-4</v>
      </c>
      <c r="W248" s="2"/>
      <c r="X248" s="6">
        <f t="shared" si="126"/>
        <v>295</v>
      </c>
      <c r="Y248" s="2"/>
      <c r="Z248" s="7">
        <f t="shared" si="127"/>
        <v>0.14285714285714285</v>
      </c>
    </row>
    <row r="249" spans="1:26" s="24" customFormat="1" hidden="1" outlineLevel="2" x14ac:dyDescent="0.25">
      <c r="A249" s="25"/>
      <c r="B249" s="11" t="str">
        <f>CONCATENATE("          ", "6309", " - ", "TELEPHONE")</f>
        <v xml:space="preserve">          6309 - TELEPHONE</v>
      </c>
      <c r="C249" s="11"/>
      <c r="D249" s="6">
        <v>2192.31</v>
      </c>
      <c r="E249" s="2"/>
      <c r="F249" s="7">
        <f t="shared" si="120"/>
        <v>1.8597436955226545E-3</v>
      </c>
      <c r="G249" s="2"/>
      <c r="H249" s="6">
        <v>2740.94</v>
      </c>
      <c r="I249" s="2"/>
      <c r="J249" s="7">
        <f t="shared" si="121"/>
        <v>1.1640683336744924E-3</v>
      </c>
      <c r="K249" s="2"/>
      <c r="L249" s="6">
        <f t="shared" si="122"/>
        <v>-548.63000000000011</v>
      </c>
      <c r="M249" s="2"/>
      <c r="N249" s="7">
        <f t="shared" si="123"/>
        <v>-0.20016125854633815</v>
      </c>
      <c r="O249" s="11"/>
      <c r="P249" s="6">
        <v>17815.79</v>
      </c>
      <c r="Q249" s="2"/>
      <c r="R249" s="7">
        <f t="shared" si="124"/>
        <v>4.5916690337906765E-3</v>
      </c>
      <c r="S249" s="2"/>
      <c r="T249" s="6">
        <v>19072.46</v>
      </c>
      <c r="U249" s="2"/>
      <c r="V249" s="7">
        <f t="shared" si="125"/>
        <v>2.0083464938790438E-3</v>
      </c>
      <c r="W249" s="2"/>
      <c r="X249" s="6">
        <f t="shared" si="126"/>
        <v>-1256.6699999999983</v>
      </c>
      <c r="Y249" s="2"/>
      <c r="Z249" s="7">
        <f t="shared" si="127"/>
        <v>-6.5889245540428368E-2</v>
      </c>
    </row>
    <row r="250" spans="1:26" s="26" customFormat="1" outlineLevel="1" collapsed="1" x14ac:dyDescent="0.25">
      <c r="A250" s="27"/>
      <c r="B250" s="13" t="str">
        <f>CONCATENATE("     ","Training                                          ")</f>
        <v xml:space="preserve">     Training                                          </v>
      </c>
      <c r="C250" s="13"/>
      <c r="D250" s="1">
        <f>SUM(OSRRefD22_23x_0)</f>
        <v>0</v>
      </c>
      <c r="E250" s="1"/>
      <c r="F250" s="5">
        <f t="shared" ref="F250:F255" si="128">IF(D$12=0,0,D250/D$12)</f>
        <v>0</v>
      </c>
      <c r="G250" s="1"/>
      <c r="H250" s="1">
        <f>SUM(OSRRefH22_23x_0)</f>
        <v>2056.09</v>
      </c>
      <c r="I250" s="1"/>
      <c r="J250" s="5">
        <f t="shared" ref="J250:J255" si="129">IF(H$12=0,0,H250/H$12)</f>
        <v>8.732147585079525E-4</v>
      </c>
      <c r="K250" s="1"/>
      <c r="L250" s="1">
        <f t="shared" ref="L250:L255" si="130">+D250-H250</f>
        <v>-2056.09</v>
      </c>
      <c r="M250" s="1"/>
      <c r="N250" s="5">
        <f t="shared" ref="N250:N255" si="131">IF(H250=0,0,L250/H250)</f>
        <v>-1</v>
      </c>
      <c r="O250" s="13"/>
      <c r="P250" s="1">
        <f>SUM(OSRRefP22_23x_0)</f>
        <v>145.63</v>
      </c>
      <c r="Q250" s="1"/>
      <c r="R250" s="5">
        <f t="shared" ref="R250:R255" si="132">IF(P$12=0,0,P250/P$12)</f>
        <v>3.7533264670886676E-5</v>
      </c>
      <c r="S250" s="1"/>
      <c r="T250" s="1">
        <f>SUM(OSRRefT22_23x_0)</f>
        <v>9715.89</v>
      </c>
      <c r="U250" s="1"/>
      <c r="V250" s="5">
        <f t="shared" ref="V250:V255" si="133">IF(T$12=0,0,T250/T$12)</f>
        <v>1.0230915999516821E-3</v>
      </c>
      <c r="W250" s="1"/>
      <c r="X250" s="1">
        <f t="shared" ref="X250:X255" si="134">+P250-T250</f>
        <v>-9570.26</v>
      </c>
      <c r="Y250" s="1"/>
      <c r="Z250" s="5">
        <f t="shared" ref="Z250:Z255" si="135">IF(T250=0,0,X250/T250)</f>
        <v>-0.98501115183477794</v>
      </c>
    </row>
    <row r="251" spans="1:26" s="24" customFormat="1" hidden="1" outlineLevel="2" x14ac:dyDescent="0.25">
      <c r="A251" s="25"/>
      <c r="B251" s="11" t="str">
        <f>CONCATENATE("          ", "6376", " - ", "TRAINING")</f>
        <v xml:space="preserve">          6376 - TRAINING</v>
      </c>
      <c r="C251" s="11"/>
      <c r="D251" s="6"/>
      <c r="E251" s="2"/>
      <c r="F251" s="7">
        <f t="shared" si="128"/>
        <v>0</v>
      </c>
      <c r="G251" s="2"/>
      <c r="H251" s="6">
        <v>2056.09</v>
      </c>
      <c r="I251" s="2"/>
      <c r="J251" s="7">
        <f t="shared" si="129"/>
        <v>8.732147585079525E-4</v>
      </c>
      <c r="K251" s="2"/>
      <c r="L251" s="6">
        <f t="shared" si="130"/>
        <v>-2056.09</v>
      </c>
      <c r="M251" s="2"/>
      <c r="N251" s="7">
        <f t="shared" si="131"/>
        <v>-1</v>
      </c>
      <c r="O251" s="11"/>
      <c r="P251" s="6">
        <v>145.63</v>
      </c>
      <c r="Q251" s="2"/>
      <c r="R251" s="7">
        <f t="shared" si="132"/>
        <v>3.7533264670886676E-5</v>
      </c>
      <c r="S251" s="2"/>
      <c r="T251" s="6">
        <v>9715.89</v>
      </c>
      <c r="U251" s="2"/>
      <c r="V251" s="7">
        <f t="shared" si="133"/>
        <v>1.0230915999516821E-3</v>
      </c>
      <c r="W251" s="2"/>
      <c r="X251" s="6">
        <f t="shared" si="134"/>
        <v>-9570.26</v>
      </c>
      <c r="Y251" s="2"/>
      <c r="Z251" s="7">
        <f t="shared" si="135"/>
        <v>-0.98501115183477794</v>
      </c>
    </row>
    <row r="252" spans="1:26" s="26" customFormat="1" outlineLevel="1" collapsed="1" x14ac:dyDescent="0.25">
      <c r="A252" s="27"/>
      <c r="B252" s="13" t="str">
        <f>CONCATENATE("     ","Travel                                            ")</f>
        <v xml:space="preserve">     Travel                                            </v>
      </c>
      <c r="C252" s="13"/>
      <c r="D252" s="1">
        <f>SUM(OSRRefD22_24x_0)</f>
        <v>129.38</v>
      </c>
      <c r="E252" s="1"/>
      <c r="F252" s="5">
        <f t="shared" si="128"/>
        <v>1.0975347433835591E-4</v>
      </c>
      <c r="G252" s="1"/>
      <c r="H252" s="1">
        <f>SUM(OSRRefH22_24x_0)</f>
        <v>-472.06</v>
      </c>
      <c r="I252" s="1"/>
      <c r="J252" s="5">
        <f t="shared" si="129"/>
        <v>-2.0048235189182575E-4</v>
      </c>
      <c r="K252" s="1"/>
      <c r="L252" s="1">
        <f t="shared" si="130"/>
        <v>601.44000000000005</v>
      </c>
      <c r="M252" s="1"/>
      <c r="N252" s="5">
        <f t="shared" si="131"/>
        <v>-1.2740753294072789</v>
      </c>
      <c r="O252" s="13"/>
      <c r="P252" s="1">
        <f>SUM(OSRRefP22_24x_0)</f>
        <v>810.31000000000006</v>
      </c>
      <c r="Q252" s="1"/>
      <c r="R252" s="5">
        <f t="shared" si="132"/>
        <v>2.0884144541280083E-4</v>
      </c>
      <c r="S252" s="1"/>
      <c r="T252" s="1">
        <f>SUM(OSRRefT22_24x_0)</f>
        <v>970.04</v>
      </c>
      <c r="U252" s="1"/>
      <c r="V252" s="5">
        <f t="shared" si="133"/>
        <v>1.0214604895867798E-4</v>
      </c>
      <c r="W252" s="1"/>
      <c r="X252" s="1">
        <f t="shared" si="134"/>
        <v>-159.7299999999999</v>
      </c>
      <c r="Y252" s="1"/>
      <c r="Z252" s="5">
        <f t="shared" si="135"/>
        <v>-0.16466331285307814</v>
      </c>
    </row>
    <row r="253" spans="1:26" s="24" customFormat="1" hidden="1" outlineLevel="2" x14ac:dyDescent="0.25">
      <c r="A253" s="25"/>
      <c r="B253" s="11" t="str">
        <f>CONCATENATE("          ", "6292", " - ", "TRAVEL/CONFERENCE")</f>
        <v xml:space="preserve">          6292 - TRAVEL/CONFERENCE</v>
      </c>
      <c r="C253" s="11"/>
      <c r="D253" s="6"/>
      <c r="E253" s="2"/>
      <c r="F253" s="7">
        <f t="shared" si="128"/>
        <v>0</v>
      </c>
      <c r="G253" s="2"/>
      <c r="H253" s="6"/>
      <c r="I253" s="2"/>
      <c r="J253" s="7">
        <f t="shared" si="129"/>
        <v>0</v>
      </c>
      <c r="K253" s="2"/>
      <c r="L253" s="6">
        <f t="shared" si="130"/>
        <v>0</v>
      </c>
      <c r="M253" s="2"/>
      <c r="N253" s="7">
        <f t="shared" si="131"/>
        <v>0</v>
      </c>
      <c r="O253" s="11"/>
      <c r="P253" s="6">
        <v>299.16000000000003</v>
      </c>
      <c r="Q253" s="2"/>
      <c r="R253" s="7">
        <f t="shared" si="132"/>
        <v>7.7102598770462542E-5</v>
      </c>
      <c r="S253" s="2"/>
      <c r="T253" s="6">
        <v>365.6</v>
      </c>
      <c r="U253" s="2"/>
      <c r="V253" s="7">
        <f t="shared" si="133"/>
        <v>3.8497995442757697E-5</v>
      </c>
      <c r="W253" s="2"/>
      <c r="X253" s="6">
        <f t="shared" si="134"/>
        <v>-66.44</v>
      </c>
      <c r="Y253" s="2"/>
      <c r="Z253" s="7">
        <f t="shared" si="135"/>
        <v>-0.18172866520787745</v>
      </c>
    </row>
    <row r="254" spans="1:26" s="24" customFormat="1" hidden="1" outlineLevel="2" x14ac:dyDescent="0.25">
      <c r="A254" s="25"/>
      <c r="B254" s="11" t="str">
        <f>CONCATENATE("          ", "6294", " - ", "TRAVEL OPERATIONAL")</f>
        <v xml:space="preserve">          6294 - TRAVEL OPERATIONAL</v>
      </c>
      <c r="C254" s="11"/>
      <c r="D254" s="6">
        <v>129.38</v>
      </c>
      <c r="E254" s="2"/>
      <c r="F254" s="7">
        <f t="shared" si="128"/>
        <v>1.0975347433835591E-4</v>
      </c>
      <c r="G254" s="2"/>
      <c r="H254" s="6">
        <v>-506.75</v>
      </c>
      <c r="I254" s="2"/>
      <c r="J254" s="7">
        <f t="shared" si="129"/>
        <v>-2.1521508244965194E-4</v>
      </c>
      <c r="K254" s="2"/>
      <c r="L254" s="6">
        <f t="shared" si="130"/>
        <v>636.13</v>
      </c>
      <c r="M254" s="2"/>
      <c r="N254" s="7">
        <f t="shared" si="131"/>
        <v>-1.2553132708436112</v>
      </c>
      <c r="O254" s="11"/>
      <c r="P254" s="6">
        <v>451.26</v>
      </c>
      <c r="Q254" s="2"/>
      <c r="R254" s="7">
        <f t="shared" si="132"/>
        <v>1.163033785304149E-4</v>
      </c>
      <c r="S254" s="2"/>
      <c r="T254" s="6">
        <v>312.19</v>
      </c>
      <c r="U254" s="2"/>
      <c r="V254" s="7">
        <f t="shared" si="133"/>
        <v>3.2873876360160074E-5</v>
      </c>
      <c r="W254" s="2"/>
      <c r="X254" s="6">
        <f t="shared" si="134"/>
        <v>139.07</v>
      </c>
      <c r="Y254" s="2"/>
      <c r="Z254" s="7">
        <f t="shared" si="135"/>
        <v>0.44546590217495752</v>
      </c>
    </row>
    <row r="255" spans="1:26" s="24" customFormat="1" hidden="1" outlineLevel="2" x14ac:dyDescent="0.25">
      <c r="A255" s="25"/>
      <c r="B255" s="11" t="str">
        <f>CONCATENATE("          ", "6298", " - ", "VEHICLE MILEAGE")</f>
        <v xml:space="preserve">          6298 - VEHICLE MILEAGE</v>
      </c>
      <c r="C255" s="11"/>
      <c r="D255" s="6"/>
      <c r="E255" s="2"/>
      <c r="F255" s="7">
        <f t="shared" si="128"/>
        <v>0</v>
      </c>
      <c r="G255" s="2"/>
      <c r="H255" s="6">
        <v>34.69</v>
      </c>
      <c r="I255" s="2"/>
      <c r="J255" s="7">
        <f t="shared" si="129"/>
        <v>1.4732730557826198E-5</v>
      </c>
      <c r="K255" s="2"/>
      <c r="L255" s="6">
        <f t="shared" si="130"/>
        <v>-34.69</v>
      </c>
      <c r="M255" s="2"/>
      <c r="N255" s="7">
        <f t="shared" si="131"/>
        <v>-1</v>
      </c>
      <c r="O255" s="11"/>
      <c r="P255" s="6">
        <v>59.89</v>
      </c>
      <c r="Q255" s="2"/>
      <c r="R255" s="7">
        <f t="shared" si="132"/>
        <v>1.5435468111923387E-5</v>
      </c>
      <c r="S255" s="2"/>
      <c r="T255" s="6">
        <v>292.25</v>
      </c>
      <c r="U255" s="2"/>
      <c r="V255" s="7">
        <f t="shared" si="133"/>
        <v>3.0774177155760216E-5</v>
      </c>
      <c r="W255" s="2"/>
      <c r="X255" s="6">
        <f t="shared" si="134"/>
        <v>-232.36</v>
      </c>
      <c r="Y255" s="2"/>
      <c r="Z255" s="7">
        <f t="shared" si="135"/>
        <v>-0.7950727117194184</v>
      </c>
    </row>
    <row r="256" spans="1:26" s="26" customFormat="1" outlineLevel="1" collapsed="1" x14ac:dyDescent="0.25">
      <c r="A256" s="27"/>
      <c r="B256" s="13" t="str">
        <f>CONCATENATE("     ","Utilities                                         ")</f>
        <v xml:space="preserve">     Utilities                                         </v>
      </c>
      <c r="C256" s="13"/>
      <c r="D256" s="1">
        <f>SUM(OSRRefD22_25x_0)</f>
        <v>7301.61</v>
      </c>
      <c r="E256" s="1"/>
      <c r="F256" s="5">
        <f t="shared" ref="F256:F257" si="136">IF(D$12=0,0,D256/D$12)</f>
        <v>6.1939794849565841E-3</v>
      </c>
      <c r="G256" s="1"/>
      <c r="H256" s="1">
        <f>SUM(OSRRefH22_25x_0)</f>
        <v>7403.14</v>
      </c>
      <c r="I256" s="1"/>
      <c r="J256" s="5">
        <f t="shared" ref="J256:J257" si="137">IF(H$12=0,0,H256/H$12)</f>
        <v>3.1440895618871562E-3</v>
      </c>
      <c r="K256" s="1"/>
      <c r="L256" s="1">
        <f t="shared" ref="L256:L257" si="138">+D256-H256</f>
        <v>-101.53000000000065</v>
      </c>
      <c r="M256" s="1"/>
      <c r="N256" s="5">
        <f t="shared" ref="N256:N257" si="139">IF(H256=0,0,L256/H256)</f>
        <v>-1.3714450895160791E-2</v>
      </c>
      <c r="O256" s="13"/>
      <c r="P256" s="1">
        <f>SUM(OSRRefP22_25x_0)</f>
        <v>47621.03</v>
      </c>
      <c r="Q256" s="1"/>
      <c r="R256" s="5">
        <f t="shared" ref="R256:R257" si="140">IF(P$12=0,0,P256/P$12)</f>
        <v>1.2273382701986092E-2</v>
      </c>
      <c r="S256" s="1"/>
      <c r="T256" s="1">
        <f>SUM(OSRRefT22_25x_0)</f>
        <v>44887.939999999995</v>
      </c>
      <c r="U256" s="1"/>
      <c r="V256" s="5">
        <f t="shared" ref="V256:V257" si="141">IF(T$12=0,0,T256/T$12)</f>
        <v>4.7267388116925069E-3</v>
      </c>
      <c r="W256" s="1"/>
      <c r="X256" s="1">
        <f t="shared" ref="X256:X257" si="142">+P256-T256</f>
        <v>2733.0900000000038</v>
      </c>
      <c r="Y256" s="1"/>
      <c r="Z256" s="5">
        <f t="shared" ref="Z256:Z257" si="143">IF(T256=0,0,X256/T256)</f>
        <v>6.0886955382670804E-2</v>
      </c>
    </row>
    <row r="257" spans="1:26" s="24" customFormat="1" hidden="1" outlineLevel="2" x14ac:dyDescent="0.25">
      <c r="A257" s="25"/>
      <c r="B257" s="11" t="str">
        <f>CONCATENATE("          ", "6274", " - ", "UTILITIES")</f>
        <v xml:space="preserve">          6274 - UTILITIES</v>
      </c>
      <c r="C257" s="11"/>
      <c r="D257" s="6">
        <v>7301.61</v>
      </c>
      <c r="E257" s="2"/>
      <c r="F257" s="7">
        <f t="shared" si="136"/>
        <v>6.1939794849565841E-3</v>
      </c>
      <c r="G257" s="2"/>
      <c r="H257" s="6">
        <v>7403.14</v>
      </c>
      <c r="I257" s="2"/>
      <c r="J257" s="7">
        <f t="shared" si="137"/>
        <v>3.1440895618871562E-3</v>
      </c>
      <c r="K257" s="2"/>
      <c r="L257" s="6">
        <f t="shared" si="138"/>
        <v>-101.53000000000065</v>
      </c>
      <c r="M257" s="2"/>
      <c r="N257" s="7">
        <f t="shared" si="139"/>
        <v>-1.3714450895160791E-2</v>
      </c>
      <c r="O257" s="11"/>
      <c r="P257" s="6">
        <v>47621.03</v>
      </c>
      <c r="Q257" s="2"/>
      <c r="R257" s="7">
        <f t="shared" si="140"/>
        <v>1.2273382701986092E-2</v>
      </c>
      <c r="S257" s="2"/>
      <c r="T257" s="6">
        <v>44887.939999999995</v>
      </c>
      <c r="U257" s="2"/>
      <c r="V257" s="7">
        <f t="shared" si="141"/>
        <v>4.7267388116925069E-3</v>
      </c>
      <c r="W257" s="2"/>
      <c r="X257" s="6">
        <f t="shared" si="142"/>
        <v>2733.0900000000038</v>
      </c>
      <c r="Y257" s="2"/>
      <c r="Z257" s="7">
        <f t="shared" si="143"/>
        <v>6.0886955382670804E-2</v>
      </c>
    </row>
    <row r="258" spans="1:26" s="61" customFormat="1" x14ac:dyDescent="0.25">
      <c r="A258" s="37"/>
      <c r="B258" s="37"/>
      <c r="C258" s="37"/>
      <c r="D258" s="1"/>
      <c r="E258" s="1"/>
      <c r="F258" s="5"/>
      <c r="G258" s="1"/>
      <c r="H258" s="1"/>
      <c r="I258" s="1"/>
      <c r="J258" s="5"/>
      <c r="K258" s="1"/>
      <c r="L258" s="1"/>
      <c r="M258" s="1"/>
      <c r="N258" s="5"/>
      <c r="O258" s="37"/>
      <c r="P258" s="1"/>
      <c r="Q258" s="1"/>
      <c r="R258" s="5"/>
      <c r="S258" s="1"/>
      <c r="T258" s="1"/>
      <c r="U258" s="1"/>
      <c r="V258" s="5"/>
      <c r="W258" s="1"/>
      <c r="X258" s="1"/>
      <c r="Y258" s="1"/>
      <c r="Z258" s="5"/>
    </row>
    <row r="259" spans="1:26" s="23" customFormat="1" collapsed="1" x14ac:dyDescent="0.25">
      <c r="A259" s="10"/>
      <c r="B259" s="29" t="s">
        <v>0</v>
      </c>
      <c r="C259" s="10"/>
      <c r="D259" s="4">
        <f>SUM(OSRRefD25x_0)</f>
        <v>31989.34</v>
      </c>
      <c r="E259" s="4"/>
      <c r="F259" s="12">
        <f t="shared" ref="F259:F268" si="144">IF(D$12=0,0,D259/D$12)</f>
        <v>2.7136661051097098E-2</v>
      </c>
      <c r="G259" s="4"/>
      <c r="H259" s="4">
        <f>SUM(OSRRefH25x_0)</f>
        <v>43280.39</v>
      </c>
      <c r="I259" s="4"/>
      <c r="J259" s="12">
        <f t="shared" ref="J259:J268" si="145">IF(H$12=0,0,H259/H$12)</f>
        <v>1.8381041346429386E-2</v>
      </c>
      <c r="K259" s="4"/>
      <c r="L259" s="4">
        <f t="shared" ref="L259:L268" si="146">+D259-H259</f>
        <v>-11291.05</v>
      </c>
      <c r="M259" s="4"/>
      <c r="N259" s="12">
        <f t="shared" ref="N259:N268" si="147">IF(H259=0,0,L259/H259)</f>
        <v>-0.26088142921078111</v>
      </c>
      <c r="O259" s="10"/>
      <c r="P259" s="4">
        <f>SUM(OSRRefP25x_0)</f>
        <v>576378.61</v>
      </c>
      <c r="Q259" s="4"/>
      <c r="R259" s="12">
        <f t="shared" ref="R259:R268" si="148">IF(P$12=0,0,P259/P$12)</f>
        <v>0.14855023635080525</v>
      </c>
      <c r="S259" s="4"/>
      <c r="T259" s="4">
        <f>SUM(OSRRefT25x_0)</f>
        <v>466746.72</v>
      </c>
      <c r="U259" s="4"/>
      <c r="V259" s="12">
        <f t="shared" ref="V259:V268" si="149">IF(T$12=0,0,T259/T$12)</f>
        <v>4.9148832328999179E-2</v>
      </c>
      <c r="W259" s="4"/>
      <c r="X259" s="4">
        <f t="shared" ref="X259:X268" si="150">+P259-T259</f>
        <v>109631.89000000001</v>
      </c>
      <c r="Y259" s="4"/>
      <c r="Z259" s="12">
        <f t="shared" ref="Z259:Z268" si="151">IF(T259=0,0,X259/T259)</f>
        <v>0.23488518569557387</v>
      </c>
    </row>
    <row r="260" spans="1:26" s="24" customFormat="1" hidden="1" outlineLevel="1" x14ac:dyDescent="0.25">
      <c r="A260" s="44"/>
      <c r="B260" s="11" t="str">
        <f>CONCATENATE("          ", "4098", " - ", "TAXABLE SALES-GRAD RENTALS")</f>
        <v xml:space="preserve">          4098 - TAXABLE SALES-GRAD RENTALS</v>
      </c>
      <c r="C260" s="11"/>
      <c r="D260" s="2">
        <f t="shared" ref="D260:D262" si="152">0</f>
        <v>0</v>
      </c>
      <c r="E260" s="2"/>
      <c r="F260" s="19">
        <f t="shared" si="144"/>
        <v>0</v>
      </c>
      <c r="G260" s="2"/>
      <c r="H260" s="2">
        <f>--320</f>
        <v>320</v>
      </c>
      <c r="I260" s="2"/>
      <c r="J260" s="19">
        <f t="shared" si="145"/>
        <v>1.3590296277037715E-4</v>
      </c>
      <c r="K260" s="2"/>
      <c r="L260" s="2">
        <f t="shared" si="146"/>
        <v>-320</v>
      </c>
      <c r="M260" s="2"/>
      <c r="N260" s="19">
        <f t="shared" si="147"/>
        <v>-1</v>
      </c>
      <c r="O260" s="11"/>
      <c r="P260" s="2">
        <f t="shared" ref="P260:P262" si="153">0</f>
        <v>0</v>
      </c>
      <c r="Q260" s="2"/>
      <c r="R260" s="19">
        <f t="shared" si="148"/>
        <v>0</v>
      </c>
      <c r="S260" s="2"/>
      <c r="T260" s="2">
        <f>--1946.85</f>
        <v>1946.85</v>
      </c>
      <c r="U260" s="2"/>
      <c r="V260" s="19">
        <f t="shared" si="149"/>
        <v>2.0500498475856896E-4</v>
      </c>
      <c r="W260" s="2"/>
      <c r="X260" s="2">
        <f t="shared" si="150"/>
        <v>-1946.85</v>
      </c>
      <c r="Y260" s="2"/>
      <c r="Z260" s="19">
        <f t="shared" si="151"/>
        <v>-1</v>
      </c>
    </row>
    <row r="261" spans="1:26" s="24" customFormat="1" hidden="1" outlineLevel="1" x14ac:dyDescent="0.25">
      <c r="A261" s="44"/>
      <c r="B261" s="11" t="str">
        <f>CONCATENATE("          ", "4197", " - ", "NON-TAXABLE SALES-RETURNED CHE")</f>
        <v xml:space="preserve">          4197 - NON-TAXABLE SALES-RETURNED CHE</v>
      </c>
      <c r="C261" s="11"/>
      <c r="D261" s="2">
        <f t="shared" si="152"/>
        <v>0</v>
      </c>
      <c r="E261" s="2"/>
      <c r="F261" s="19">
        <f t="shared" si="144"/>
        <v>0</v>
      </c>
      <c r="G261" s="2"/>
      <c r="H261" s="2">
        <f>0</f>
        <v>0</v>
      </c>
      <c r="I261" s="2"/>
      <c r="J261" s="19">
        <f t="shared" si="145"/>
        <v>0</v>
      </c>
      <c r="K261" s="2"/>
      <c r="L261" s="2">
        <f t="shared" si="146"/>
        <v>0</v>
      </c>
      <c r="M261" s="2"/>
      <c r="N261" s="19">
        <f t="shared" si="147"/>
        <v>0</v>
      </c>
      <c r="O261" s="11"/>
      <c r="P261" s="2">
        <f t="shared" si="153"/>
        <v>0</v>
      </c>
      <c r="Q261" s="2"/>
      <c r="R261" s="19">
        <f t="shared" si="148"/>
        <v>0</v>
      </c>
      <c r="S261" s="2"/>
      <c r="T261" s="2">
        <f>--30</f>
        <v>30</v>
      </c>
      <c r="U261" s="2"/>
      <c r="V261" s="19">
        <f t="shared" si="149"/>
        <v>3.1590258842525459E-6</v>
      </c>
      <c r="W261" s="2"/>
      <c r="X261" s="2">
        <f t="shared" si="150"/>
        <v>-30</v>
      </c>
      <c r="Y261" s="2"/>
      <c r="Z261" s="19">
        <f t="shared" si="151"/>
        <v>-1</v>
      </c>
    </row>
    <row r="262" spans="1:26" s="24" customFormat="1" hidden="1" outlineLevel="1" x14ac:dyDescent="0.25">
      <c r="A262" s="44"/>
      <c r="B262" s="11" t="str">
        <f>CONCATENATE("          ", "4198", " - ", "NON-TAXABLE SALES-GRAD RENTALS")</f>
        <v xml:space="preserve">          4198 - NON-TAXABLE SALES-GRAD RENTALS</v>
      </c>
      <c r="C262" s="11"/>
      <c r="D262" s="2">
        <f t="shared" si="152"/>
        <v>0</v>
      </c>
      <c r="E262" s="2"/>
      <c r="F262" s="19">
        <f t="shared" si="144"/>
        <v>0</v>
      </c>
      <c r="G262" s="2"/>
      <c r="H262" s="2">
        <f>--3237.1</f>
        <v>3237.1</v>
      </c>
      <c r="I262" s="2"/>
      <c r="J262" s="19">
        <f t="shared" si="145"/>
        <v>1.3747858774499622E-3</v>
      </c>
      <c r="K262" s="2"/>
      <c r="L262" s="2">
        <f t="shared" si="146"/>
        <v>-3237.1</v>
      </c>
      <c r="M262" s="2"/>
      <c r="N262" s="19">
        <f t="shared" si="147"/>
        <v>-1</v>
      </c>
      <c r="O262" s="11"/>
      <c r="P262" s="2">
        <f t="shared" si="153"/>
        <v>0</v>
      </c>
      <c r="Q262" s="2"/>
      <c r="R262" s="19">
        <f t="shared" si="148"/>
        <v>0</v>
      </c>
      <c r="S262" s="2"/>
      <c r="T262" s="2">
        <f>--3732.1</f>
        <v>3732.1</v>
      </c>
      <c r="U262" s="2"/>
      <c r="V262" s="19">
        <f t="shared" si="149"/>
        <v>3.9299335008729754E-4</v>
      </c>
      <c r="W262" s="2"/>
      <c r="X262" s="2">
        <f t="shared" si="150"/>
        <v>-3732.1</v>
      </c>
      <c r="Y262" s="2"/>
      <c r="Z262" s="19">
        <f t="shared" si="151"/>
        <v>-1</v>
      </c>
    </row>
    <row r="263" spans="1:26" s="24" customFormat="1" hidden="1" outlineLevel="1" x14ac:dyDescent="0.25">
      <c r="A263" s="44"/>
      <c r="B263" s="11" t="str">
        <f>CONCATENATE("          ", "9150", " - ", "MISC. INCOME")</f>
        <v xml:space="preserve">          9150 - MISC. INCOME</v>
      </c>
      <c r="C263" s="11"/>
      <c r="D263" s="2">
        <f>--29871.01</f>
        <v>29871.01</v>
      </c>
      <c r="E263" s="2"/>
      <c r="F263" s="19">
        <f t="shared" si="144"/>
        <v>2.533967482992559E-2</v>
      </c>
      <c r="G263" s="2"/>
      <c r="H263" s="2">
        <f>--40793.32</f>
        <v>40793.32</v>
      </c>
      <c r="I263" s="2"/>
      <c r="J263" s="19">
        <f t="shared" si="145"/>
        <v>1.7324790778875256E-2</v>
      </c>
      <c r="K263" s="2"/>
      <c r="L263" s="2">
        <f t="shared" si="146"/>
        <v>-10922.310000000001</v>
      </c>
      <c r="M263" s="2"/>
      <c r="N263" s="19">
        <f t="shared" si="147"/>
        <v>-0.26774751356349524</v>
      </c>
      <c r="O263" s="11"/>
      <c r="P263" s="2">
        <f>--248483.12</f>
        <v>248483.12</v>
      </c>
      <c r="Q263" s="2"/>
      <c r="R263" s="19">
        <f t="shared" si="148"/>
        <v>6.4041630908519498E-2</v>
      </c>
      <c r="S263" s="2"/>
      <c r="T263" s="2">
        <f>--286352.98</f>
        <v>286352.98</v>
      </c>
      <c r="U263" s="2"/>
      <c r="V263" s="19">
        <f t="shared" si="149"/>
        <v>3.0153215861761718E-2</v>
      </c>
      <c r="W263" s="2"/>
      <c r="X263" s="2">
        <f t="shared" si="150"/>
        <v>-37869.859999999986</v>
      </c>
      <c r="Y263" s="2"/>
      <c r="Z263" s="19">
        <f t="shared" si="151"/>
        <v>-0.13224887689312675</v>
      </c>
    </row>
    <row r="264" spans="1:26" s="24" customFormat="1" hidden="1" outlineLevel="1" x14ac:dyDescent="0.25">
      <c r="A264" s="44"/>
      <c r="B264" s="11" t="str">
        <f>CONCATENATE("          ", "9151", " - ", "MISC. INCOME")</f>
        <v xml:space="preserve">          9151 - MISC. INCOME</v>
      </c>
      <c r="C264" s="11"/>
      <c r="D264" s="2">
        <f>--1972</f>
        <v>1972</v>
      </c>
      <c r="E264" s="2"/>
      <c r="F264" s="19">
        <f t="shared" si="144"/>
        <v>1.6728540067648622E-3</v>
      </c>
      <c r="G264" s="2"/>
      <c r="H264" s="2">
        <f>-1539.13</f>
        <v>-1539.13</v>
      </c>
      <c r="I264" s="2"/>
      <c r="J264" s="19">
        <f t="shared" si="145"/>
        <v>-6.5366352215240819E-4</v>
      </c>
      <c r="K264" s="2"/>
      <c r="L264" s="2">
        <f t="shared" si="146"/>
        <v>3511.13</v>
      </c>
      <c r="M264" s="2"/>
      <c r="N264" s="19">
        <f t="shared" si="147"/>
        <v>-2.2812432997862429</v>
      </c>
      <c r="O264" s="11"/>
      <c r="P264" s="2">
        <f>--149257.39</f>
        <v>149257.39000000001</v>
      </c>
      <c r="Q264" s="2"/>
      <c r="R264" s="19">
        <f t="shared" si="148"/>
        <v>3.8468153010751592E-2</v>
      </c>
      <c r="S264" s="2"/>
      <c r="T264" s="2">
        <f>--85953.38</f>
        <v>85953.38</v>
      </c>
      <c r="U264" s="2"/>
      <c r="V264" s="19">
        <f t="shared" si="149"/>
        <v>9.0509650752998369E-3</v>
      </c>
      <c r="W264" s="2"/>
      <c r="X264" s="2">
        <f t="shared" si="150"/>
        <v>63304.010000000009</v>
      </c>
      <c r="Y264" s="2"/>
      <c r="Z264" s="19">
        <f t="shared" si="151"/>
        <v>0.73649238691951391</v>
      </c>
    </row>
    <row r="265" spans="1:26" s="24" customFormat="1" hidden="1" outlineLevel="1" x14ac:dyDescent="0.25">
      <c r="A265" s="44"/>
      <c r="B265" s="11" t="str">
        <f>CONCATENATE("          ", "9152", " - ", "MISC. INCOME")</f>
        <v xml:space="preserve">          9152 - MISC. INCOME</v>
      </c>
      <c r="C265" s="11"/>
      <c r="D265" s="2">
        <f>--146.33</f>
        <v>146.33000000000001</v>
      </c>
      <c r="E265" s="2"/>
      <c r="F265" s="19">
        <f t="shared" si="144"/>
        <v>1.2413221440664416E-4</v>
      </c>
      <c r="G265" s="2"/>
      <c r="H265" s="2">
        <f>--469.1</f>
        <v>469.1</v>
      </c>
      <c r="I265" s="2"/>
      <c r="J265" s="19">
        <f t="shared" si="145"/>
        <v>1.9922524948619977E-4</v>
      </c>
      <c r="K265" s="2"/>
      <c r="L265" s="2">
        <f t="shared" si="146"/>
        <v>-322.77</v>
      </c>
      <c r="M265" s="2"/>
      <c r="N265" s="19">
        <f t="shared" si="147"/>
        <v>-0.68806224685568107</v>
      </c>
      <c r="O265" s="11"/>
      <c r="P265" s="2">
        <f>--3232.26</f>
        <v>3232.26</v>
      </c>
      <c r="Q265" s="2"/>
      <c r="R265" s="19">
        <f t="shared" si="148"/>
        <v>8.3305136349049076E-4</v>
      </c>
      <c r="S265" s="2"/>
      <c r="T265" s="2">
        <f>--4699.86</f>
        <v>4699.8599999999997</v>
      </c>
      <c r="U265" s="2"/>
      <c r="V265" s="19">
        <f t="shared" si="149"/>
        <v>4.9489931307877236E-4</v>
      </c>
      <c r="W265" s="2"/>
      <c r="X265" s="2">
        <f t="shared" si="150"/>
        <v>-1467.5999999999995</v>
      </c>
      <c r="Y265" s="2"/>
      <c r="Z265" s="19">
        <f t="shared" si="151"/>
        <v>-0.31226462064827454</v>
      </c>
    </row>
    <row r="266" spans="1:26" s="24" customFormat="1" hidden="1" outlineLevel="1" x14ac:dyDescent="0.25">
      <c r="A266" s="44"/>
      <c r="B266" s="11" t="str">
        <f>CONCATENATE("          ", "9153", " - ", "MISC. INCOME")</f>
        <v xml:space="preserve">          9153 - MISC. INCOME</v>
      </c>
      <c r="C266" s="11"/>
      <c r="D266" s="2">
        <f t="shared" ref="D266:D268" si="154">0</f>
        <v>0</v>
      </c>
      <c r="E266" s="2"/>
      <c r="F266" s="19">
        <f t="shared" si="144"/>
        <v>0</v>
      </c>
      <c r="G266" s="2"/>
      <c r="H266" s="2">
        <f t="shared" ref="H266:H268" si="155">0</f>
        <v>0</v>
      </c>
      <c r="I266" s="2"/>
      <c r="J266" s="19">
        <f t="shared" si="145"/>
        <v>0</v>
      </c>
      <c r="K266" s="2"/>
      <c r="L266" s="2">
        <f t="shared" si="146"/>
        <v>0</v>
      </c>
      <c r="M266" s="2"/>
      <c r="N266" s="19">
        <f t="shared" si="147"/>
        <v>0</v>
      </c>
      <c r="O266" s="11"/>
      <c r="P266" s="2">
        <f t="shared" ref="P266:P267" si="156">0</f>
        <v>0</v>
      </c>
      <c r="Q266" s="2"/>
      <c r="R266" s="19">
        <f t="shared" si="148"/>
        <v>0</v>
      </c>
      <c r="S266" s="2"/>
      <c r="T266" s="2">
        <f>--450</f>
        <v>450</v>
      </c>
      <c r="U266" s="2"/>
      <c r="V266" s="19">
        <f t="shared" si="149"/>
        <v>4.7385388263788187E-5</v>
      </c>
      <c r="W266" s="2"/>
      <c r="X266" s="2">
        <f t="shared" si="150"/>
        <v>-450</v>
      </c>
      <c r="Y266" s="2"/>
      <c r="Z266" s="19">
        <f t="shared" si="151"/>
        <v>-1</v>
      </c>
    </row>
    <row r="267" spans="1:26" s="24" customFormat="1" hidden="1" outlineLevel="1" x14ac:dyDescent="0.25">
      <c r="A267" s="44"/>
      <c r="B267" s="11" t="str">
        <f>CONCATENATE("          ", "9160", " - ", "MISC. INCOME")</f>
        <v xml:space="preserve">          9160 - MISC. INCOME</v>
      </c>
      <c r="C267" s="11"/>
      <c r="D267" s="2">
        <f t="shared" si="154"/>
        <v>0</v>
      </c>
      <c r="E267" s="2"/>
      <c r="F267" s="19">
        <f t="shared" si="144"/>
        <v>0</v>
      </c>
      <c r="G267" s="2"/>
      <c r="H267" s="2">
        <f t="shared" si="155"/>
        <v>0</v>
      </c>
      <c r="I267" s="2"/>
      <c r="J267" s="19">
        <f t="shared" si="145"/>
        <v>0</v>
      </c>
      <c r="K267" s="2"/>
      <c r="L267" s="2">
        <f t="shared" si="146"/>
        <v>0</v>
      </c>
      <c r="M267" s="2"/>
      <c r="N267" s="19">
        <f t="shared" si="147"/>
        <v>0</v>
      </c>
      <c r="O267" s="11"/>
      <c r="P267" s="2">
        <f t="shared" si="156"/>
        <v>0</v>
      </c>
      <c r="Q267" s="2"/>
      <c r="R267" s="19">
        <f t="shared" si="148"/>
        <v>0</v>
      </c>
      <c r="S267" s="2"/>
      <c r="T267" s="2">
        <f>--22475</f>
        <v>22475</v>
      </c>
      <c r="U267" s="2"/>
      <c r="V267" s="19">
        <f t="shared" si="149"/>
        <v>2.3666368916191991E-3</v>
      </c>
      <c r="W267" s="2"/>
      <c r="X267" s="2">
        <f t="shared" si="150"/>
        <v>-22475</v>
      </c>
      <c r="Y267" s="2"/>
      <c r="Z267" s="19">
        <f t="shared" si="151"/>
        <v>-1</v>
      </c>
    </row>
    <row r="268" spans="1:26" s="24" customFormat="1" hidden="1" outlineLevel="1" x14ac:dyDescent="0.25">
      <c r="A268" s="44"/>
      <c r="B268" s="11" t="str">
        <f>CONCATENATE("          ", "9163", " - ", "MISC. INCOME")</f>
        <v xml:space="preserve">          9163 - MISC. INCOME</v>
      </c>
      <c r="C268" s="11"/>
      <c r="D268" s="2">
        <f t="shared" si="154"/>
        <v>0</v>
      </c>
      <c r="E268" s="2"/>
      <c r="F268" s="19">
        <f t="shared" si="144"/>
        <v>0</v>
      </c>
      <c r="G268" s="2"/>
      <c r="H268" s="2">
        <f t="shared" si="155"/>
        <v>0</v>
      </c>
      <c r="I268" s="2"/>
      <c r="J268" s="19">
        <f t="shared" si="145"/>
        <v>0</v>
      </c>
      <c r="K268" s="2"/>
      <c r="L268" s="2">
        <f t="shared" si="146"/>
        <v>0</v>
      </c>
      <c r="M268" s="2"/>
      <c r="N268" s="19">
        <f t="shared" si="147"/>
        <v>0</v>
      </c>
      <c r="O268" s="11"/>
      <c r="P268" s="2">
        <f>--175405.84</f>
        <v>175405.84</v>
      </c>
      <c r="Q268" s="2"/>
      <c r="R268" s="19">
        <f t="shared" si="148"/>
        <v>4.5207401068043676E-2</v>
      </c>
      <c r="S268" s="2"/>
      <c r="T268" s="2">
        <f>--61106.55</f>
        <v>61106.55</v>
      </c>
      <c r="U268" s="2"/>
      <c r="V268" s="19">
        <f t="shared" si="149"/>
        <v>6.4345724382457474E-3</v>
      </c>
      <c r="W268" s="2"/>
      <c r="X268" s="2">
        <f t="shared" si="150"/>
        <v>114299.29</v>
      </c>
      <c r="Y268" s="2"/>
      <c r="Z268" s="19">
        <f t="shared" si="151"/>
        <v>1.8704916248749108</v>
      </c>
    </row>
    <row r="269" spans="1:26" x14ac:dyDescent="0.25">
      <c r="A269" s="9"/>
      <c r="B269" s="10"/>
      <c r="C269" s="10"/>
      <c r="D269" s="3"/>
      <c r="E269" s="3"/>
      <c r="F269" s="8"/>
      <c r="G269" s="3"/>
      <c r="H269" s="3"/>
      <c r="I269" s="3"/>
      <c r="J269" s="8"/>
      <c r="K269" s="3"/>
      <c r="L269" s="3"/>
      <c r="M269" s="3"/>
      <c r="N269" s="8"/>
      <c r="O269" s="10"/>
      <c r="P269" s="3"/>
      <c r="Q269" s="3"/>
      <c r="R269" s="8"/>
      <c r="S269" s="3"/>
      <c r="T269" s="3"/>
      <c r="U269" s="3"/>
      <c r="V269" s="8"/>
      <c r="W269" s="3"/>
      <c r="X269" s="3"/>
      <c r="Y269" s="3"/>
      <c r="Z269" s="8"/>
    </row>
    <row r="270" spans="1:26" s="23" customFormat="1" x14ac:dyDescent="0.25">
      <c r="A270" s="10"/>
      <c r="B270" s="28" t="s">
        <v>3</v>
      </c>
      <c r="C270" s="28"/>
      <c r="D270" s="20">
        <f>+D164-D166+D259</f>
        <v>124558.21999999977</v>
      </c>
      <c r="E270" s="14"/>
      <c r="F270" s="22">
        <f>IF(D$12=0,0,D270/D$12)</f>
        <v>0.1056631426990359</v>
      </c>
      <c r="G270" s="14"/>
      <c r="H270" s="20">
        <f>+H164-H166+H259</f>
        <v>556074.81000000029</v>
      </c>
      <c r="I270" s="14"/>
      <c r="J270" s="22">
        <f>IF(H$12=0,0,H270/H$12)</f>
        <v>0.2361631693780456</v>
      </c>
      <c r="K270" s="15"/>
      <c r="L270" s="20">
        <f>+D270-H270</f>
        <v>-431516.59000000055</v>
      </c>
      <c r="M270" s="15"/>
      <c r="N270" s="22">
        <f>IF(H270=0,0,L270/H270)</f>
        <v>-0.77600456312703736</v>
      </c>
      <c r="O270" s="29"/>
      <c r="P270" s="20">
        <f>+P164-P166+P259</f>
        <v>-153043.5900000009</v>
      </c>
      <c r="Q270" s="14"/>
      <c r="R270" s="22">
        <f>IF(P$12=0,0,P270/P$12)</f>
        <v>-3.9443971500739541E-2</v>
      </c>
      <c r="S270" s="14"/>
      <c r="T270" s="20">
        <f>+T164-T166+T259</f>
        <v>1248071.8799999899</v>
      </c>
      <c r="U270" s="14"/>
      <c r="V270" s="22">
        <f>IF(T$12=0,0,T270/T$12)</f>
        <v>0.13142304581092351</v>
      </c>
      <c r="W270" s="15"/>
      <c r="X270" s="20">
        <f>+P270-T270</f>
        <v>-1401115.4699999909</v>
      </c>
      <c r="Y270" s="15"/>
      <c r="Z270" s="22">
        <f>IF(T270=0,0,X270/T270)</f>
        <v>-1.1226240190589041</v>
      </c>
    </row>
    <row r="271" spans="1:26" x14ac:dyDescent="0.25">
      <c r="A271" s="9"/>
      <c r="B271" s="10"/>
      <c r="C271" s="9"/>
      <c r="D271" s="3"/>
      <c r="E271" s="3"/>
      <c r="F271" s="8"/>
      <c r="G271" s="3"/>
      <c r="H271" s="3"/>
      <c r="I271" s="3"/>
      <c r="J271" s="8"/>
      <c r="K271" s="3"/>
      <c r="L271" s="3"/>
      <c r="M271" s="3"/>
      <c r="N271" s="8"/>
      <c r="P271" s="3"/>
      <c r="Q271" s="3"/>
      <c r="R271" s="8"/>
      <c r="S271" s="3"/>
      <c r="T271" s="3"/>
      <c r="U271" s="3"/>
      <c r="V271" s="8"/>
      <c r="W271" s="3"/>
      <c r="X271" s="3"/>
      <c r="Y271" s="3"/>
      <c r="Z271" s="8"/>
    </row>
    <row r="272" spans="1:26" s="23" customFormat="1" x14ac:dyDescent="0.25">
      <c r="A272" s="51"/>
      <c r="B272" s="10" t="s">
        <v>13</v>
      </c>
      <c r="C272" s="10"/>
      <c r="D272" s="4">
        <v>204547.76</v>
      </c>
      <c r="E272" s="4"/>
      <c r="F272" s="12">
        <f>IF(D$12=0,0,D272/D$12)</f>
        <v>0.17351852935637799</v>
      </c>
      <c r="G272" s="4"/>
      <c r="H272" s="4">
        <v>218972.16</v>
      </c>
      <c r="I272" s="4"/>
      <c r="J272" s="12">
        <f>IF(H$12=0,0,H272/H$12)</f>
        <v>9.2996766588215846E-2</v>
      </c>
      <c r="K272" s="4"/>
      <c r="L272" s="4">
        <f>+D272-H272</f>
        <v>-14424.399999999994</v>
      </c>
      <c r="M272" s="4"/>
      <c r="N272" s="12">
        <f>IF(H272=0,0,L272/H272)</f>
        <v>-6.5873214202207236E-2</v>
      </c>
      <c r="O272" s="10"/>
      <c r="P272" s="4">
        <v>704327.16</v>
      </c>
      <c r="Q272" s="4"/>
      <c r="R272" s="12">
        <f>IF(P$12=0,0,P272/P$12)</f>
        <v>0.18152645547740129</v>
      </c>
      <c r="S272" s="4"/>
      <c r="T272" s="4">
        <v>990360.7</v>
      </c>
      <c r="U272" s="4"/>
      <c r="V272" s="12">
        <f>IF(T$12=0,0,T272/T$12)</f>
        <v>0.10428583620154901</v>
      </c>
      <c r="W272" s="4"/>
      <c r="X272" s="4">
        <f>+P272-T272</f>
        <v>-286033.53999999992</v>
      </c>
      <c r="Y272" s="4"/>
      <c r="Z272" s="12">
        <f>IF(T272=0,0,X272/T272)</f>
        <v>-0.28881753890274514</v>
      </c>
    </row>
    <row r="273" spans="1:26" x14ac:dyDescent="0.25">
      <c r="A273" s="9"/>
      <c r="B273" s="10"/>
      <c r="C273" s="10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O273" s="10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s="23" customFormat="1" ht="15.75" thickBot="1" x14ac:dyDescent="0.3">
      <c r="A274" s="10"/>
      <c r="B274" s="28" t="s">
        <v>4</v>
      </c>
      <c r="C274" s="28"/>
      <c r="D274" s="30">
        <f>+D270-D272</f>
        <v>-79989.540000000241</v>
      </c>
      <c r="E274" s="14"/>
      <c r="F274" s="36">
        <f>IF(D$12=0,0,D274/D$12)</f>
        <v>-6.7855386657342101E-2</v>
      </c>
      <c r="G274" s="14"/>
      <c r="H274" s="30">
        <f>+H270-H272</f>
        <v>337102.65000000026</v>
      </c>
      <c r="I274" s="14"/>
      <c r="J274" s="36">
        <f>IF(H$12=0,0,H274/H$12)</f>
        <v>0.14316640278982973</v>
      </c>
      <c r="K274" s="15"/>
      <c r="L274" s="30">
        <f>D274-H274</f>
        <v>-417092.19000000053</v>
      </c>
      <c r="M274" s="15"/>
      <c r="N274" s="36">
        <f>IF(H274=0,0,L274/H274)</f>
        <v>-1.2372854084653448</v>
      </c>
      <c r="O274" s="29"/>
      <c r="P274" s="30">
        <f>+P270-P272</f>
        <v>-857370.75000000093</v>
      </c>
      <c r="Q274" s="14"/>
      <c r="R274" s="36">
        <f>IF(P$12=0,0,P274/P$12)</f>
        <v>-0.22097042697814082</v>
      </c>
      <c r="S274" s="14"/>
      <c r="T274" s="30">
        <f>+T270-T272</f>
        <v>257711.17999998992</v>
      </c>
      <c r="U274" s="14"/>
      <c r="V274" s="36">
        <f>IF(T$12=0,0,T274/T$12)</f>
        <v>2.7137209609374508E-2</v>
      </c>
      <c r="W274" s="15"/>
      <c r="X274" s="30">
        <f>P274-T274</f>
        <v>-1115081.9299999909</v>
      </c>
      <c r="Y274" s="15"/>
      <c r="Z274" s="36">
        <f>IF(T274=0,0,X274/T274)</f>
        <v>-4.3268667273186772</v>
      </c>
    </row>
    <row r="275" spans="1:26" ht="15.75" thickTop="1" x14ac:dyDescent="0.25">
      <c r="A275" s="9"/>
      <c r="B275" s="9"/>
      <c r="C275" s="9"/>
      <c r="D275" s="3"/>
      <c r="E275" s="3"/>
      <c r="F275" s="8"/>
      <c r="G275" s="3"/>
      <c r="H275" s="3"/>
      <c r="I275" s="3"/>
      <c r="J275" s="8"/>
      <c r="K275" s="3"/>
      <c r="L275" s="3"/>
      <c r="M275" s="3"/>
      <c r="N275" s="8"/>
      <c r="P275" s="3"/>
      <c r="Q275" s="3"/>
      <c r="R275" s="8"/>
      <c r="S275" s="3"/>
      <c r="T275" s="3"/>
      <c r="U275" s="3"/>
      <c r="V275" s="8"/>
      <c r="W275" s="3"/>
      <c r="X275" s="3"/>
      <c r="Y275" s="3"/>
      <c r="Z275" s="8"/>
    </row>
    <row r="276" spans="1:26" x14ac:dyDescent="0.25">
      <c r="A276" s="9"/>
      <c r="B276" s="9"/>
      <c r="C276" s="9"/>
      <c r="D276" s="3"/>
      <c r="E276" s="3"/>
      <c r="F276" s="8"/>
      <c r="G276" s="3"/>
      <c r="H276" s="3"/>
      <c r="I276" s="3"/>
      <c r="J276" s="8"/>
      <c r="K276" s="3"/>
      <c r="L276" s="3"/>
      <c r="M276" s="3"/>
      <c r="N276" s="8"/>
      <c r="P276" s="3"/>
      <c r="Q276" s="3"/>
      <c r="R276" s="8"/>
      <c r="S276" s="3"/>
      <c r="T276" s="3"/>
      <c r="U276" s="3"/>
      <c r="V276" s="8"/>
      <c r="W276" s="3"/>
      <c r="X276" s="3"/>
      <c r="Y276" s="3"/>
      <c r="Z276" s="8"/>
    </row>
    <row r="277" spans="1:26" s="23" customFormat="1" ht="15.75" thickBot="1" x14ac:dyDescent="0.3">
      <c r="A277" s="10"/>
      <c r="B277" s="28" t="s">
        <v>5</v>
      </c>
      <c r="C277" s="28"/>
      <c r="D277" s="32">
        <f>SUM(D274:D276)</f>
        <v>-79989.540000000241</v>
      </c>
      <c r="E277" s="14"/>
      <c r="F277" s="31">
        <f>IF(D$12=0,0,D277/D$12)</f>
        <v>-6.7855386657342101E-2</v>
      </c>
      <c r="G277" s="14"/>
      <c r="H277" s="32">
        <f>SUM(H274:H276)</f>
        <v>337102.65000000026</v>
      </c>
      <c r="I277" s="14"/>
      <c r="J277" s="31">
        <f>IF(H$12=0,0,H277/H$12)</f>
        <v>0.14316640278982973</v>
      </c>
      <c r="K277" s="15"/>
      <c r="L277" s="32">
        <f>+D277-H277</f>
        <v>-417092.19000000053</v>
      </c>
      <c r="M277" s="15"/>
      <c r="N277" s="31">
        <f>IF(H277=0,0,L277/H277)</f>
        <v>-1.2372854084653448</v>
      </c>
      <c r="O277" s="29"/>
      <c r="P277" s="32">
        <f>SUM(P274:P276)</f>
        <v>-857370.75000000093</v>
      </c>
      <c r="Q277" s="14"/>
      <c r="R277" s="31">
        <f>IF(P$12=0,0,P277/P$12)</f>
        <v>-0.22097042697814082</v>
      </c>
      <c r="S277" s="14"/>
      <c r="T277" s="32">
        <f>SUM(T274:T276)</f>
        <v>257711.17999998992</v>
      </c>
      <c r="U277" s="14"/>
      <c r="V277" s="31">
        <f>IF(T$12=0,0,T277/T$12)</f>
        <v>2.7137209609374508E-2</v>
      </c>
      <c r="W277" s="15"/>
      <c r="X277" s="32">
        <f>+P277-T277</f>
        <v>-1115081.9299999909</v>
      </c>
      <c r="Y277" s="15"/>
      <c r="Z277" s="31">
        <f>IF(T277=0,0,X277/T277)</f>
        <v>-4.3268667273186772</v>
      </c>
    </row>
    <row r="278" spans="1:26" ht="15.75" thickTop="1" x14ac:dyDescent="0.25">
      <c r="A278" s="9"/>
      <c r="C278" s="9"/>
      <c r="D278" s="18"/>
      <c r="E278" s="18"/>
      <c r="G278" s="18"/>
      <c r="H278" s="18"/>
      <c r="I278" s="18"/>
      <c r="J278" s="42"/>
      <c r="K278" s="18"/>
      <c r="L278" s="18"/>
      <c r="M278" s="18"/>
      <c r="P278" s="18"/>
      <c r="Q278" s="18"/>
      <c r="R278" s="42"/>
      <c r="S278" s="18"/>
      <c r="T278" s="18"/>
      <c r="U278" s="18"/>
      <c r="V278" s="42"/>
      <c r="W278" s="18"/>
      <c r="X278" s="18"/>
    </row>
    <row r="279" spans="1:26" x14ac:dyDescent="0.25">
      <c r="A279" s="9"/>
      <c r="B279" s="62">
        <v>44238.495782951388</v>
      </c>
      <c r="D279" s="18"/>
      <c r="E279" s="18"/>
      <c r="G279" s="18"/>
      <c r="H279" s="18"/>
      <c r="I279" s="18"/>
      <c r="J279" s="42"/>
      <c r="K279" s="18"/>
      <c r="L279" s="18"/>
      <c r="M279" s="18"/>
      <c r="P279" s="18"/>
      <c r="Q279" s="18"/>
      <c r="R279" s="42"/>
      <c r="S279" s="18"/>
      <c r="T279" s="18"/>
      <c r="U279" s="18"/>
      <c r="V279" s="42"/>
      <c r="W279" s="18"/>
      <c r="X279" s="18"/>
    </row>
    <row r="280" spans="1:26" x14ac:dyDescent="0.25">
      <c r="A280" s="9"/>
      <c r="B280" s="59" t="s">
        <v>313</v>
      </c>
      <c r="D280" s="18"/>
      <c r="E280" s="18"/>
      <c r="G280" s="18"/>
      <c r="H280" s="18"/>
      <c r="I280" s="18"/>
      <c r="J280" s="42"/>
      <c r="K280" s="18"/>
      <c r="L280" s="18"/>
      <c r="M280" s="18"/>
      <c r="P280" s="18"/>
      <c r="Q280" s="18"/>
      <c r="R280" s="42"/>
      <c r="S280" s="18"/>
      <c r="T280" s="18"/>
      <c r="U280" s="18"/>
      <c r="V280" s="42"/>
      <c r="W280" s="18"/>
      <c r="X280" s="18"/>
    </row>
    <row r="281" spans="1:26" x14ac:dyDescent="0.25">
      <c r="A281" s="9"/>
      <c r="B281" s="56"/>
      <c r="D281" s="18"/>
      <c r="E281" s="18"/>
      <c r="G281" s="18"/>
      <c r="H281" s="18"/>
      <c r="I281" s="18"/>
      <c r="J281" s="42"/>
      <c r="K281" s="18"/>
      <c r="L281" s="18"/>
      <c r="M281" s="18"/>
      <c r="P281" s="18"/>
      <c r="Q281" s="18"/>
      <c r="R281" s="42"/>
      <c r="S281" s="18"/>
      <c r="T281" s="18"/>
      <c r="U281" s="18"/>
      <c r="V281" s="42"/>
      <c r="W281" s="18"/>
      <c r="X281" s="18"/>
    </row>
    <row r="282" spans="1:26" x14ac:dyDescent="0.25">
      <c r="D282" s="18"/>
      <c r="E282" s="18"/>
      <c r="G282" s="18"/>
      <c r="H282" s="18"/>
      <c r="I282" s="18"/>
      <c r="J282" s="42"/>
      <c r="K282" s="18"/>
      <c r="L282" s="18"/>
      <c r="M282" s="18"/>
      <c r="P282" s="18"/>
      <c r="Q282" s="18"/>
      <c r="R282" s="42"/>
      <c r="S282" s="18"/>
      <c r="T282" s="18"/>
      <c r="U282" s="18"/>
      <c r="V282" s="42"/>
      <c r="W282" s="18"/>
      <c r="X282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7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308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1178823.73</v>
      </c>
      <c r="E12" s="4"/>
      <c r="F12" s="12"/>
      <c r="G12" s="4"/>
      <c r="H12" s="4">
        <f>SUM(OSRRefH13x_0)</f>
        <v>2173430.3299999996</v>
      </c>
      <c r="I12" s="4"/>
      <c r="J12" s="12"/>
      <c r="K12" s="4"/>
      <c r="L12" s="4">
        <f t="shared" ref="L12:L105" si="0">+D12-H12</f>
        <v>-994606.59999999963</v>
      </c>
      <c r="M12" s="4"/>
      <c r="N12" s="12">
        <f t="shared" ref="N12:N105" si="1">IF(H12=0,0,L12/H12)</f>
        <v>-0.45762064984158007</v>
      </c>
      <c r="O12" s="10"/>
      <c r="P12" s="4">
        <f>SUM(OSRRefP13x_0)</f>
        <v>3877438.3899999997</v>
      </c>
      <c r="Q12" s="4"/>
      <c r="R12" s="12"/>
      <c r="S12" s="4"/>
      <c r="T12" s="4">
        <f>SUM(OSRRefT13x_0)</f>
        <v>7688614.6399999969</v>
      </c>
      <c r="U12" s="4"/>
      <c r="V12" s="12"/>
      <c r="W12" s="4"/>
      <c r="X12" s="4">
        <f t="shared" ref="X12:X105" si="2">+P12-T12</f>
        <v>-3811176.2499999972</v>
      </c>
      <c r="Y12" s="4"/>
      <c r="Z12" s="12">
        <f t="shared" ref="Z12:Z105" si="3">IF(T12=0,0,X12/T12)</f>
        <v>-0.49569089211109152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-12178.94</f>
        <v>-12178.94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-12178.94</v>
      </c>
      <c r="M13" s="2"/>
      <c r="N13" s="19">
        <f t="shared" si="1"/>
        <v>0</v>
      </c>
      <c r="O13" s="11"/>
      <c r="P13" s="2">
        <f>-101008.03</f>
        <v>-101008.03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-101008.03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--459430.32</f>
        <v>459430.32</v>
      </c>
      <c r="E14" s="2"/>
      <c r="F14" s="19"/>
      <c r="G14" s="2"/>
      <c r="H14" s="2">
        <f>--745942.38</f>
        <v>745942.38</v>
      </c>
      <c r="I14" s="2"/>
      <c r="J14" s="19"/>
      <c r="K14" s="2"/>
      <c r="L14" s="2">
        <f t="shared" si="0"/>
        <v>-286512.06</v>
      </c>
      <c r="M14" s="2"/>
      <c r="N14" s="19">
        <f t="shared" si="1"/>
        <v>-0.38409409048457605</v>
      </c>
      <c r="O14" s="11"/>
      <c r="P14" s="2">
        <f>--1190096.34</f>
        <v>1190096.3400000001</v>
      </c>
      <c r="Q14" s="2"/>
      <c r="R14" s="19"/>
      <c r="S14" s="2"/>
      <c r="T14" s="2">
        <f>--2285976.76</f>
        <v>2285976.7599999998</v>
      </c>
      <c r="U14" s="2"/>
      <c r="V14" s="19"/>
      <c r="W14" s="2"/>
      <c r="X14" s="2">
        <f t="shared" si="2"/>
        <v>-1095880.4199999997</v>
      </c>
      <c r="Y14" s="2"/>
      <c r="Z14" s="19">
        <f t="shared" si="3"/>
        <v>-0.47939263389536813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--238947.44</f>
        <v>238947.44</v>
      </c>
      <c r="E15" s="2"/>
      <c r="F15" s="19"/>
      <c r="G15" s="2"/>
      <c r="H15" s="2">
        <f>--512319.44</f>
        <v>512319.44</v>
      </c>
      <c r="I15" s="2"/>
      <c r="J15" s="19"/>
      <c r="K15" s="2"/>
      <c r="L15" s="2">
        <f t="shared" si="0"/>
        <v>-273372</v>
      </c>
      <c r="M15" s="2"/>
      <c r="N15" s="19">
        <f t="shared" si="1"/>
        <v>-0.53359677313825915</v>
      </c>
      <c r="O15" s="11"/>
      <c r="P15" s="2">
        <f>--562401.5</f>
        <v>562401.5</v>
      </c>
      <c r="Q15" s="2"/>
      <c r="R15" s="19"/>
      <c r="S15" s="2"/>
      <c r="T15" s="2">
        <f>--1193414.41</f>
        <v>1193414.4099999999</v>
      </c>
      <c r="U15" s="2"/>
      <c r="V15" s="19"/>
      <c r="W15" s="2"/>
      <c r="X15" s="2">
        <f t="shared" si="2"/>
        <v>-631012.90999999992</v>
      </c>
      <c r="Y15" s="2"/>
      <c r="Z15" s="19">
        <f t="shared" si="3"/>
        <v>-0.52874584445481931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--7222.26</f>
        <v>7222.26</v>
      </c>
      <c r="E16" s="2"/>
      <c r="F16" s="19"/>
      <c r="G16" s="2"/>
      <c r="H16" s="2">
        <f>--15841.34</f>
        <v>15841.34</v>
      </c>
      <c r="I16" s="2"/>
      <c r="J16" s="19"/>
      <c r="K16" s="2"/>
      <c r="L16" s="2">
        <f t="shared" si="0"/>
        <v>-8619.08</v>
      </c>
      <c r="M16" s="2"/>
      <c r="N16" s="19">
        <f t="shared" si="1"/>
        <v>-0.54408781075338319</v>
      </c>
      <c r="O16" s="11"/>
      <c r="P16" s="2">
        <f>--17887.89</f>
        <v>17887.89</v>
      </c>
      <c r="Q16" s="2"/>
      <c r="R16" s="19"/>
      <c r="S16" s="2"/>
      <c r="T16" s="2">
        <f>--32272.01</f>
        <v>32272.01</v>
      </c>
      <c r="U16" s="2"/>
      <c r="V16" s="19"/>
      <c r="W16" s="2"/>
      <c r="X16" s="2">
        <f t="shared" si="2"/>
        <v>-14384.119999999999</v>
      </c>
      <c r="Y16" s="2"/>
      <c r="Z16" s="19">
        <f t="shared" si="3"/>
        <v>-0.44571503293411224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--200.1</f>
        <v>200.1</v>
      </c>
      <c r="E17" s="2"/>
      <c r="F17" s="19"/>
      <c r="G17" s="2"/>
      <c r="H17" s="2">
        <f>--10921.53</f>
        <v>10921.53</v>
      </c>
      <c r="I17" s="2"/>
      <c r="J17" s="19"/>
      <c r="K17" s="2"/>
      <c r="L17" s="2">
        <f t="shared" si="0"/>
        <v>-10721.43</v>
      </c>
      <c r="M17" s="2"/>
      <c r="N17" s="19">
        <f t="shared" si="1"/>
        <v>-0.98167839121441769</v>
      </c>
      <c r="O17" s="11"/>
      <c r="P17" s="2">
        <f>--2659.66</f>
        <v>2659.66</v>
      </c>
      <c r="Q17" s="2"/>
      <c r="R17" s="19"/>
      <c r="S17" s="2"/>
      <c r="T17" s="2">
        <f>--41201.41</f>
        <v>41201.410000000003</v>
      </c>
      <c r="U17" s="2"/>
      <c r="V17" s="19"/>
      <c r="W17" s="2"/>
      <c r="X17" s="2">
        <f t="shared" si="2"/>
        <v>-38541.75</v>
      </c>
      <c r="Y17" s="2"/>
      <c r="Z17" s="19">
        <f t="shared" si="3"/>
        <v>-0.93544735483567176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--13.22</f>
        <v>13.22</v>
      </c>
      <c r="U18" s="2"/>
      <c r="V18" s="19"/>
      <c r="W18" s="2"/>
      <c r="X18" s="2">
        <f t="shared" si="2"/>
        <v>-13.22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--346.55</f>
        <v>346.55</v>
      </c>
      <c r="E19" s="2"/>
      <c r="F19" s="19"/>
      <c r="G19" s="2"/>
      <c r="H19" s="2">
        <f>--229.57</f>
        <v>229.57</v>
      </c>
      <c r="I19" s="2"/>
      <c r="J19" s="19"/>
      <c r="K19" s="2"/>
      <c r="L19" s="2">
        <f t="shared" si="0"/>
        <v>116.98000000000002</v>
      </c>
      <c r="M19" s="2"/>
      <c r="N19" s="19">
        <f t="shared" si="1"/>
        <v>0.50956135383543155</v>
      </c>
      <c r="O19" s="11"/>
      <c r="P19" s="2">
        <f>--930.52</f>
        <v>930.52</v>
      </c>
      <c r="Q19" s="2"/>
      <c r="R19" s="19"/>
      <c r="S19" s="2"/>
      <c r="T19" s="2">
        <f>--1509.89</f>
        <v>1509.89</v>
      </c>
      <c r="U19" s="2"/>
      <c r="V19" s="19"/>
      <c r="W19" s="2"/>
      <c r="X19" s="2">
        <f t="shared" si="2"/>
        <v>-579.37000000000012</v>
      </c>
      <c r="Y19" s="2"/>
      <c r="Z19" s="19">
        <f t="shared" si="3"/>
        <v>-0.38371669459364594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--3.98</f>
        <v>3.98</v>
      </c>
      <c r="E20" s="2"/>
      <c r="F20" s="19"/>
      <c r="G20" s="2"/>
      <c r="H20" s="2">
        <f>--107.48</f>
        <v>107.48</v>
      </c>
      <c r="I20" s="2"/>
      <c r="J20" s="19"/>
      <c r="K20" s="2"/>
      <c r="L20" s="2">
        <f t="shared" si="0"/>
        <v>-103.5</v>
      </c>
      <c r="M20" s="2"/>
      <c r="N20" s="19">
        <f t="shared" si="1"/>
        <v>-0.96296985485671749</v>
      </c>
      <c r="O20" s="11"/>
      <c r="P20" s="2">
        <f>--380.04</f>
        <v>380.04</v>
      </c>
      <c r="Q20" s="2"/>
      <c r="R20" s="19"/>
      <c r="S20" s="2"/>
      <c r="T20" s="2">
        <f>--1100.17</f>
        <v>1100.17</v>
      </c>
      <c r="U20" s="2"/>
      <c r="V20" s="19"/>
      <c r="W20" s="2"/>
      <c r="X20" s="2">
        <f t="shared" si="2"/>
        <v>-720.13000000000011</v>
      </c>
      <c r="Y20" s="2"/>
      <c r="Z20" s="19">
        <f t="shared" si="3"/>
        <v>-0.65456247670814516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--12.98</f>
        <v>12.98</v>
      </c>
      <c r="I21" s="2"/>
      <c r="J21" s="19"/>
      <c r="K21" s="2"/>
      <c r="L21" s="2">
        <f t="shared" si="0"/>
        <v>-12.98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--255.12</f>
        <v>255.12</v>
      </c>
      <c r="U21" s="2"/>
      <c r="V21" s="19"/>
      <c r="W21" s="2"/>
      <c r="X21" s="2">
        <f t="shared" si="2"/>
        <v>-255.12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--100.3</f>
        <v>100.3</v>
      </c>
      <c r="E22" s="2"/>
      <c r="F22" s="19"/>
      <c r="G22" s="2"/>
      <c r="H22" s="2">
        <f>--737.51</f>
        <v>737.51</v>
      </c>
      <c r="I22" s="2"/>
      <c r="J22" s="19"/>
      <c r="K22" s="2"/>
      <c r="L22" s="2">
        <f t="shared" si="0"/>
        <v>-637.21</v>
      </c>
      <c r="M22" s="2"/>
      <c r="N22" s="19">
        <f t="shared" si="1"/>
        <v>-0.86400184404279268</v>
      </c>
      <c r="O22" s="11"/>
      <c r="P22" s="2">
        <f>--291.14</f>
        <v>291.14</v>
      </c>
      <c r="Q22" s="2"/>
      <c r="R22" s="19"/>
      <c r="S22" s="2"/>
      <c r="T22" s="2">
        <f>--3627.9</f>
        <v>3627.9</v>
      </c>
      <c r="U22" s="2"/>
      <c r="V22" s="19"/>
      <c r="W22" s="2"/>
      <c r="X22" s="2">
        <f t="shared" si="2"/>
        <v>-3336.76</v>
      </c>
      <c r="Y22" s="2"/>
      <c r="Z22" s="19">
        <f t="shared" si="3"/>
        <v>-0.91974971746740541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ref="D23:D24" si="4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5">0</f>
        <v>0</v>
      </c>
      <c r="Q23" s="2"/>
      <c r="R23" s="19"/>
      <c r="S23" s="2"/>
      <c r="T23" s="2">
        <f>--33.88</f>
        <v>33.880000000000003</v>
      </c>
      <c r="U23" s="2"/>
      <c r="V23" s="19"/>
      <c r="W23" s="2"/>
      <c r="X23" s="2">
        <f t="shared" si="2"/>
        <v>-33.880000000000003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4"/>
        <v>0</v>
      </c>
      <c r="E24" s="2"/>
      <c r="F24" s="19"/>
      <c r="G24" s="2"/>
      <c r="H24" s="2">
        <f>--5307.35</f>
        <v>5307.35</v>
      </c>
      <c r="I24" s="2"/>
      <c r="J24" s="19"/>
      <c r="K24" s="2"/>
      <c r="L24" s="2">
        <f t="shared" si="0"/>
        <v>-5307.35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--40440.45</f>
        <v>40440.449999999997</v>
      </c>
      <c r="U24" s="2"/>
      <c r="V24" s="19"/>
      <c r="W24" s="2"/>
      <c r="X24" s="2">
        <f t="shared" si="2"/>
        <v>-40440.449999999997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--34.62</f>
        <v>34.619999999999997</v>
      </c>
      <c r="E25" s="2"/>
      <c r="F25" s="19"/>
      <c r="G25" s="2"/>
      <c r="H25" s="2">
        <f>--13761.32</f>
        <v>13761.32</v>
      </c>
      <c r="I25" s="2"/>
      <c r="J25" s="19"/>
      <c r="K25" s="2"/>
      <c r="L25" s="2">
        <f t="shared" si="0"/>
        <v>-13726.699999999999</v>
      </c>
      <c r="M25" s="2"/>
      <c r="N25" s="19">
        <f t="shared" si="1"/>
        <v>-0.99748425296410514</v>
      </c>
      <c r="O25" s="11"/>
      <c r="P25" s="2">
        <f>--407</f>
        <v>407</v>
      </c>
      <c r="Q25" s="2"/>
      <c r="R25" s="19"/>
      <c r="S25" s="2"/>
      <c r="T25" s="2">
        <f>--63689.49</f>
        <v>63689.49</v>
      </c>
      <c r="U25" s="2"/>
      <c r="V25" s="19"/>
      <c r="W25" s="2"/>
      <c r="X25" s="2">
        <f t="shared" si="2"/>
        <v>-63282.49</v>
      </c>
      <c r="Y25" s="2"/>
      <c r="Z25" s="19">
        <f t="shared" si="3"/>
        <v>-0.99360962067681813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--8701.79</f>
        <v>8701.7900000000009</v>
      </c>
      <c r="E26" s="2"/>
      <c r="F26" s="19"/>
      <c r="G26" s="2"/>
      <c r="H26" s="2">
        <f>--66289.85</f>
        <v>66289.850000000006</v>
      </c>
      <c r="I26" s="2"/>
      <c r="J26" s="19"/>
      <c r="K26" s="2"/>
      <c r="L26" s="2">
        <f t="shared" si="0"/>
        <v>-57588.060000000005</v>
      </c>
      <c r="M26" s="2"/>
      <c r="N26" s="19">
        <f t="shared" si="1"/>
        <v>-0.86873118584519349</v>
      </c>
      <c r="O26" s="11"/>
      <c r="P26" s="2">
        <f>--48676.22</f>
        <v>48676.22</v>
      </c>
      <c r="Q26" s="2"/>
      <c r="R26" s="19"/>
      <c r="S26" s="2"/>
      <c r="T26" s="2">
        <f>--231647.32</f>
        <v>231647.32</v>
      </c>
      <c r="U26" s="2"/>
      <c r="V26" s="19"/>
      <c r="W26" s="2"/>
      <c r="X26" s="2">
        <f t="shared" si="2"/>
        <v>-182971.1</v>
      </c>
      <c r="Y26" s="2"/>
      <c r="Z26" s="19">
        <f t="shared" si="3"/>
        <v>-0.78986927196049583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--21773.01</f>
        <v>21773.01</v>
      </c>
      <c r="E27" s="2"/>
      <c r="F27" s="19"/>
      <c r="G27" s="2"/>
      <c r="H27" s="2">
        <f>--43035.21</f>
        <v>43035.21</v>
      </c>
      <c r="I27" s="2"/>
      <c r="J27" s="19"/>
      <c r="K27" s="2"/>
      <c r="L27" s="2">
        <f t="shared" si="0"/>
        <v>-21262.2</v>
      </c>
      <c r="M27" s="2"/>
      <c r="N27" s="19">
        <f t="shared" si="1"/>
        <v>-0.49406520846534735</v>
      </c>
      <c r="O27" s="11"/>
      <c r="P27" s="2">
        <f>--38951.82</f>
        <v>38951.82</v>
      </c>
      <c r="Q27" s="2"/>
      <c r="R27" s="19"/>
      <c r="S27" s="2"/>
      <c r="T27" s="2">
        <f>--232672.78</f>
        <v>232672.78</v>
      </c>
      <c r="U27" s="2"/>
      <c r="V27" s="19"/>
      <c r="W27" s="2"/>
      <c r="X27" s="2">
        <f t="shared" si="2"/>
        <v>-193720.95999999999</v>
      </c>
      <c r="Y27" s="2"/>
      <c r="Z27" s="19">
        <f t="shared" si="3"/>
        <v>-0.83258969957723461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--477.59</f>
        <v>477.59</v>
      </c>
      <c r="E28" s="2"/>
      <c r="F28" s="19"/>
      <c r="G28" s="2"/>
      <c r="H28" s="2">
        <f>--43.03</f>
        <v>43.03</v>
      </c>
      <c r="I28" s="2"/>
      <c r="J28" s="19"/>
      <c r="K28" s="2"/>
      <c r="L28" s="2">
        <f t="shared" si="0"/>
        <v>434.55999999999995</v>
      </c>
      <c r="M28" s="2"/>
      <c r="N28" s="19">
        <f t="shared" si="1"/>
        <v>10.099000697188007</v>
      </c>
      <c r="O28" s="11"/>
      <c r="P28" s="2">
        <f>--2587.24</f>
        <v>2587.2399999999998</v>
      </c>
      <c r="Q28" s="2"/>
      <c r="R28" s="19"/>
      <c r="S28" s="2"/>
      <c r="T28" s="2">
        <f>--349.97</f>
        <v>349.97</v>
      </c>
      <c r="U28" s="2"/>
      <c r="V28" s="19"/>
      <c r="W28" s="2"/>
      <c r="X28" s="2">
        <f t="shared" si="2"/>
        <v>2237.2699999999995</v>
      </c>
      <c r="Y28" s="2"/>
      <c r="Z28" s="19">
        <f t="shared" si="3"/>
        <v>6.392747949824269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6">0</f>
        <v>0</v>
      </c>
      <c r="E29" s="2"/>
      <c r="F29" s="19"/>
      <c r="G29" s="2"/>
      <c r="H29" s="2">
        <f>--242.25</f>
        <v>242.25</v>
      </c>
      <c r="I29" s="2"/>
      <c r="J29" s="19"/>
      <c r="K29" s="2"/>
      <c r="L29" s="2">
        <f t="shared" si="0"/>
        <v>-242.25</v>
      </c>
      <c r="M29" s="2"/>
      <c r="N29" s="19">
        <f t="shared" si="1"/>
        <v>-1</v>
      </c>
      <c r="O29" s="11"/>
      <c r="P29" s="2">
        <f t="shared" ref="P29:P30" si="7">0</f>
        <v>0</v>
      </c>
      <c r="Q29" s="2"/>
      <c r="R29" s="19"/>
      <c r="S29" s="2"/>
      <c r="T29" s="2">
        <f>--1108.59</f>
        <v>1108.5899999999999</v>
      </c>
      <c r="U29" s="2"/>
      <c r="V29" s="19"/>
      <c r="W29" s="2"/>
      <c r="X29" s="2">
        <f t="shared" si="2"/>
        <v>-1108.5899999999999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>
        <f>--15.13</f>
        <v>15.13</v>
      </c>
      <c r="I30" s="2"/>
      <c r="J30" s="19"/>
      <c r="K30" s="2"/>
      <c r="L30" s="2">
        <f t="shared" si="0"/>
        <v>-15.13</v>
      </c>
      <c r="M30" s="2"/>
      <c r="N30" s="19">
        <f t="shared" si="1"/>
        <v>-1</v>
      </c>
      <c r="O30" s="11"/>
      <c r="P30" s="2">
        <f t="shared" si="7"/>
        <v>0</v>
      </c>
      <c r="Q30" s="2"/>
      <c r="R30" s="19"/>
      <c r="S30" s="2"/>
      <c r="T30" s="2">
        <f>--146.15</f>
        <v>146.15</v>
      </c>
      <c r="U30" s="2"/>
      <c r="V30" s="19"/>
      <c r="W30" s="2"/>
      <c r="X30" s="2">
        <f t="shared" si="2"/>
        <v>-146.15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>
        <f>--479.73</f>
        <v>479.73</v>
      </c>
      <c r="I31" s="2"/>
      <c r="J31" s="19"/>
      <c r="K31" s="2"/>
      <c r="L31" s="2">
        <f t="shared" si="0"/>
        <v>-479.73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--5751.24</f>
        <v>5751.24</v>
      </c>
      <c r="U31" s="2"/>
      <c r="V31" s="19"/>
      <c r="W31" s="2"/>
      <c r="X31" s="2">
        <f t="shared" si="2"/>
        <v>-5744.46</v>
      </c>
      <c r="Y31" s="2"/>
      <c r="Z31" s="19">
        <f t="shared" si="3"/>
        <v>-0.99882112379243437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>
        <f>--171.4</f>
        <v>171.4</v>
      </c>
      <c r="I32" s="2"/>
      <c r="J32" s="19"/>
      <c r="K32" s="2"/>
      <c r="L32" s="2">
        <f t="shared" si="0"/>
        <v>-171.4</v>
      </c>
      <c r="M32" s="2"/>
      <c r="N32" s="19">
        <f t="shared" si="1"/>
        <v>-1</v>
      </c>
      <c r="O32" s="11"/>
      <c r="P32" s="2">
        <f t="shared" ref="P32:P33" si="8">0</f>
        <v>0</v>
      </c>
      <c r="Q32" s="2"/>
      <c r="R32" s="19"/>
      <c r="S32" s="2"/>
      <c r="T32" s="2">
        <f>--1438.49</f>
        <v>1438.49</v>
      </c>
      <c r="U32" s="2"/>
      <c r="V32" s="19"/>
      <c r="W32" s="2"/>
      <c r="X32" s="2">
        <f t="shared" si="2"/>
        <v>-1438.49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>
        <f>--17.84</f>
        <v>17.84</v>
      </c>
      <c r="I33" s="2"/>
      <c r="J33" s="19"/>
      <c r="K33" s="2"/>
      <c r="L33" s="2">
        <f t="shared" si="0"/>
        <v>-17.84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--414.1</f>
        <v>414.1</v>
      </c>
      <c r="U33" s="2"/>
      <c r="V33" s="19"/>
      <c r="W33" s="2"/>
      <c r="X33" s="2">
        <f t="shared" si="2"/>
        <v>-414.1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--89991.91</f>
        <v>89991.91</v>
      </c>
      <c r="E34" s="2"/>
      <c r="F34" s="19"/>
      <c r="G34" s="2"/>
      <c r="H34" s="2">
        <f>--192827.81</f>
        <v>192827.81</v>
      </c>
      <c r="I34" s="2"/>
      <c r="J34" s="19"/>
      <c r="K34" s="2"/>
      <c r="L34" s="2">
        <f t="shared" si="0"/>
        <v>-102835.9</v>
      </c>
      <c r="M34" s="2"/>
      <c r="N34" s="19">
        <f t="shared" si="1"/>
        <v>-0.53330429879383057</v>
      </c>
      <c r="O34" s="11"/>
      <c r="P34" s="2">
        <f>--598102.9</f>
        <v>598102.9</v>
      </c>
      <c r="Q34" s="2"/>
      <c r="R34" s="19"/>
      <c r="S34" s="2"/>
      <c r="T34" s="2">
        <f>--1484618.99</f>
        <v>1484618.99</v>
      </c>
      <c r="U34" s="2"/>
      <c r="V34" s="19"/>
      <c r="W34" s="2"/>
      <c r="X34" s="2">
        <f t="shared" si="2"/>
        <v>-886516.09</v>
      </c>
      <c r="Y34" s="2"/>
      <c r="Z34" s="19">
        <f t="shared" si="3"/>
        <v>-0.5971337400176997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--51480.95</f>
        <v>51480.95</v>
      </c>
      <c r="E35" s="2"/>
      <c r="F35" s="19"/>
      <c r="G35" s="2"/>
      <c r="H35" s="2">
        <f>--104441.67</f>
        <v>104441.67</v>
      </c>
      <c r="I35" s="2"/>
      <c r="J35" s="19"/>
      <c r="K35" s="2"/>
      <c r="L35" s="2">
        <f t="shared" si="0"/>
        <v>-52960.72</v>
      </c>
      <c r="M35" s="2"/>
      <c r="N35" s="19">
        <f t="shared" si="1"/>
        <v>-0.50708419350245937</v>
      </c>
      <c r="O35" s="11"/>
      <c r="P35" s="2">
        <f>--249099.27</f>
        <v>249099.27</v>
      </c>
      <c r="Q35" s="2"/>
      <c r="R35" s="19"/>
      <c r="S35" s="2"/>
      <c r="T35" s="2">
        <f>--400568.48</f>
        <v>400568.48</v>
      </c>
      <c r="U35" s="2"/>
      <c r="V35" s="19"/>
      <c r="W35" s="2"/>
      <c r="X35" s="2">
        <f t="shared" si="2"/>
        <v>-151469.21</v>
      </c>
      <c r="Y35" s="2"/>
      <c r="Z35" s="19">
        <f t="shared" si="3"/>
        <v>-0.37813561865876216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--9303.18</f>
        <v>9303.18</v>
      </c>
      <c r="E36" s="2"/>
      <c r="F36" s="19"/>
      <c r="G36" s="2"/>
      <c r="H36" s="2">
        <f>--33043.12</f>
        <v>33043.120000000003</v>
      </c>
      <c r="I36" s="2"/>
      <c r="J36" s="19"/>
      <c r="K36" s="2"/>
      <c r="L36" s="2">
        <f t="shared" si="0"/>
        <v>-23739.940000000002</v>
      </c>
      <c r="M36" s="2"/>
      <c r="N36" s="19">
        <f t="shared" si="1"/>
        <v>-0.71845334217834156</v>
      </c>
      <c r="O36" s="11"/>
      <c r="P36" s="2">
        <f>--74200.88</f>
        <v>74200.88</v>
      </c>
      <c r="Q36" s="2"/>
      <c r="R36" s="19"/>
      <c r="S36" s="2"/>
      <c r="T36" s="2">
        <f>--232995.22</f>
        <v>232995.22</v>
      </c>
      <c r="U36" s="2"/>
      <c r="V36" s="19"/>
      <c r="W36" s="2"/>
      <c r="X36" s="2">
        <f t="shared" si="2"/>
        <v>-158794.34</v>
      </c>
      <c r="Y36" s="2"/>
      <c r="Z36" s="19">
        <f t="shared" si="3"/>
        <v>-0.68153475423229715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--24845.66</f>
        <v>24845.66</v>
      </c>
      <c r="E37" s="2"/>
      <c r="F37" s="19"/>
      <c r="G37" s="2"/>
      <c r="H37" s="2">
        <f>--8310.25</f>
        <v>8310.25</v>
      </c>
      <c r="I37" s="2"/>
      <c r="J37" s="19"/>
      <c r="K37" s="2"/>
      <c r="L37" s="2">
        <f t="shared" si="0"/>
        <v>16535.41</v>
      </c>
      <c r="M37" s="2"/>
      <c r="N37" s="19">
        <f t="shared" si="1"/>
        <v>1.9897608375199303</v>
      </c>
      <c r="O37" s="11"/>
      <c r="P37" s="2">
        <f>--117954.81</f>
        <v>117954.81</v>
      </c>
      <c r="Q37" s="2"/>
      <c r="R37" s="19"/>
      <c r="S37" s="2"/>
      <c r="T37" s="2">
        <f>--22630.71</f>
        <v>22630.71</v>
      </c>
      <c r="U37" s="2"/>
      <c r="V37" s="19"/>
      <c r="W37" s="2"/>
      <c r="X37" s="2">
        <f t="shared" si="2"/>
        <v>95324.1</v>
      </c>
      <c r="Y37" s="2"/>
      <c r="Z37" s="19">
        <f t="shared" si="3"/>
        <v>4.2121568435104342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--1261.95</f>
        <v>1261.95</v>
      </c>
      <c r="E38" s="2"/>
      <c r="F38" s="19"/>
      <c r="G38" s="2"/>
      <c r="H38" s="2">
        <f>--6349.96</f>
        <v>6349.96</v>
      </c>
      <c r="I38" s="2"/>
      <c r="J38" s="19"/>
      <c r="K38" s="2"/>
      <c r="L38" s="2">
        <f t="shared" si="0"/>
        <v>-5088.01</v>
      </c>
      <c r="M38" s="2"/>
      <c r="N38" s="19">
        <f t="shared" si="1"/>
        <v>-0.80126646467064366</v>
      </c>
      <c r="O38" s="11"/>
      <c r="P38" s="2">
        <f>--27535.62</f>
        <v>27535.62</v>
      </c>
      <c r="Q38" s="2"/>
      <c r="R38" s="19"/>
      <c r="S38" s="2"/>
      <c r="T38" s="2">
        <f>--53086.16</f>
        <v>53086.16</v>
      </c>
      <c r="U38" s="2"/>
      <c r="V38" s="19"/>
      <c r="W38" s="2"/>
      <c r="X38" s="2">
        <f t="shared" si="2"/>
        <v>-25550.540000000005</v>
      </c>
      <c r="Y38" s="2"/>
      <c r="Z38" s="19">
        <f t="shared" si="3"/>
        <v>-0.48130322479531396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--3388.52</f>
        <v>3388.52</v>
      </c>
      <c r="E39" s="2"/>
      <c r="F39" s="19"/>
      <c r="G39" s="2"/>
      <c r="H39" s="2">
        <f>--8732.21</f>
        <v>8732.2099999999991</v>
      </c>
      <c r="I39" s="2"/>
      <c r="J39" s="19"/>
      <c r="K39" s="2"/>
      <c r="L39" s="2">
        <f t="shared" si="0"/>
        <v>-5343.6899999999987</v>
      </c>
      <c r="M39" s="2"/>
      <c r="N39" s="19">
        <f t="shared" si="1"/>
        <v>-0.6119516136235843</v>
      </c>
      <c r="O39" s="11"/>
      <c r="P39" s="2">
        <f>--125449.67</f>
        <v>125449.67</v>
      </c>
      <c r="Q39" s="2"/>
      <c r="R39" s="19"/>
      <c r="S39" s="2"/>
      <c r="T39" s="2">
        <f>--69738.03</f>
        <v>69738.03</v>
      </c>
      <c r="U39" s="2"/>
      <c r="V39" s="19"/>
      <c r="W39" s="2"/>
      <c r="X39" s="2">
        <f t="shared" si="2"/>
        <v>55711.64</v>
      </c>
      <c r="Y39" s="2"/>
      <c r="Z39" s="19">
        <f t="shared" si="3"/>
        <v>0.79887028641330993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6" si="9">0</f>
        <v>0</v>
      </c>
      <c r="E40" s="2"/>
      <c r="F40" s="19"/>
      <c r="G40" s="2"/>
      <c r="H40" s="2">
        <f>--183.1</f>
        <v>183.1</v>
      </c>
      <c r="I40" s="2"/>
      <c r="J40" s="19"/>
      <c r="K40" s="2"/>
      <c r="L40" s="2">
        <f t="shared" si="0"/>
        <v>-183.1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--1977.04</f>
        <v>1977.04</v>
      </c>
      <c r="U40" s="2"/>
      <c r="V40" s="19"/>
      <c r="W40" s="2"/>
      <c r="X40" s="2">
        <f t="shared" si="2"/>
        <v>-1977.04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 t="shared" si="9"/>
        <v>0</v>
      </c>
      <c r="E41" s="2"/>
      <c r="F41" s="19"/>
      <c r="G41" s="2"/>
      <c r="H41" s="2">
        <f>--266.85</f>
        <v>266.85000000000002</v>
      </c>
      <c r="I41" s="2"/>
      <c r="J41" s="19"/>
      <c r="K41" s="2"/>
      <c r="L41" s="2">
        <f t="shared" si="0"/>
        <v>-266.85000000000002</v>
      </c>
      <c r="M41" s="2"/>
      <c r="N41" s="19">
        <f t="shared" si="1"/>
        <v>-1</v>
      </c>
      <c r="O41" s="11"/>
      <c r="P41" s="2">
        <f>--71.95</f>
        <v>71.95</v>
      </c>
      <c r="Q41" s="2"/>
      <c r="R41" s="19"/>
      <c r="S41" s="2"/>
      <c r="T41" s="2">
        <f>--2801.28</f>
        <v>2801.28</v>
      </c>
      <c r="U41" s="2"/>
      <c r="V41" s="19"/>
      <c r="W41" s="2"/>
      <c r="X41" s="2">
        <f t="shared" si="2"/>
        <v>-2729.3300000000004</v>
      </c>
      <c r="Y41" s="2"/>
      <c r="Z41" s="19">
        <f t="shared" si="3"/>
        <v>-0.97431531299977159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 t="shared" si="9"/>
        <v>0</v>
      </c>
      <c r="E42" s="2"/>
      <c r="F42" s="19"/>
      <c r="G42" s="2"/>
      <c r="H42" s="2">
        <f>--38</f>
        <v>38</v>
      </c>
      <c r="I42" s="2"/>
      <c r="J42" s="19"/>
      <c r="K42" s="2"/>
      <c r="L42" s="2">
        <f t="shared" si="0"/>
        <v>-38</v>
      </c>
      <c r="M42" s="2"/>
      <c r="N42" s="19">
        <f t="shared" si="1"/>
        <v>-1</v>
      </c>
      <c r="O42" s="11"/>
      <c r="P42" s="2">
        <f>0</f>
        <v>0</v>
      </c>
      <c r="Q42" s="2"/>
      <c r="R42" s="19"/>
      <c r="S42" s="2"/>
      <c r="T42" s="2">
        <f>--219</f>
        <v>219</v>
      </c>
      <c r="U42" s="2"/>
      <c r="V42" s="19"/>
      <c r="W42" s="2"/>
      <c r="X42" s="2">
        <f t="shared" si="2"/>
        <v>-219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 t="shared" si="9"/>
        <v>0</v>
      </c>
      <c r="E43" s="2"/>
      <c r="F43" s="19"/>
      <c r="G43" s="2"/>
      <c r="H43" s="2">
        <f>--149.91</f>
        <v>149.91</v>
      </c>
      <c r="I43" s="2"/>
      <c r="J43" s="19"/>
      <c r="K43" s="2"/>
      <c r="L43" s="2">
        <f t="shared" si="0"/>
        <v>-149.91</v>
      </c>
      <c r="M43" s="2"/>
      <c r="N43" s="19">
        <f t="shared" si="1"/>
        <v>-1</v>
      </c>
      <c r="O43" s="11"/>
      <c r="P43" s="2">
        <f>--9.99</f>
        <v>9.99</v>
      </c>
      <c r="Q43" s="2"/>
      <c r="R43" s="19"/>
      <c r="S43" s="2"/>
      <c r="T43" s="2">
        <f>--849.39</f>
        <v>849.39</v>
      </c>
      <c r="U43" s="2"/>
      <c r="V43" s="19"/>
      <c r="W43" s="2"/>
      <c r="X43" s="2">
        <f t="shared" si="2"/>
        <v>-839.4</v>
      </c>
      <c r="Y43" s="2"/>
      <c r="Z43" s="19">
        <f t="shared" si="3"/>
        <v>-0.98823861830254656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 t="shared" si="9"/>
        <v>0</v>
      </c>
      <c r="E44" s="2"/>
      <c r="F44" s="19"/>
      <c r="G44" s="2"/>
      <c r="H44" s="2">
        <f>--76.99</f>
        <v>76.989999999999995</v>
      </c>
      <c r="I44" s="2"/>
      <c r="J44" s="19"/>
      <c r="K44" s="2"/>
      <c r="L44" s="2">
        <f t="shared" si="0"/>
        <v>-76.989999999999995</v>
      </c>
      <c r="M44" s="2"/>
      <c r="N44" s="19">
        <f t="shared" si="1"/>
        <v>-1</v>
      </c>
      <c r="O44" s="11"/>
      <c r="P44" s="2">
        <f t="shared" ref="P44:P46" si="10">0</f>
        <v>0</v>
      </c>
      <c r="Q44" s="2"/>
      <c r="R44" s="19"/>
      <c r="S44" s="2"/>
      <c r="T44" s="2">
        <f>--775.76</f>
        <v>775.76</v>
      </c>
      <c r="U44" s="2"/>
      <c r="V44" s="19"/>
      <c r="W44" s="2"/>
      <c r="X44" s="2">
        <f t="shared" si="2"/>
        <v>-775.76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 t="shared" si="9"/>
        <v>0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 t="shared" si="10"/>
        <v>0</v>
      </c>
      <c r="Q45" s="2"/>
      <c r="R45" s="19"/>
      <c r="S45" s="2"/>
      <c r="T45" s="2">
        <f>--7659.37</f>
        <v>7659.37</v>
      </c>
      <c r="U45" s="2"/>
      <c r="V45" s="19"/>
      <c r="W45" s="2"/>
      <c r="X45" s="2">
        <f t="shared" si="2"/>
        <v>-7659.37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 t="shared" si="9"/>
        <v>0</v>
      </c>
      <c r="E46" s="2"/>
      <c r="F46" s="19"/>
      <c r="G46" s="2"/>
      <c r="H46" s="2">
        <f>--11.93</f>
        <v>11.93</v>
      </c>
      <c r="I46" s="2"/>
      <c r="J46" s="19"/>
      <c r="K46" s="2"/>
      <c r="L46" s="2">
        <f t="shared" si="0"/>
        <v>-11.93</v>
      </c>
      <c r="M46" s="2"/>
      <c r="N46" s="19">
        <f t="shared" si="1"/>
        <v>-1</v>
      </c>
      <c r="O46" s="11"/>
      <c r="P46" s="2">
        <f t="shared" si="10"/>
        <v>0</v>
      </c>
      <c r="Q46" s="2"/>
      <c r="R46" s="19"/>
      <c r="S46" s="2"/>
      <c r="T46" s="2">
        <f>--309.26</f>
        <v>309.26</v>
      </c>
      <c r="U46" s="2"/>
      <c r="V46" s="19"/>
      <c r="W46" s="2"/>
      <c r="X46" s="2">
        <f t="shared" si="2"/>
        <v>-309.26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--112968.19</f>
        <v>112968.19</v>
      </c>
      <c r="E47" s="2"/>
      <c r="F47" s="19"/>
      <c r="G47" s="2"/>
      <c r="H47" s="2">
        <f>--214291.61</f>
        <v>214291.61</v>
      </c>
      <c r="I47" s="2"/>
      <c r="J47" s="19"/>
      <c r="K47" s="2"/>
      <c r="L47" s="2">
        <f t="shared" si="0"/>
        <v>-101323.41999999998</v>
      </c>
      <c r="M47" s="2"/>
      <c r="N47" s="19">
        <f t="shared" si="1"/>
        <v>-0.47282961754778918</v>
      </c>
      <c r="O47" s="11"/>
      <c r="P47" s="2">
        <f>--278555.86</f>
        <v>278555.86</v>
      </c>
      <c r="Q47" s="2"/>
      <c r="R47" s="19"/>
      <c r="S47" s="2"/>
      <c r="T47" s="2">
        <f>--550220.16</f>
        <v>550220.16</v>
      </c>
      <c r="U47" s="2"/>
      <c r="V47" s="19"/>
      <c r="W47" s="2"/>
      <c r="X47" s="2">
        <f t="shared" si="2"/>
        <v>-271664.30000000005</v>
      </c>
      <c r="Y47" s="2"/>
      <c r="Z47" s="19">
        <f t="shared" si="3"/>
        <v>-0.4937374522954594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--22084.7</f>
        <v>22084.7</v>
      </c>
      <c r="E48" s="2"/>
      <c r="F48" s="19"/>
      <c r="G48" s="2"/>
      <c r="H48" s="2">
        <f>--37117.66</f>
        <v>37117.660000000003</v>
      </c>
      <c r="I48" s="2"/>
      <c r="J48" s="19"/>
      <c r="K48" s="2"/>
      <c r="L48" s="2">
        <f t="shared" si="0"/>
        <v>-15032.960000000003</v>
      </c>
      <c r="M48" s="2"/>
      <c r="N48" s="19">
        <f t="shared" si="1"/>
        <v>-0.40500828985447901</v>
      </c>
      <c r="O48" s="11"/>
      <c r="P48" s="2">
        <f>--104225.63</f>
        <v>104225.63</v>
      </c>
      <c r="Q48" s="2"/>
      <c r="R48" s="19"/>
      <c r="S48" s="2"/>
      <c r="T48" s="2">
        <f>--132405.23</f>
        <v>132405.23000000001</v>
      </c>
      <c r="U48" s="2"/>
      <c r="V48" s="19"/>
      <c r="W48" s="2"/>
      <c r="X48" s="2">
        <f t="shared" si="2"/>
        <v>-28179.600000000006</v>
      </c>
      <c r="Y48" s="2"/>
      <c r="Z48" s="19">
        <f t="shared" si="3"/>
        <v>-0.21282845096073624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--9330.01</f>
        <v>9330.01</v>
      </c>
      <c r="E49" s="2"/>
      <c r="F49" s="19"/>
      <c r="G49" s="2"/>
      <c r="H49" s="2">
        <f>--28414.21</f>
        <v>28414.21</v>
      </c>
      <c r="I49" s="2"/>
      <c r="J49" s="19"/>
      <c r="K49" s="2"/>
      <c r="L49" s="2">
        <f t="shared" si="0"/>
        <v>-19084.199999999997</v>
      </c>
      <c r="M49" s="2"/>
      <c r="N49" s="19">
        <f t="shared" si="1"/>
        <v>-0.67164281533781856</v>
      </c>
      <c r="O49" s="11"/>
      <c r="P49" s="2">
        <f>--42961.32</f>
        <v>42961.32</v>
      </c>
      <c r="Q49" s="2"/>
      <c r="R49" s="19"/>
      <c r="S49" s="2"/>
      <c r="T49" s="2">
        <f>--66616.8</f>
        <v>66616.800000000003</v>
      </c>
      <c r="U49" s="2"/>
      <c r="V49" s="19"/>
      <c r="W49" s="2"/>
      <c r="X49" s="2">
        <f t="shared" si="2"/>
        <v>-23655.480000000003</v>
      </c>
      <c r="Y49" s="2"/>
      <c r="Z49" s="19">
        <f t="shared" si="3"/>
        <v>-0.35509781316424688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--853.98</f>
        <v>853.98</v>
      </c>
      <c r="E50" s="2"/>
      <c r="F50" s="19"/>
      <c r="G50" s="2"/>
      <c r="H50" s="2">
        <f>--334.99</f>
        <v>334.99</v>
      </c>
      <c r="I50" s="2"/>
      <c r="J50" s="19"/>
      <c r="K50" s="2"/>
      <c r="L50" s="2">
        <f t="shared" si="0"/>
        <v>518.99</v>
      </c>
      <c r="M50" s="2"/>
      <c r="N50" s="19">
        <f t="shared" si="1"/>
        <v>1.5492701274664915</v>
      </c>
      <c r="O50" s="11"/>
      <c r="P50" s="2">
        <f>--1138.95</f>
        <v>1138.95</v>
      </c>
      <c r="Q50" s="2"/>
      <c r="R50" s="19"/>
      <c r="S50" s="2"/>
      <c r="T50" s="2">
        <f>--664.97</f>
        <v>664.97</v>
      </c>
      <c r="U50" s="2"/>
      <c r="V50" s="19"/>
      <c r="W50" s="2"/>
      <c r="X50" s="2">
        <f t="shared" si="2"/>
        <v>473.98</v>
      </c>
      <c r="Y50" s="2"/>
      <c r="Z50" s="19">
        <f t="shared" si="3"/>
        <v>0.71278403537001667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--161977.12</f>
        <v>161977.12</v>
      </c>
      <c r="E51" s="2"/>
      <c r="F51" s="19"/>
      <c r="G51" s="2"/>
      <c r="H51" s="2">
        <f>--169179.13</f>
        <v>169179.13</v>
      </c>
      <c r="I51" s="2"/>
      <c r="J51" s="19"/>
      <c r="K51" s="2"/>
      <c r="L51" s="2">
        <f t="shared" si="0"/>
        <v>-7202.0100000000093</v>
      </c>
      <c r="M51" s="2"/>
      <c r="N51" s="19">
        <f t="shared" si="1"/>
        <v>-4.2570321764865499E-2</v>
      </c>
      <c r="O51" s="11"/>
      <c r="P51" s="2">
        <f>--458168.13</f>
        <v>458168.13</v>
      </c>
      <c r="Q51" s="2"/>
      <c r="R51" s="19"/>
      <c r="S51" s="2"/>
      <c r="T51" s="2">
        <f>--502067.96</f>
        <v>502067.96</v>
      </c>
      <c r="U51" s="2"/>
      <c r="V51" s="19"/>
      <c r="W51" s="2"/>
      <c r="X51" s="2">
        <f t="shared" si="2"/>
        <v>-43899.830000000016</v>
      </c>
      <c r="Y51" s="2"/>
      <c r="Z51" s="19">
        <f t="shared" si="3"/>
        <v>-8.743802333054676E-2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0</f>
        <v>0</v>
      </c>
      <c r="E52" s="2"/>
      <c r="F52" s="19"/>
      <c r="G52" s="2"/>
      <c r="H52" s="2">
        <f>--4684.53</f>
        <v>4684.53</v>
      </c>
      <c r="I52" s="2"/>
      <c r="J52" s="19"/>
      <c r="K52" s="2"/>
      <c r="L52" s="2">
        <f t="shared" si="0"/>
        <v>-4684.53</v>
      </c>
      <c r="M52" s="2"/>
      <c r="N52" s="19">
        <f t="shared" si="1"/>
        <v>-1</v>
      </c>
      <c r="O52" s="11"/>
      <c r="P52" s="2">
        <f>0</f>
        <v>0</v>
      </c>
      <c r="Q52" s="2"/>
      <c r="R52" s="19"/>
      <c r="S52" s="2"/>
      <c r="T52" s="2">
        <f>--12708.5</f>
        <v>12708.5</v>
      </c>
      <c r="U52" s="2"/>
      <c r="V52" s="19"/>
      <c r="W52" s="2"/>
      <c r="X52" s="2">
        <f t="shared" si="2"/>
        <v>-12708.5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--4661.75</f>
        <v>4661.75</v>
      </c>
      <c r="E53" s="2"/>
      <c r="F53" s="19"/>
      <c r="G53" s="2"/>
      <c r="H53" s="2">
        <f t="shared" ref="H53:H54" si="11">0</f>
        <v>0</v>
      </c>
      <c r="I53" s="2"/>
      <c r="J53" s="19"/>
      <c r="K53" s="2"/>
      <c r="L53" s="2">
        <f t="shared" si="0"/>
        <v>4661.75</v>
      </c>
      <c r="M53" s="2"/>
      <c r="N53" s="19">
        <f t="shared" si="1"/>
        <v>0</v>
      </c>
      <c r="O53" s="11"/>
      <c r="P53" s="2">
        <f>--6989.25</f>
        <v>6989.25</v>
      </c>
      <c r="Q53" s="2"/>
      <c r="R53" s="19"/>
      <c r="S53" s="2"/>
      <c r="T53" s="2">
        <f>--1146.72</f>
        <v>1146.72</v>
      </c>
      <c r="U53" s="2"/>
      <c r="V53" s="19"/>
      <c r="W53" s="2"/>
      <c r="X53" s="2">
        <f t="shared" si="2"/>
        <v>5842.53</v>
      </c>
      <c r="Y53" s="2"/>
      <c r="Z53" s="19">
        <f t="shared" si="3"/>
        <v>5.0949926747593128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--538.3</f>
        <v>538.29999999999995</v>
      </c>
      <c r="E54" s="2"/>
      <c r="F54" s="19"/>
      <c r="G54" s="2"/>
      <c r="H54" s="2">
        <f t="shared" si="11"/>
        <v>0</v>
      </c>
      <c r="I54" s="2"/>
      <c r="J54" s="19"/>
      <c r="K54" s="2"/>
      <c r="L54" s="2">
        <f t="shared" si="0"/>
        <v>538.29999999999995</v>
      </c>
      <c r="M54" s="2"/>
      <c r="N54" s="19">
        <f t="shared" si="1"/>
        <v>0</v>
      </c>
      <c r="O54" s="11"/>
      <c r="P54" s="2">
        <f>--771.73</f>
        <v>771.73</v>
      </c>
      <c r="Q54" s="2"/>
      <c r="R54" s="19"/>
      <c r="S54" s="2"/>
      <c r="T54" s="2">
        <f>--41.91</f>
        <v>41.91</v>
      </c>
      <c r="U54" s="2"/>
      <c r="V54" s="19"/>
      <c r="W54" s="2"/>
      <c r="X54" s="2">
        <f t="shared" si="2"/>
        <v>729.82</v>
      </c>
      <c r="Y54" s="2"/>
      <c r="Z54" s="19">
        <f t="shared" si="3"/>
        <v>17.413982343116203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 t="shared" ref="D55:D56" si="12">0</f>
        <v>0</v>
      </c>
      <c r="E55" s="2"/>
      <c r="F55" s="19"/>
      <c r="G55" s="2"/>
      <c r="H55" s="2">
        <f>--98.5</f>
        <v>98.5</v>
      </c>
      <c r="I55" s="2"/>
      <c r="J55" s="19"/>
      <c r="K55" s="2"/>
      <c r="L55" s="2">
        <f t="shared" si="0"/>
        <v>-98.5</v>
      </c>
      <c r="M55" s="2"/>
      <c r="N55" s="19">
        <f t="shared" si="1"/>
        <v>-1</v>
      </c>
      <c r="O55" s="11"/>
      <c r="P55" s="2">
        <f>0</f>
        <v>0</v>
      </c>
      <c r="Q55" s="2"/>
      <c r="R55" s="19"/>
      <c r="S55" s="2"/>
      <c r="T55" s="2">
        <f>--222.68</f>
        <v>222.68</v>
      </c>
      <c r="U55" s="2"/>
      <c r="V55" s="19"/>
      <c r="W55" s="2"/>
      <c r="X55" s="2">
        <f t="shared" si="2"/>
        <v>-222.68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 t="shared" si="12"/>
        <v>0</v>
      </c>
      <c r="E56" s="2"/>
      <c r="F56" s="19"/>
      <c r="G56" s="2"/>
      <c r="H56" s="2">
        <f>--1047.53</f>
        <v>1047.53</v>
      </c>
      <c r="I56" s="2"/>
      <c r="J56" s="19"/>
      <c r="K56" s="2"/>
      <c r="L56" s="2">
        <f t="shared" si="0"/>
        <v>-1047.53</v>
      </c>
      <c r="M56" s="2"/>
      <c r="N56" s="19">
        <f t="shared" si="1"/>
        <v>-1</v>
      </c>
      <c r="O56" s="11"/>
      <c r="P56" s="2">
        <f>--52.68</f>
        <v>52.68</v>
      </c>
      <c r="Q56" s="2"/>
      <c r="R56" s="19"/>
      <c r="S56" s="2"/>
      <c r="T56" s="2">
        <f>--2556.64</f>
        <v>2556.64</v>
      </c>
      <c r="U56" s="2"/>
      <c r="V56" s="19"/>
      <c r="W56" s="2"/>
      <c r="X56" s="2">
        <f t="shared" si="2"/>
        <v>-2503.96</v>
      </c>
      <c r="Y56" s="2"/>
      <c r="Z56" s="19">
        <f t="shared" si="3"/>
        <v>-0.97939483071531386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--2539.06</f>
        <v>2539.06</v>
      </c>
      <c r="E57" s="2"/>
      <c r="F57" s="19"/>
      <c r="G57" s="2"/>
      <c r="H57" s="2">
        <f>--1531.2</f>
        <v>1531.2</v>
      </c>
      <c r="I57" s="2"/>
      <c r="J57" s="19"/>
      <c r="K57" s="2"/>
      <c r="L57" s="2">
        <f t="shared" si="0"/>
        <v>1007.8599999999999</v>
      </c>
      <c r="M57" s="2"/>
      <c r="N57" s="19">
        <f t="shared" si="1"/>
        <v>0.65821577847439905</v>
      </c>
      <c r="O57" s="11"/>
      <c r="P57" s="2">
        <f>--5745.17</f>
        <v>5745.17</v>
      </c>
      <c r="Q57" s="2"/>
      <c r="R57" s="19"/>
      <c r="S57" s="2"/>
      <c r="T57" s="2">
        <f>--4134.6</f>
        <v>4134.6000000000004</v>
      </c>
      <c r="U57" s="2"/>
      <c r="V57" s="19"/>
      <c r="W57" s="2"/>
      <c r="X57" s="2">
        <f t="shared" si="2"/>
        <v>1610.5699999999997</v>
      </c>
      <c r="Y57" s="2"/>
      <c r="Z57" s="19">
        <f t="shared" si="3"/>
        <v>0.38953465873361381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--4.72</f>
        <v>4.72</v>
      </c>
      <c r="E58" s="2"/>
      <c r="F58" s="19"/>
      <c r="G58" s="2"/>
      <c r="H58" s="2">
        <f>--182.3</f>
        <v>182.3</v>
      </c>
      <c r="I58" s="2"/>
      <c r="J58" s="19"/>
      <c r="K58" s="2"/>
      <c r="L58" s="2">
        <f t="shared" si="0"/>
        <v>-177.58</v>
      </c>
      <c r="M58" s="2"/>
      <c r="N58" s="19">
        <f t="shared" si="1"/>
        <v>-0.97410861217772904</v>
      </c>
      <c r="O58" s="11"/>
      <c r="P58" s="2">
        <f>--29.5</f>
        <v>29.5</v>
      </c>
      <c r="Q58" s="2"/>
      <c r="R58" s="19"/>
      <c r="S58" s="2"/>
      <c r="T58" s="2">
        <f>--531.02</f>
        <v>531.02</v>
      </c>
      <c r="U58" s="2"/>
      <c r="V58" s="19"/>
      <c r="W58" s="2"/>
      <c r="X58" s="2">
        <f t="shared" si="2"/>
        <v>-501.52</v>
      </c>
      <c r="Y58" s="2"/>
      <c r="Z58" s="19">
        <f t="shared" si="3"/>
        <v>-0.94444653685360247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--1098.12</f>
        <v>1098.1199999999999</v>
      </c>
      <c r="E59" s="2"/>
      <c r="F59" s="19"/>
      <c r="G59" s="2"/>
      <c r="H59" s="2">
        <f>--3944.61</f>
        <v>3944.61</v>
      </c>
      <c r="I59" s="2"/>
      <c r="J59" s="19"/>
      <c r="K59" s="2"/>
      <c r="L59" s="2">
        <f t="shared" si="0"/>
        <v>-2846.4900000000002</v>
      </c>
      <c r="M59" s="2"/>
      <c r="N59" s="19">
        <f t="shared" si="1"/>
        <v>-0.72161506460714753</v>
      </c>
      <c r="O59" s="11"/>
      <c r="P59" s="2">
        <f>--8640.27</f>
        <v>8640.27</v>
      </c>
      <c r="Q59" s="2"/>
      <c r="R59" s="19"/>
      <c r="S59" s="2"/>
      <c r="T59" s="2">
        <f>--43030.34</f>
        <v>43030.34</v>
      </c>
      <c r="U59" s="2"/>
      <c r="V59" s="19"/>
      <c r="W59" s="2"/>
      <c r="X59" s="2">
        <f t="shared" si="2"/>
        <v>-34390.069999999992</v>
      </c>
      <c r="Y59" s="2"/>
      <c r="Z59" s="19">
        <f t="shared" si="3"/>
        <v>-0.79920516547161824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 t="shared" ref="D60:D64" si="13">0</f>
        <v>0</v>
      </c>
      <c r="E60" s="2"/>
      <c r="F60" s="19"/>
      <c r="G60" s="2"/>
      <c r="H60" s="2">
        <f>--1102.23</f>
        <v>1102.23</v>
      </c>
      <c r="I60" s="2"/>
      <c r="J60" s="19"/>
      <c r="K60" s="2"/>
      <c r="L60" s="2">
        <f t="shared" si="0"/>
        <v>-1102.23</v>
      </c>
      <c r="M60" s="2"/>
      <c r="N60" s="19">
        <f t="shared" si="1"/>
        <v>-1</v>
      </c>
      <c r="O60" s="11"/>
      <c r="P60" s="2">
        <f>--22.49</f>
        <v>22.49</v>
      </c>
      <c r="Q60" s="2"/>
      <c r="R60" s="19"/>
      <c r="S60" s="2"/>
      <c r="T60" s="2">
        <f>--12547.43</f>
        <v>12547.43</v>
      </c>
      <c r="U60" s="2"/>
      <c r="V60" s="19"/>
      <c r="W60" s="2"/>
      <c r="X60" s="2">
        <f t="shared" si="2"/>
        <v>-12524.94</v>
      </c>
      <c r="Y60" s="2"/>
      <c r="Z60" s="19">
        <f t="shared" si="3"/>
        <v>-0.99820760107846784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 t="shared" si="13"/>
        <v>0</v>
      </c>
      <c r="E61" s="2"/>
      <c r="F61" s="19"/>
      <c r="G61" s="2"/>
      <c r="H61" s="2">
        <f>--1436.4</f>
        <v>1436.4</v>
      </c>
      <c r="I61" s="2"/>
      <c r="J61" s="19"/>
      <c r="K61" s="2"/>
      <c r="L61" s="2">
        <f t="shared" si="0"/>
        <v>-1436.4</v>
      </c>
      <c r="M61" s="2"/>
      <c r="N61" s="19">
        <f t="shared" si="1"/>
        <v>-1</v>
      </c>
      <c r="O61" s="11"/>
      <c r="P61" s="2">
        <f>--80.71</f>
        <v>80.709999999999994</v>
      </c>
      <c r="Q61" s="2"/>
      <c r="R61" s="19"/>
      <c r="S61" s="2"/>
      <c r="T61" s="2">
        <f>--13558.18</f>
        <v>13558.18</v>
      </c>
      <c r="U61" s="2"/>
      <c r="V61" s="19"/>
      <c r="W61" s="2"/>
      <c r="X61" s="2">
        <f t="shared" si="2"/>
        <v>-13477.470000000001</v>
      </c>
      <c r="Y61" s="2"/>
      <c r="Z61" s="19">
        <f t="shared" si="3"/>
        <v>-0.99404713612003981</v>
      </c>
    </row>
    <row r="62" spans="1:26" s="24" customFormat="1" hidden="1" outlineLevel="1" x14ac:dyDescent="0.25">
      <c r="A62" s="44"/>
      <c r="B62" s="11" t="str">
        <f>CONCATENATE("          ", "4134", " - ", "NON-TAXABLE SALES-SODA")</f>
        <v xml:space="preserve">          4134 - NON-TAXABLE SALES-SODA</v>
      </c>
      <c r="C62" s="11"/>
      <c r="D62" s="2">
        <f t="shared" si="13"/>
        <v>0</v>
      </c>
      <c r="E62" s="2"/>
      <c r="F62" s="19"/>
      <c r="G62" s="2"/>
      <c r="H62" s="2">
        <f>0</f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--45.53</f>
        <v>45.53</v>
      </c>
      <c r="Q62" s="2"/>
      <c r="R62" s="19"/>
      <c r="S62" s="2"/>
      <c r="T62" s="2">
        <f>0</f>
        <v>0</v>
      </c>
      <c r="U62" s="2"/>
      <c r="V62" s="19"/>
      <c r="W62" s="2"/>
      <c r="X62" s="2">
        <f t="shared" si="2"/>
        <v>45.53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"4135", " - ", "NON-TAXABLE SALES")</f>
        <v xml:space="preserve">          4135 - NON-TAXABLE SALES</v>
      </c>
      <c r="C63" s="11"/>
      <c r="D63" s="2">
        <f t="shared" si="13"/>
        <v>0</v>
      </c>
      <c r="E63" s="2"/>
      <c r="F63" s="19"/>
      <c r="G63" s="2"/>
      <c r="H63" s="2">
        <f>--21.54</f>
        <v>21.54</v>
      </c>
      <c r="I63" s="2"/>
      <c r="J63" s="19"/>
      <c r="K63" s="2"/>
      <c r="L63" s="2">
        <f t="shared" si="0"/>
        <v>-21.54</v>
      </c>
      <c r="M63" s="2"/>
      <c r="N63" s="19">
        <f t="shared" si="1"/>
        <v>-1</v>
      </c>
      <c r="O63" s="11"/>
      <c r="P63" s="2">
        <f>0</f>
        <v>0</v>
      </c>
      <c r="Q63" s="2"/>
      <c r="R63" s="19"/>
      <c r="S63" s="2"/>
      <c r="T63" s="2">
        <f>--139.86</f>
        <v>139.86000000000001</v>
      </c>
      <c r="U63" s="2"/>
      <c r="V63" s="19"/>
      <c r="W63" s="2"/>
      <c r="X63" s="2">
        <f t="shared" si="2"/>
        <v>-139.86000000000001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"4137", " - ", "NON-TAXABLE SALES-WATER")</f>
        <v xml:space="preserve">          4137 - NON-TAXABLE SALES-WATER</v>
      </c>
      <c r="C64" s="11"/>
      <c r="D64" s="2">
        <f t="shared" si="13"/>
        <v>0</v>
      </c>
      <c r="E64" s="2"/>
      <c r="F64" s="19"/>
      <c r="G64" s="2"/>
      <c r="H64" s="2">
        <f>--635.89</f>
        <v>635.89</v>
      </c>
      <c r="I64" s="2"/>
      <c r="J64" s="19"/>
      <c r="K64" s="2"/>
      <c r="L64" s="2">
        <f t="shared" si="0"/>
        <v>-635.89</v>
      </c>
      <c r="M64" s="2"/>
      <c r="N64" s="19">
        <f t="shared" si="1"/>
        <v>-1</v>
      </c>
      <c r="O64" s="11"/>
      <c r="P64" s="2">
        <f>--68.25</f>
        <v>68.25</v>
      </c>
      <c r="Q64" s="2"/>
      <c r="R64" s="19"/>
      <c r="S64" s="2"/>
      <c r="T64" s="2">
        <f>--6548.96</f>
        <v>6548.96</v>
      </c>
      <c r="U64" s="2"/>
      <c r="V64" s="19"/>
      <c r="W64" s="2"/>
      <c r="X64" s="2">
        <f t="shared" si="2"/>
        <v>-6480.71</v>
      </c>
      <c r="Y64" s="2"/>
      <c r="Z64" s="19">
        <f t="shared" si="3"/>
        <v>-0.98957849795998143</v>
      </c>
    </row>
    <row r="65" spans="1:26" s="24" customFormat="1" hidden="1" outlineLevel="1" x14ac:dyDescent="0.25">
      <c r="A65" s="44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--9206.45</f>
        <v>9206.4500000000007</v>
      </c>
      <c r="E65" s="2"/>
      <c r="F65" s="19"/>
      <c r="G65" s="2"/>
      <c r="H65" s="2">
        <f>--3758.83</f>
        <v>3758.83</v>
      </c>
      <c r="I65" s="2"/>
      <c r="J65" s="19"/>
      <c r="K65" s="2"/>
      <c r="L65" s="2">
        <f t="shared" si="0"/>
        <v>5447.6200000000008</v>
      </c>
      <c r="M65" s="2"/>
      <c r="N65" s="19">
        <f t="shared" si="1"/>
        <v>1.4492860810411752</v>
      </c>
      <c r="O65" s="11"/>
      <c r="P65" s="2">
        <f>--113177.42</f>
        <v>113177.42</v>
      </c>
      <c r="Q65" s="2"/>
      <c r="R65" s="19"/>
      <c r="S65" s="2"/>
      <c r="T65" s="2">
        <f>--42582.67</f>
        <v>42582.67</v>
      </c>
      <c r="U65" s="2"/>
      <c r="V65" s="19"/>
      <c r="W65" s="2"/>
      <c r="X65" s="2">
        <f t="shared" si="2"/>
        <v>70594.75</v>
      </c>
      <c r="Y65" s="2"/>
      <c r="Z65" s="19">
        <f t="shared" si="3"/>
        <v>1.6578281728224182</v>
      </c>
    </row>
    <row r="66" spans="1:26" s="24" customFormat="1" hidden="1" outlineLevel="1" x14ac:dyDescent="0.25">
      <c r="A66" s="44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--1872.52</f>
        <v>1872.52</v>
      </c>
      <c r="E66" s="2"/>
      <c r="F66" s="19"/>
      <c r="G66" s="2"/>
      <c r="H66" s="2">
        <f>--1719.12</f>
        <v>1719.12</v>
      </c>
      <c r="I66" s="2"/>
      <c r="J66" s="19"/>
      <c r="K66" s="2"/>
      <c r="L66" s="2">
        <f t="shared" si="0"/>
        <v>153.40000000000009</v>
      </c>
      <c r="M66" s="2"/>
      <c r="N66" s="19">
        <f t="shared" si="1"/>
        <v>8.9231699939503986E-2</v>
      </c>
      <c r="O66" s="11"/>
      <c r="P66" s="2">
        <f>--7841.77</f>
        <v>7841.77</v>
      </c>
      <c r="Q66" s="2"/>
      <c r="R66" s="19"/>
      <c r="S66" s="2"/>
      <c r="T66" s="2">
        <f>--4249</f>
        <v>4249</v>
      </c>
      <c r="U66" s="2"/>
      <c r="V66" s="19"/>
      <c r="W66" s="2"/>
      <c r="X66" s="2">
        <f t="shared" si="2"/>
        <v>3592.7700000000004</v>
      </c>
      <c r="Y66" s="2"/>
      <c r="Z66" s="19">
        <f t="shared" si="3"/>
        <v>0.84555660155330681</v>
      </c>
    </row>
    <row r="67" spans="1:26" s="24" customFormat="1" hidden="1" outlineLevel="1" x14ac:dyDescent="0.25">
      <c r="A67" s="44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--51.7</f>
        <v>51.7</v>
      </c>
      <c r="E67" s="2"/>
      <c r="F67" s="19"/>
      <c r="G67" s="2"/>
      <c r="H67" s="2">
        <f>--1947.91</f>
        <v>1947.91</v>
      </c>
      <c r="I67" s="2"/>
      <c r="J67" s="19"/>
      <c r="K67" s="2"/>
      <c r="L67" s="2">
        <f t="shared" si="0"/>
        <v>-1896.21</v>
      </c>
      <c r="M67" s="2"/>
      <c r="N67" s="19">
        <f t="shared" si="1"/>
        <v>-0.97345873269298888</v>
      </c>
      <c r="O67" s="11"/>
      <c r="P67" s="2">
        <f>--2259.89</f>
        <v>2259.89</v>
      </c>
      <c r="Q67" s="2"/>
      <c r="R67" s="19"/>
      <c r="S67" s="2"/>
      <c r="T67" s="2">
        <f>--12435.29</f>
        <v>12435.29</v>
      </c>
      <c r="U67" s="2"/>
      <c r="V67" s="19"/>
      <c r="W67" s="2"/>
      <c r="X67" s="2">
        <f t="shared" si="2"/>
        <v>-10175.400000000001</v>
      </c>
      <c r="Y67" s="2"/>
      <c r="Z67" s="19">
        <f t="shared" si="3"/>
        <v>-0.81826800983330517</v>
      </c>
    </row>
    <row r="68" spans="1:26" s="24" customFormat="1" hidden="1" outlineLevel="1" x14ac:dyDescent="0.25">
      <c r="A68" s="44"/>
      <c r="B68" s="11" t="str">
        <f>CONCATENATE("          ", "4143", " - ", "NON-TAXABLE SALES-CARDS")</f>
        <v xml:space="preserve">          4143 - NON-TAXABLE SALES-CARDS</v>
      </c>
      <c r="C68" s="11"/>
      <c r="D68" s="2">
        <f>--232.71</f>
        <v>232.71</v>
      </c>
      <c r="E68" s="2"/>
      <c r="F68" s="19"/>
      <c r="G68" s="2"/>
      <c r="H68" s="2">
        <f>0</f>
        <v>0</v>
      </c>
      <c r="I68" s="2"/>
      <c r="J68" s="19"/>
      <c r="K68" s="2"/>
      <c r="L68" s="2">
        <f t="shared" si="0"/>
        <v>232.71</v>
      </c>
      <c r="M68" s="2"/>
      <c r="N68" s="19">
        <f t="shared" si="1"/>
        <v>0</v>
      </c>
      <c r="O68" s="11"/>
      <c r="P68" s="2">
        <f>--1969.74</f>
        <v>1969.74</v>
      </c>
      <c r="Q68" s="2"/>
      <c r="R68" s="19"/>
      <c r="S68" s="2"/>
      <c r="T68" s="2">
        <f>0</f>
        <v>0</v>
      </c>
      <c r="U68" s="2"/>
      <c r="V68" s="19"/>
      <c r="W68" s="2"/>
      <c r="X68" s="2">
        <f t="shared" si="2"/>
        <v>1969.74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--119.9</f>
        <v>119.9</v>
      </c>
      <c r="E69" s="2"/>
      <c r="F69" s="19"/>
      <c r="G69" s="2"/>
      <c r="H69" s="2">
        <f>--374.48</f>
        <v>374.48</v>
      </c>
      <c r="I69" s="2"/>
      <c r="J69" s="19"/>
      <c r="K69" s="2"/>
      <c r="L69" s="2">
        <f t="shared" si="0"/>
        <v>-254.58</v>
      </c>
      <c r="M69" s="2"/>
      <c r="N69" s="19">
        <f t="shared" si="1"/>
        <v>-0.67982268745994445</v>
      </c>
      <c r="O69" s="11"/>
      <c r="P69" s="2">
        <f>--609.4</f>
        <v>609.4</v>
      </c>
      <c r="Q69" s="2"/>
      <c r="R69" s="19"/>
      <c r="S69" s="2"/>
      <c r="T69" s="2">
        <f>--967.33</f>
        <v>967.33</v>
      </c>
      <c r="U69" s="2"/>
      <c r="V69" s="19"/>
      <c r="W69" s="2"/>
      <c r="X69" s="2">
        <f t="shared" si="2"/>
        <v>-357.93000000000006</v>
      </c>
      <c r="Y69" s="2"/>
      <c r="Z69" s="19">
        <f t="shared" si="3"/>
        <v>-0.37001850454343405</v>
      </c>
    </row>
    <row r="70" spans="1:26" s="24" customFormat="1" hidden="1" outlineLevel="1" x14ac:dyDescent="0.25">
      <c r="A70" s="44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-1677.68</f>
        <v>-1677.68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-1677.68</v>
      </c>
      <c r="M70" s="2"/>
      <c r="N70" s="19">
        <f t="shared" si="1"/>
        <v>0</v>
      </c>
      <c r="O70" s="11"/>
      <c r="P70" s="2">
        <f>--53716.09</f>
        <v>53716.09</v>
      </c>
      <c r="Q70" s="2"/>
      <c r="R70" s="19"/>
      <c r="S70" s="2"/>
      <c r="T70" s="2">
        <f>--140</f>
        <v>140</v>
      </c>
      <c r="U70" s="2"/>
      <c r="V70" s="19"/>
      <c r="W70" s="2"/>
      <c r="X70" s="2">
        <f t="shared" si="2"/>
        <v>53576.09</v>
      </c>
      <c r="Y70" s="2"/>
      <c r="Z70" s="19">
        <f t="shared" si="3"/>
        <v>382.6863571428571</v>
      </c>
    </row>
    <row r="71" spans="1:26" s="24" customFormat="1" hidden="1" outlineLevel="1" x14ac:dyDescent="0.25">
      <c r="A71" s="44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--12.7</f>
        <v>12.7</v>
      </c>
      <c r="E71" s="2"/>
      <c r="F71" s="19"/>
      <c r="G71" s="2"/>
      <c r="H71" s="2">
        <f>--17086.55</f>
        <v>17086.55</v>
      </c>
      <c r="I71" s="2"/>
      <c r="J71" s="19"/>
      <c r="K71" s="2"/>
      <c r="L71" s="2">
        <f t="shared" si="0"/>
        <v>-17073.849999999999</v>
      </c>
      <c r="M71" s="2"/>
      <c r="N71" s="19">
        <f t="shared" si="1"/>
        <v>-0.99925672531903742</v>
      </c>
      <c r="O71" s="11"/>
      <c r="P71" s="2">
        <f>--140.6</f>
        <v>140.6</v>
      </c>
      <c r="Q71" s="2"/>
      <c r="R71" s="19"/>
      <c r="S71" s="2"/>
      <c r="T71" s="2">
        <f>--163554.5</f>
        <v>163554.5</v>
      </c>
      <c r="U71" s="2"/>
      <c r="V71" s="19"/>
      <c r="W71" s="2"/>
      <c r="X71" s="2">
        <f t="shared" si="2"/>
        <v>-163413.9</v>
      </c>
      <c r="Y71" s="2"/>
      <c r="Z71" s="19">
        <f t="shared" si="3"/>
        <v>-0.99914034771284188</v>
      </c>
    </row>
    <row r="72" spans="1:26" s="24" customFormat="1" hidden="1" outlineLevel="1" x14ac:dyDescent="0.25">
      <c r="A72" s="44"/>
      <c r="B72" s="11" t="str">
        <f>CONCATENATE("          ", "4147", " - ", "NON-TAXABLE SALES-MISC")</f>
        <v xml:space="preserve">          4147 - NON-TAXABLE SALES-MISC</v>
      </c>
      <c r="C72" s="11"/>
      <c r="D72" s="2">
        <f>--11</f>
        <v>11</v>
      </c>
      <c r="E72" s="2"/>
      <c r="F72" s="19"/>
      <c r="G72" s="2"/>
      <c r="H72" s="2">
        <f>--11.5</f>
        <v>11.5</v>
      </c>
      <c r="I72" s="2"/>
      <c r="J72" s="19"/>
      <c r="K72" s="2"/>
      <c r="L72" s="2">
        <f t="shared" si="0"/>
        <v>-0.5</v>
      </c>
      <c r="M72" s="2"/>
      <c r="N72" s="19">
        <f t="shared" si="1"/>
        <v>-4.3478260869565216E-2</v>
      </c>
      <c r="O72" s="11"/>
      <c r="P72" s="2">
        <f>--115.5</f>
        <v>115.5</v>
      </c>
      <c r="Q72" s="2"/>
      <c r="R72" s="19"/>
      <c r="S72" s="2"/>
      <c r="T72" s="2">
        <f>--318.9</f>
        <v>318.89999999999998</v>
      </c>
      <c r="U72" s="2"/>
      <c r="V72" s="19"/>
      <c r="W72" s="2"/>
      <c r="X72" s="2">
        <f t="shared" si="2"/>
        <v>-203.39999999999998</v>
      </c>
      <c r="Y72" s="2"/>
      <c r="Z72" s="19">
        <f t="shared" si="3"/>
        <v>-0.63781749764816553</v>
      </c>
    </row>
    <row r="73" spans="1:26" s="24" customFormat="1" hidden="1" outlineLevel="1" x14ac:dyDescent="0.25">
      <c r="A73" s="44"/>
      <c r="B73" s="11" t="str">
        <f>CONCATENATE("          ", "4186", " - ", "NON-TAXABLE SALES-COMPUTER SUP")</f>
        <v xml:space="preserve">          4186 - NON-TAXABLE SALES-COMPUTER SUP</v>
      </c>
      <c r="C73" s="11"/>
      <c r="D73" s="2">
        <f>0</f>
        <v>0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0</f>
        <v>0</v>
      </c>
      <c r="Q73" s="2"/>
      <c r="R73" s="19"/>
      <c r="S73" s="2"/>
      <c r="T73" s="2">
        <f>-30.97</f>
        <v>-30.97</v>
      </c>
      <c r="U73" s="2"/>
      <c r="V73" s="19"/>
      <c r="W73" s="2"/>
      <c r="X73" s="2">
        <f t="shared" si="2"/>
        <v>30.97</v>
      </c>
      <c r="Y73" s="2"/>
      <c r="Z73" s="19">
        <f t="shared" si="3"/>
        <v>-1</v>
      </c>
    </row>
    <row r="74" spans="1:26" s="24" customFormat="1" hidden="1" outlineLevel="1" x14ac:dyDescent="0.25">
      <c r="A74" s="44"/>
      <c r="B74" s="11" t="str">
        <f>CONCATENATE("          ", "4201", " - ", "SALES RETURN TAXABLE-NEW TEXT")</f>
        <v xml:space="preserve">          4201 - SALES RETURN TAXABLE-NEW TEXT</v>
      </c>
      <c r="C74" s="11"/>
      <c r="D74" s="2">
        <f>-12741.9</f>
        <v>-12741.9</v>
      </c>
      <c r="E74" s="2"/>
      <c r="F74" s="19"/>
      <c r="G74" s="2"/>
      <c r="H74" s="2">
        <f>-37895.48</f>
        <v>-37895.480000000003</v>
      </c>
      <c r="I74" s="2"/>
      <c r="J74" s="19"/>
      <c r="K74" s="2"/>
      <c r="L74" s="2">
        <f t="shared" si="0"/>
        <v>25153.58</v>
      </c>
      <c r="M74" s="2"/>
      <c r="N74" s="19">
        <f t="shared" si="1"/>
        <v>-0.66376201066723528</v>
      </c>
      <c r="O74" s="11"/>
      <c r="P74" s="2">
        <f>-48517.74</f>
        <v>-48517.74</v>
      </c>
      <c r="Q74" s="2"/>
      <c r="R74" s="19"/>
      <c r="S74" s="2"/>
      <c r="T74" s="2">
        <f>-116625.85</f>
        <v>-116625.85</v>
      </c>
      <c r="U74" s="2"/>
      <c r="V74" s="19"/>
      <c r="W74" s="2"/>
      <c r="X74" s="2">
        <f t="shared" si="2"/>
        <v>68108.110000000015</v>
      </c>
      <c r="Y74" s="2"/>
      <c r="Z74" s="19">
        <f t="shared" si="3"/>
        <v>-0.58398811241247128</v>
      </c>
    </row>
    <row r="75" spans="1:26" s="24" customFormat="1" hidden="1" outlineLevel="1" x14ac:dyDescent="0.25">
      <c r="A75" s="44"/>
      <c r="B75" s="11" t="str">
        <f>CONCATENATE("          ", "4202", " - ", "SALES RETURN TAXABLE-USED TEXT")</f>
        <v xml:space="preserve">          4202 - SALES RETURN TAXABLE-USED TEXT</v>
      </c>
      <c r="C75" s="11"/>
      <c r="D75" s="2">
        <f>-4670.3</f>
        <v>-4670.3</v>
      </c>
      <c r="E75" s="2"/>
      <c r="F75" s="19"/>
      <c r="G75" s="2"/>
      <c r="H75" s="2">
        <f>-16170.8</f>
        <v>-16170.8</v>
      </c>
      <c r="I75" s="2"/>
      <c r="J75" s="19"/>
      <c r="K75" s="2"/>
      <c r="L75" s="2">
        <f t="shared" si="0"/>
        <v>11500.5</v>
      </c>
      <c r="M75" s="2"/>
      <c r="N75" s="19">
        <f t="shared" si="1"/>
        <v>-0.71118930417790094</v>
      </c>
      <c r="O75" s="11"/>
      <c r="P75" s="2">
        <f>-18536.3</f>
        <v>-18536.3</v>
      </c>
      <c r="Q75" s="2"/>
      <c r="R75" s="19"/>
      <c r="S75" s="2"/>
      <c r="T75" s="2">
        <f>-43379.15</f>
        <v>-43379.15</v>
      </c>
      <c r="U75" s="2"/>
      <c r="V75" s="19"/>
      <c r="W75" s="2"/>
      <c r="X75" s="2">
        <f t="shared" si="2"/>
        <v>24842.850000000002</v>
      </c>
      <c r="Y75" s="2"/>
      <c r="Z75" s="19">
        <f t="shared" si="3"/>
        <v>-0.57269102783249559</v>
      </c>
    </row>
    <row r="76" spans="1:26" s="24" customFormat="1" hidden="1" outlineLevel="1" x14ac:dyDescent="0.25">
      <c r="A76" s="44"/>
      <c r="B76" s="11" t="str">
        <f>CONCATENATE("          ", "4203", " - ", "SALES RETURN TAXABLE-RENTAL TE")</f>
        <v xml:space="preserve">          4203 - SALES RETURN TAXABLE-RENTAL TE</v>
      </c>
      <c r="C76" s="11"/>
      <c r="D76" s="2">
        <f t="shared" ref="D76:D83" si="14">0</f>
        <v>0</v>
      </c>
      <c r="E76" s="2"/>
      <c r="F76" s="19"/>
      <c r="G76" s="2"/>
      <c r="H76" s="2">
        <f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0</f>
        <v>0</v>
      </c>
      <c r="Q76" s="2"/>
      <c r="R76" s="19"/>
      <c r="S76" s="2"/>
      <c r="T76" s="2">
        <f>-144.99</f>
        <v>-144.99</v>
      </c>
      <c r="U76" s="2"/>
      <c r="V76" s="19"/>
      <c r="W76" s="2"/>
      <c r="X76" s="2">
        <f t="shared" si="2"/>
        <v>144.99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"4204", " - ", "SALES RETURN TAXABLE-DIGITAL T")</f>
        <v xml:space="preserve">          4204 - SALES RETURN TAXABLE-DIGITAL T</v>
      </c>
      <c r="C77" s="11"/>
      <c r="D77" s="2">
        <f t="shared" si="14"/>
        <v>0</v>
      </c>
      <c r="E77" s="2"/>
      <c r="F77" s="19"/>
      <c r="G77" s="2"/>
      <c r="H77" s="2">
        <f>-4891.98</f>
        <v>-4891.9799999999996</v>
      </c>
      <c r="I77" s="2"/>
      <c r="J77" s="19"/>
      <c r="K77" s="2"/>
      <c r="L77" s="2">
        <f t="shared" si="0"/>
        <v>4891.9799999999996</v>
      </c>
      <c r="M77" s="2"/>
      <c r="N77" s="19">
        <f t="shared" si="1"/>
        <v>-1</v>
      </c>
      <c r="O77" s="11"/>
      <c r="P77" s="2">
        <f>-1630.85</f>
        <v>-1630.85</v>
      </c>
      <c r="Q77" s="2"/>
      <c r="R77" s="19"/>
      <c r="S77" s="2"/>
      <c r="T77" s="2">
        <f>-16261.44</f>
        <v>-16261.44</v>
      </c>
      <c r="U77" s="2"/>
      <c r="V77" s="19"/>
      <c r="W77" s="2"/>
      <c r="X77" s="2">
        <f t="shared" si="2"/>
        <v>14630.59</v>
      </c>
      <c r="Y77" s="2"/>
      <c r="Z77" s="19">
        <f t="shared" si="3"/>
        <v>-0.89971060373497058</v>
      </c>
    </row>
    <row r="78" spans="1:26" s="24" customFormat="1" hidden="1" outlineLevel="1" x14ac:dyDescent="0.25">
      <c r="A78" s="44"/>
      <c r="B78" s="11" t="str">
        <f>CONCATENATE("          ", "4213", " - ", "NON-TAXABLE SALES-TRADE BOOKS")</f>
        <v xml:space="preserve">          4213 - NON-TAXABLE SALES-TRADE BOOKS</v>
      </c>
      <c r="C78" s="11"/>
      <c r="D78" s="2">
        <f t="shared" si="14"/>
        <v>0</v>
      </c>
      <c r="E78" s="2"/>
      <c r="F78" s="19"/>
      <c r="G78" s="2"/>
      <c r="H78" s="2">
        <f>-13.95</f>
        <v>-13.95</v>
      </c>
      <c r="I78" s="2"/>
      <c r="J78" s="19"/>
      <c r="K78" s="2"/>
      <c r="L78" s="2">
        <f t="shared" si="0"/>
        <v>13.95</v>
      </c>
      <c r="M78" s="2"/>
      <c r="N78" s="19">
        <f t="shared" si="1"/>
        <v>-1</v>
      </c>
      <c r="O78" s="11"/>
      <c r="P78" s="2">
        <f t="shared" ref="P78:P82" si="15">0</f>
        <v>0</v>
      </c>
      <c r="Q78" s="2"/>
      <c r="R78" s="19"/>
      <c r="S78" s="2"/>
      <c r="T78" s="2">
        <f>-116.66</f>
        <v>-116.66</v>
      </c>
      <c r="U78" s="2"/>
      <c r="V78" s="19"/>
      <c r="W78" s="2"/>
      <c r="X78" s="2">
        <f t="shared" si="2"/>
        <v>116.66</v>
      </c>
      <c r="Y78" s="2"/>
      <c r="Z78" s="19">
        <f t="shared" si="3"/>
        <v>-1</v>
      </c>
    </row>
    <row r="79" spans="1:26" s="24" customFormat="1" hidden="1" outlineLevel="1" x14ac:dyDescent="0.25">
      <c r="A79" s="44"/>
      <c r="B79" s="11" t="str">
        <f>CONCATENATE("          ", "4214", " - ", "SALES RETURN TAXABLE-REMAINDER")</f>
        <v xml:space="preserve">          4214 - SALES RETURN TAXABLE-REMAINDER</v>
      </c>
      <c r="C79" s="11"/>
      <c r="D79" s="2">
        <f t="shared" si="14"/>
        <v>0</v>
      </c>
      <c r="E79" s="2"/>
      <c r="F79" s="19"/>
      <c r="G79" s="2"/>
      <c r="H79" s="2">
        <f t="shared" ref="H79:H80" si="16"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 t="shared" si="15"/>
        <v>0</v>
      </c>
      <c r="Q79" s="2"/>
      <c r="R79" s="19"/>
      <c r="S79" s="2"/>
      <c r="T79" s="2">
        <f>-11.94</f>
        <v>-11.94</v>
      </c>
      <c r="U79" s="2"/>
      <c r="V79" s="19"/>
      <c r="W79" s="2"/>
      <c r="X79" s="2">
        <f t="shared" si="2"/>
        <v>11.94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"4217", " - ", "NON-TAXABLE SALES-DORM/HOUSEWA")</f>
        <v xml:space="preserve">          4217 - NON-TAXABLE SALES-DORM/HOUSEWA</v>
      </c>
      <c r="C80" s="11"/>
      <c r="D80" s="2">
        <f t="shared" si="14"/>
        <v>0</v>
      </c>
      <c r="E80" s="2"/>
      <c r="F80" s="19"/>
      <c r="G80" s="2"/>
      <c r="H80" s="2">
        <f t="shared" si="16"/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 t="shared" si="15"/>
        <v>0</v>
      </c>
      <c r="Q80" s="2"/>
      <c r="R80" s="19"/>
      <c r="S80" s="2"/>
      <c r="T80" s="2">
        <f>-2.98</f>
        <v>-2.98</v>
      </c>
      <c r="U80" s="2"/>
      <c r="V80" s="19"/>
      <c r="W80" s="2"/>
      <c r="X80" s="2">
        <f t="shared" si="2"/>
        <v>2.98</v>
      </c>
      <c r="Y80" s="2"/>
      <c r="Z80" s="19">
        <f t="shared" si="3"/>
        <v>-1</v>
      </c>
    </row>
    <row r="81" spans="1:26" s="24" customFormat="1" hidden="1" outlineLevel="1" x14ac:dyDescent="0.25">
      <c r="A81" s="44"/>
      <c r="B81" s="11" t="str">
        <f>CONCATENATE("          ", "4218", " - ", "SALES RETURN TAXABLE-STUDY GUI")</f>
        <v xml:space="preserve">          4218 - SALES RETURN TAXABLE-STUDY GUI</v>
      </c>
      <c r="C81" s="11"/>
      <c r="D81" s="2">
        <f t="shared" si="14"/>
        <v>0</v>
      </c>
      <c r="E81" s="2"/>
      <c r="F81" s="19"/>
      <c r="G81" s="2"/>
      <c r="H81" s="2">
        <f>-6.5</f>
        <v>-6.5</v>
      </c>
      <c r="I81" s="2"/>
      <c r="J81" s="19"/>
      <c r="K81" s="2"/>
      <c r="L81" s="2">
        <f t="shared" si="0"/>
        <v>6.5</v>
      </c>
      <c r="M81" s="2"/>
      <c r="N81" s="19">
        <f t="shared" si="1"/>
        <v>-1</v>
      </c>
      <c r="O81" s="11"/>
      <c r="P81" s="2">
        <f t="shared" si="15"/>
        <v>0</v>
      </c>
      <c r="Q81" s="2"/>
      <c r="R81" s="19"/>
      <c r="S81" s="2"/>
      <c r="T81" s="2">
        <f>-39.25</f>
        <v>-39.25</v>
      </c>
      <c r="U81" s="2"/>
      <c r="V81" s="19"/>
      <c r="W81" s="2"/>
      <c r="X81" s="2">
        <f t="shared" si="2"/>
        <v>39.25</v>
      </c>
      <c r="Y81" s="2"/>
      <c r="Z81" s="19">
        <f t="shared" si="3"/>
        <v>-1</v>
      </c>
    </row>
    <row r="82" spans="1:26" s="24" customFormat="1" hidden="1" outlineLevel="1" x14ac:dyDescent="0.25">
      <c r="A82" s="44"/>
      <c r="B82" s="11" t="str">
        <f>CONCATENATE("          ", "4225", " - ", "SALES RETURN TAXABLE-TEST FORM")</f>
        <v xml:space="preserve">          4225 - SALES RETURN TAXABLE-TEST FORM</v>
      </c>
      <c r="C82" s="11"/>
      <c r="D82" s="2">
        <f t="shared" si="14"/>
        <v>0</v>
      </c>
      <c r="E82" s="2"/>
      <c r="F82" s="19"/>
      <c r="G82" s="2"/>
      <c r="H82" s="2">
        <f>-14.74</f>
        <v>-14.74</v>
      </c>
      <c r="I82" s="2"/>
      <c r="J82" s="19"/>
      <c r="K82" s="2"/>
      <c r="L82" s="2">
        <f t="shared" si="0"/>
        <v>14.74</v>
      </c>
      <c r="M82" s="2"/>
      <c r="N82" s="19">
        <f t="shared" si="1"/>
        <v>-1</v>
      </c>
      <c r="O82" s="11"/>
      <c r="P82" s="2">
        <f t="shared" si="15"/>
        <v>0</v>
      </c>
      <c r="Q82" s="2"/>
      <c r="R82" s="19"/>
      <c r="S82" s="2"/>
      <c r="T82" s="2">
        <f>-95.71</f>
        <v>-95.71</v>
      </c>
      <c r="U82" s="2"/>
      <c r="V82" s="19"/>
      <c r="W82" s="2"/>
      <c r="X82" s="2">
        <f t="shared" si="2"/>
        <v>95.71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"4226", " - ", "SALES RETURN TAXABLE-WRITING I")</f>
        <v xml:space="preserve">          4226 - SALES RETURN TAXABLE-WRITING I</v>
      </c>
      <c r="C83" s="11"/>
      <c r="D83" s="2">
        <f t="shared" si="14"/>
        <v>0</v>
      </c>
      <c r="E83" s="2"/>
      <c r="F83" s="19"/>
      <c r="G83" s="2"/>
      <c r="H83" s="2">
        <f>-149.55</f>
        <v>-149.55000000000001</v>
      </c>
      <c r="I83" s="2"/>
      <c r="J83" s="19"/>
      <c r="K83" s="2"/>
      <c r="L83" s="2">
        <f t="shared" si="0"/>
        <v>149.55000000000001</v>
      </c>
      <c r="M83" s="2"/>
      <c r="N83" s="19">
        <f t="shared" si="1"/>
        <v>-1</v>
      </c>
      <c r="O83" s="11"/>
      <c r="P83" s="2">
        <f>-34.23</f>
        <v>-34.229999999999997</v>
      </c>
      <c r="Q83" s="2"/>
      <c r="R83" s="19"/>
      <c r="S83" s="2"/>
      <c r="T83" s="2">
        <f>-680.91</f>
        <v>-680.91</v>
      </c>
      <c r="U83" s="2"/>
      <c r="V83" s="19"/>
      <c r="W83" s="2"/>
      <c r="X83" s="2">
        <f t="shared" si="2"/>
        <v>646.67999999999995</v>
      </c>
      <c r="Y83" s="2"/>
      <c r="Z83" s="19">
        <f t="shared" si="3"/>
        <v>-0.94972903908005457</v>
      </c>
    </row>
    <row r="84" spans="1:26" s="24" customFormat="1" hidden="1" outlineLevel="1" x14ac:dyDescent="0.25">
      <c r="A84" s="44"/>
      <c r="B84" s="11" t="str">
        <f>CONCATENATE("          ", "4227", " - ", "SALES RETURN TAXABLE-SCHOOL SU")</f>
        <v xml:space="preserve">          4227 - SALES RETURN TAXABLE-SCHOOL SU</v>
      </c>
      <c r="C84" s="11"/>
      <c r="D84" s="2">
        <f>-126.22</f>
        <v>-126.22</v>
      </c>
      <c r="E84" s="2"/>
      <c r="F84" s="19"/>
      <c r="G84" s="2"/>
      <c r="H84" s="2">
        <f>-962.28</f>
        <v>-962.28</v>
      </c>
      <c r="I84" s="2"/>
      <c r="J84" s="19"/>
      <c r="K84" s="2"/>
      <c r="L84" s="2">
        <f t="shared" si="0"/>
        <v>836.06</v>
      </c>
      <c r="M84" s="2"/>
      <c r="N84" s="19">
        <f t="shared" si="1"/>
        <v>-0.86883235648667745</v>
      </c>
      <c r="O84" s="11"/>
      <c r="P84" s="2">
        <f>-762.68</f>
        <v>-762.68</v>
      </c>
      <c r="Q84" s="2"/>
      <c r="R84" s="19"/>
      <c r="S84" s="2"/>
      <c r="T84" s="2">
        <f>-6910.86</f>
        <v>-6910.86</v>
      </c>
      <c r="U84" s="2"/>
      <c r="V84" s="19"/>
      <c r="W84" s="2"/>
      <c r="X84" s="2">
        <f t="shared" si="2"/>
        <v>6148.1799999999994</v>
      </c>
      <c r="Y84" s="2"/>
      <c r="Z84" s="19">
        <f t="shared" si="3"/>
        <v>-0.88964036313859629</v>
      </c>
    </row>
    <row r="85" spans="1:26" s="24" customFormat="1" hidden="1" outlineLevel="1" x14ac:dyDescent="0.25">
      <c r="A85" s="44"/>
      <c r="B85" s="11" t="str">
        <f>CONCATENATE("          ", "4228", " - ", "SALES RETURN TAXABLE-ART/TECH")</f>
        <v xml:space="preserve">          4228 - SALES RETURN TAXABLE-ART/TECH</v>
      </c>
      <c r="C85" s="11"/>
      <c r="D85" s="2">
        <f>-12473.84</f>
        <v>-12473.84</v>
      </c>
      <c r="E85" s="2"/>
      <c r="F85" s="19"/>
      <c r="G85" s="2"/>
      <c r="H85" s="2">
        <f>-766.07</f>
        <v>-766.07</v>
      </c>
      <c r="I85" s="2"/>
      <c r="J85" s="19"/>
      <c r="K85" s="2"/>
      <c r="L85" s="2">
        <f t="shared" si="0"/>
        <v>-11707.77</v>
      </c>
      <c r="M85" s="2"/>
      <c r="N85" s="19">
        <f t="shared" si="1"/>
        <v>15.282898429647421</v>
      </c>
      <c r="O85" s="11"/>
      <c r="P85" s="2">
        <f>-12728.53</f>
        <v>-12728.53</v>
      </c>
      <c r="Q85" s="2"/>
      <c r="R85" s="19"/>
      <c r="S85" s="2"/>
      <c r="T85" s="2">
        <f>-3914.69</f>
        <v>-3914.69</v>
      </c>
      <c r="U85" s="2"/>
      <c r="V85" s="19"/>
      <c r="W85" s="2"/>
      <c r="X85" s="2">
        <f t="shared" si="2"/>
        <v>-8813.84</v>
      </c>
      <c r="Y85" s="2"/>
      <c r="Z85" s="19">
        <f t="shared" si="3"/>
        <v>2.2514784056975139</v>
      </c>
    </row>
    <row r="86" spans="1:26" s="24" customFormat="1" hidden="1" outlineLevel="1" x14ac:dyDescent="0.25">
      <c r="A86" s="44"/>
      <c r="B86" s="11" t="str">
        <f>CONCATENATE("          ", "4233", " - ", "SALES RETURN TAXABLE-CANDY")</f>
        <v xml:space="preserve">          4233 - SALES RETURN TAXABLE-CANDY</v>
      </c>
      <c r="C86" s="11"/>
      <c r="D86" s="2">
        <f>0</f>
        <v>0</v>
      </c>
      <c r="E86" s="2"/>
      <c r="F86" s="19"/>
      <c r="G86" s="2"/>
      <c r="H86" s="2">
        <f>0</f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0</f>
        <v>0</v>
      </c>
      <c r="Q86" s="2"/>
      <c r="R86" s="19"/>
      <c r="S86" s="2"/>
      <c r="T86" s="2">
        <f>-1.29</f>
        <v>-1.29</v>
      </c>
      <c r="U86" s="2"/>
      <c r="V86" s="19"/>
      <c r="W86" s="2"/>
      <c r="X86" s="2">
        <f t="shared" si="2"/>
        <v>1.29</v>
      </c>
      <c r="Y86" s="2"/>
      <c r="Z86" s="19">
        <f t="shared" si="3"/>
        <v>-1</v>
      </c>
    </row>
    <row r="87" spans="1:26" s="24" customFormat="1" hidden="1" outlineLevel="1" x14ac:dyDescent="0.25">
      <c r="A87" s="44"/>
      <c r="B87" s="11" t="str">
        <f>CONCATENATE("          ", "4240", " - ", "SALES RETURN TAXABLE-LOGO CLOT")</f>
        <v xml:space="preserve">          4240 - SALES RETURN TAXABLE-LOGO CLOT</v>
      </c>
      <c r="C87" s="11"/>
      <c r="D87" s="2">
        <f>-7168.03</f>
        <v>-7168.03</v>
      </c>
      <c r="E87" s="2"/>
      <c r="F87" s="19"/>
      <c r="G87" s="2"/>
      <c r="H87" s="2">
        <f>-12286.81</f>
        <v>-12286.81</v>
      </c>
      <c r="I87" s="2"/>
      <c r="J87" s="19"/>
      <c r="K87" s="2"/>
      <c r="L87" s="2">
        <f t="shared" si="0"/>
        <v>5118.78</v>
      </c>
      <c r="M87" s="2"/>
      <c r="N87" s="19">
        <f t="shared" si="1"/>
        <v>-0.41660772812471258</v>
      </c>
      <c r="O87" s="11"/>
      <c r="P87" s="2">
        <f>-27586.87</f>
        <v>-27586.87</v>
      </c>
      <c r="Q87" s="2"/>
      <c r="R87" s="19"/>
      <c r="S87" s="2"/>
      <c r="T87" s="2">
        <f>-61608.75</f>
        <v>-61608.75</v>
      </c>
      <c r="U87" s="2"/>
      <c r="V87" s="19"/>
      <c r="W87" s="2"/>
      <c r="X87" s="2">
        <f t="shared" si="2"/>
        <v>34021.880000000005</v>
      </c>
      <c r="Y87" s="2"/>
      <c r="Z87" s="19">
        <f t="shared" si="3"/>
        <v>-0.55222480572970567</v>
      </c>
    </row>
    <row r="88" spans="1:26" s="24" customFormat="1" hidden="1" outlineLevel="1" x14ac:dyDescent="0.25">
      <c r="A88" s="44"/>
      <c r="B88" s="11" t="str">
        <f>CONCATENATE("          ", "4241", " - ", "SALES RETURN TAXABLE-LOGO GIFT")</f>
        <v xml:space="preserve">          4241 - SALES RETURN TAXABLE-LOGO GIFT</v>
      </c>
      <c r="C88" s="11"/>
      <c r="D88" s="2">
        <f>-1397.46</f>
        <v>-1397.46</v>
      </c>
      <c r="E88" s="2"/>
      <c r="F88" s="19"/>
      <c r="G88" s="2"/>
      <c r="H88" s="2">
        <f>-805.34</f>
        <v>-805.34</v>
      </c>
      <c r="I88" s="2"/>
      <c r="J88" s="19"/>
      <c r="K88" s="2"/>
      <c r="L88" s="2">
        <f t="shared" si="0"/>
        <v>-592.12</v>
      </c>
      <c r="M88" s="2"/>
      <c r="N88" s="19">
        <f t="shared" si="1"/>
        <v>0.73524225792832842</v>
      </c>
      <c r="O88" s="11"/>
      <c r="P88" s="2">
        <f>-4957.47</f>
        <v>-4957.47</v>
      </c>
      <c r="Q88" s="2"/>
      <c r="R88" s="19"/>
      <c r="S88" s="2"/>
      <c r="T88" s="2">
        <f>-4954.21</f>
        <v>-4954.21</v>
      </c>
      <c r="U88" s="2"/>
      <c r="V88" s="19"/>
      <c r="W88" s="2"/>
      <c r="X88" s="2">
        <f t="shared" si="2"/>
        <v>-3.2600000000002183</v>
      </c>
      <c r="Y88" s="2"/>
      <c r="Z88" s="19">
        <f t="shared" si="3"/>
        <v>6.5802620397605635E-4</v>
      </c>
    </row>
    <row r="89" spans="1:26" s="24" customFormat="1" hidden="1" outlineLevel="1" x14ac:dyDescent="0.25">
      <c r="A89" s="44"/>
      <c r="B89" s="11" t="str">
        <f>CONCATENATE("          ", "4242", " - ", "SALES RETURN TAXABLE-EVERYDAY")</f>
        <v xml:space="preserve">          4242 - SALES RETURN TAXABLE-EVERYDAY</v>
      </c>
      <c r="C89" s="11"/>
      <c r="D89" s="2">
        <f>-76.86</f>
        <v>-76.86</v>
      </c>
      <c r="E89" s="2"/>
      <c r="F89" s="19"/>
      <c r="G89" s="2"/>
      <c r="H89" s="2">
        <f>-754.91</f>
        <v>-754.91</v>
      </c>
      <c r="I89" s="2"/>
      <c r="J89" s="19"/>
      <c r="K89" s="2"/>
      <c r="L89" s="2">
        <f t="shared" si="0"/>
        <v>678.05</v>
      </c>
      <c r="M89" s="2"/>
      <c r="N89" s="19">
        <f t="shared" si="1"/>
        <v>-0.89818653879270371</v>
      </c>
      <c r="O89" s="11"/>
      <c r="P89" s="2">
        <f>-1693.78</f>
        <v>-1693.78</v>
      </c>
      <c r="Q89" s="2"/>
      <c r="R89" s="19"/>
      <c r="S89" s="2"/>
      <c r="T89" s="2">
        <f>-3544.33</f>
        <v>-3544.33</v>
      </c>
      <c r="U89" s="2"/>
      <c r="V89" s="19"/>
      <c r="W89" s="2"/>
      <c r="X89" s="2">
        <f t="shared" si="2"/>
        <v>1850.55</v>
      </c>
      <c r="Y89" s="2"/>
      <c r="Z89" s="19">
        <f t="shared" si="3"/>
        <v>-0.52211560435963922</v>
      </c>
    </row>
    <row r="90" spans="1:26" s="24" customFormat="1" hidden="1" outlineLevel="1" x14ac:dyDescent="0.25">
      <c r="A90" s="44"/>
      <c r="B90" s="11" t="str">
        <f>CONCATENATE("          ", "4243", " - ", "SALES RETURN TAXABLE-CARDS")</f>
        <v xml:space="preserve">          4243 - SALES RETURN TAXABLE-CARDS</v>
      </c>
      <c r="C90" s="11"/>
      <c r="D90" s="2">
        <f>-1422.25</f>
        <v>-1422.25</v>
      </c>
      <c r="E90" s="2"/>
      <c r="F90" s="19"/>
      <c r="G90" s="2"/>
      <c r="H90" s="2">
        <f>-344.74</f>
        <v>-344.74</v>
      </c>
      <c r="I90" s="2"/>
      <c r="J90" s="19"/>
      <c r="K90" s="2"/>
      <c r="L90" s="2">
        <f t="shared" si="0"/>
        <v>-1077.51</v>
      </c>
      <c r="M90" s="2"/>
      <c r="N90" s="19">
        <f t="shared" si="1"/>
        <v>3.1255728955154609</v>
      </c>
      <c r="O90" s="11"/>
      <c r="P90" s="2">
        <f>-4999.79</f>
        <v>-4999.79</v>
      </c>
      <c r="Q90" s="2"/>
      <c r="R90" s="19"/>
      <c r="S90" s="2"/>
      <c r="T90" s="2">
        <f>-1224.21</f>
        <v>-1224.21</v>
      </c>
      <c r="U90" s="2"/>
      <c r="V90" s="19"/>
      <c r="W90" s="2"/>
      <c r="X90" s="2">
        <f t="shared" si="2"/>
        <v>-3775.58</v>
      </c>
      <c r="Y90" s="2"/>
      <c r="Z90" s="19">
        <f t="shared" si="3"/>
        <v>3.0840950490520416</v>
      </c>
    </row>
    <row r="91" spans="1:26" s="24" customFormat="1" hidden="1" outlineLevel="1" x14ac:dyDescent="0.25">
      <c r="A91" s="44"/>
      <c r="B91" s="11" t="str">
        <f>CONCATENATE("          ", "4244", " - ", "SALES RETURN TAXABLE-ACCESSORI")</f>
        <v xml:space="preserve">          4244 - SALES RETURN TAXABLE-ACCESSORI</v>
      </c>
      <c r="C91" s="11"/>
      <c r="D91" s="2">
        <f>-93.98</f>
        <v>-93.98</v>
      </c>
      <c r="E91" s="2"/>
      <c r="F91" s="19"/>
      <c r="G91" s="2"/>
      <c r="H91" s="2">
        <f>-370.28</f>
        <v>-370.28</v>
      </c>
      <c r="I91" s="2"/>
      <c r="J91" s="19"/>
      <c r="K91" s="2"/>
      <c r="L91" s="2">
        <f t="shared" si="0"/>
        <v>276.29999999999995</v>
      </c>
      <c r="M91" s="2"/>
      <c r="N91" s="19">
        <f t="shared" si="1"/>
        <v>-0.74619207086529105</v>
      </c>
      <c r="O91" s="11"/>
      <c r="P91" s="2">
        <f>-984.85</f>
        <v>-984.85</v>
      </c>
      <c r="Q91" s="2"/>
      <c r="R91" s="19"/>
      <c r="S91" s="2"/>
      <c r="T91" s="2">
        <f>-2102.05</f>
        <v>-2102.0500000000002</v>
      </c>
      <c r="U91" s="2"/>
      <c r="V91" s="19"/>
      <c r="W91" s="2"/>
      <c r="X91" s="2">
        <f t="shared" si="2"/>
        <v>1117.2000000000003</v>
      </c>
      <c r="Y91" s="2"/>
      <c r="Z91" s="19">
        <f t="shared" si="3"/>
        <v>-0.5314811731405058</v>
      </c>
    </row>
    <row r="92" spans="1:26" s="24" customFormat="1" hidden="1" outlineLevel="1" x14ac:dyDescent="0.25">
      <c r="A92" s="44"/>
      <c r="B92" s="11" t="str">
        <f>CONCATENATE("          ", "4245", " - ", "SALES RETURN TAXABLE-SPECIAL O")</f>
        <v xml:space="preserve">          4245 - SALES RETURN TAXABLE-SPECIAL O</v>
      </c>
      <c r="C92" s="11"/>
      <c r="D92" s="2">
        <f t="shared" ref="D92:D95" si="17">0</f>
        <v>0</v>
      </c>
      <c r="E92" s="2"/>
      <c r="F92" s="19"/>
      <c r="G92" s="2"/>
      <c r="H92" s="2">
        <f>-1623.09</f>
        <v>-1623.09</v>
      </c>
      <c r="I92" s="2"/>
      <c r="J92" s="19"/>
      <c r="K92" s="2"/>
      <c r="L92" s="2">
        <f t="shared" si="0"/>
        <v>1623.09</v>
      </c>
      <c r="M92" s="2"/>
      <c r="N92" s="19">
        <f t="shared" si="1"/>
        <v>-1</v>
      </c>
      <c r="O92" s="11"/>
      <c r="P92" s="2">
        <f>-11345.61</f>
        <v>-11345.61</v>
      </c>
      <c r="Q92" s="2"/>
      <c r="R92" s="19"/>
      <c r="S92" s="2"/>
      <c r="T92" s="2">
        <f>-1715.05</f>
        <v>-1715.05</v>
      </c>
      <c r="U92" s="2"/>
      <c r="V92" s="19"/>
      <c r="W92" s="2"/>
      <c r="X92" s="2">
        <f t="shared" si="2"/>
        <v>-9630.5600000000013</v>
      </c>
      <c r="Y92" s="2"/>
      <c r="Z92" s="19">
        <f t="shared" si="3"/>
        <v>5.6153231684207467</v>
      </c>
    </row>
    <row r="93" spans="1:26" s="24" customFormat="1" hidden="1" outlineLevel="1" x14ac:dyDescent="0.25">
      <c r="A93" s="44"/>
      <c r="B93" s="11" t="str">
        <f>CONCATENATE("          ", "4281", " - ", "SALES RETURN TAXABLE-ELECTRONI")</f>
        <v xml:space="preserve">          4281 - SALES RETURN TAXABLE-ELECTRONI</v>
      </c>
      <c r="C93" s="11"/>
      <c r="D93" s="2">
        <f t="shared" si="17"/>
        <v>0</v>
      </c>
      <c r="E93" s="2"/>
      <c r="F93" s="19"/>
      <c r="G93" s="2"/>
      <c r="H93" s="2">
        <f t="shared" ref="H93:H95" si="18">0</f>
        <v>0</v>
      </c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 t="shared" ref="P93:P95" si="19">0</f>
        <v>0</v>
      </c>
      <c r="Q93" s="2"/>
      <c r="R93" s="19"/>
      <c r="S93" s="2"/>
      <c r="T93" s="2">
        <f>-54.97</f>
        <v>-54.97</v>
      </c>
      <c r="U93" s="2"/>
      <c r="V93" s="19"/>
      <c r="W93" s="2"/>
      <c r="X93" s="2">
        <f t="shared" si="2"/>
        <v>54.97</v>
      </c>
      <c r="Y93" s="2"/>
      <c r="Z93" s="19">
        <f t="shared" si="3"/>
        <v>-1</v>
      </c>
    </row>
    <row r="94" spans="1:26" s="24" customFormat="1" hidden="1" outlineLevel="1" x14ac:dyDescent="0.25">
      <c r="A94" s="44"/>
      <c r="B94" s="11" t="str">
        <f>CONCATENATE("          ", "4292", " - ", "SALES RETURN TAXABLE-GRAD MERC")</f>
        <v xml:space="preserve">          4292 - SALES RETURN TAXABLE-GRAD MERC</v>
      </c>
      <c r="C94" s="11"/>
      <c r="D94" s="2">
        <f t="shared" si="17"/>
        <v>0</v>
      </c>
      <c r="E94" s="2"/>
      <c r="F94" s="19"/>
      <c r="G94" s="2"/>
      <c r="H94" s="2">
        <f t="shared" si="18"/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 t="shared" si="19"/>
        <v>0</v>
      </c>
      <c r="Q94" s="2"/>
      <c r="R94" s="19"/>
      <c r="S94" s="2"/>
      <c r="T94" s="2">
        <f>-419.05</f>
        <v>-419.05</v>
      </c>
      <c r="U94" s="2"/>
      <c r="V94" s="19"/>
      <c r="W94" s="2"/>
      <c r="X94" s="2">
        <f t="shared" si="2"/>
        <v>419.05</v>
      </c>
      <c r="Y94" s="2"/>
      <c r="Z94" s="19">
        <f t="shared" si="3"/>
        <v>-1</v>
      </c>
    </row>
    <row r="95" spans="1:26" s="24" customFormat="1" hidden="1" outlineLevel="1" x14ac:dyDescent="0.25">
      <c r="A95" s="44"/>
      <c r="B95" s="11" t="str">
        <f>CONCATENATE("          ", "4295", " - ", "SALES RETURN TAXABLE-CUSTOMER")</f>
        <v xml:space="preserve">          4295 - SALES RETURN TAXABLE-CUSTOMER</v>
      </c>
      <c r="C95" s="11"/>
      <c r="D95" s="2">
        <f t="shared" si="17"/>
        <v>0</v>
      </c>
      <c r="E95" s="2"/>
      <c r="F95" s="19"/>
      <c r="G95" s="2"/>
      <c r="H95" s="2">
        <f t="shared" si="18"/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 t="shared" si="19"/>
        <v>0</v>
      </c>
      <c r="Q95" s="2"/>
      <c r="R95" s="19"/>
      <c r="S95" s="2"/>
      <c r="T95" s="2">
        <f>--0.99</f>
        <v>0.99</v>
      </c>
      <c r="U95" s="2"/>
      <c r="V95" s="19"/>
      <c r="W95" s="2"/>
      <c r="X95" s="2">
        <f t="shared" si="2"/>
        <v>-0.99</v>
      </c>
      <c r="Y95" s="2"/>
      <c r="Z95" s="19">
        <f t="shared" si="3"/>
        <v>-1</v>
      </c>
    </row>
    <row r="96" spans="1:26" s="24" customFormat="1" hidden="1" outlineLevel="1" x14ac:dyDescent="0.25">
      <c r="A96" s="44"/>
      <c r="B96" s="11" t="str">
        <f>CONCATENATE("          ", "4301", " - ", "SALES RETURN NON TAXABLE-NEW T")</f>
        <v xml:space="preserve">          4301 - SALES RETURN NON TAXABLE-NEW T</v>
      </c>
      <c r="C96" s="11"/>
      <c r="D96" s="2">
        <f>-256.69</f>
        <v>-256.69</v>
      </c>
      <c r="E96" s="2"/>
      <c r="F96" s="19"/>
      <c r="G96" s="2"/>
      <c r="H96" s="2">
        <f>-2910.64</f>
        <v>-2910.64</v>
      </c>
      <c r="I96" s="2"/>
      <c r="J96" s="19"/>
      <c r="K96" s="2"/>
      <c r="L96" s="2">
        <f t="shared" si="0"/>
        <v>2653.95</v>
      </c>
      <c r="M96" s="2"/>
      <c r="N96" s="19">
        <f t="shared" si="1"/>
        <v>-0.91180977379545392</v>
      </c>
      <c r="O96" s="11"/>
      <c r="P96" s="2">
        <f>-3005.79</f>
        <v>-3005.79</v>
      </c>
      <c r="Q96" s="2"/>
      <c r="R96" s="19"/>
      <c r="S96" s="2"/>
      <c r="T96" s="2">
        <f>-15221.62</f>
        <v>-15221.62</v>
      </c>
      <c r="U96" s="2"/>
      <c r="V96" s="19"/>
      <c r="W96" s="2"/>
      <c r="X96" s="2">
        <f t="shared" si="2"/>
        <v>12215.830000000002</v>
      </c>
      <c r="Y96" s="2"/>
      <c r="Z96" s="19">
        <f t="shared" si="3"/>
        <v>-0.80253153080946715</v>
      </c>
    </row>
    <row r="97" spans="1:26" s="24" customFormat="1" hidden="1" outlineLevel="1" x14ac:dyDescent="0.25">
      <c r="A97" s="44"/>
      <c r="B97" s="11" t="str">
        <f>CONCATENATE("          ", "4302", " - ", "SALES RETURN NON TAXABLE-TEXT")</f>
        <v xml:space="preserve">          4302 - SALES RETURN NON TAXABLE-TEXT</v>
      </c>
      <c r="C97" s="11"/>
      <c r="D97" s="2">
        <f>-532.96</f>
        <v>-532.96</v>
      </c>
      <c r="E97" s="2"/>
      <c r="F97" s="19"/>
      <c r="G97" s="2"/>
      <c r="H97" s="2">
        <f>-614.47</f>
        <v>-614.47</v>
      </c>
      <c r="I97" s="2"/>
      <c r="J97" s="19"/>
      <c r="K97" s="2"/>
      <c r="L97" s="2">
        <f t="shared" si="0"/>
        <v>81.509999999999991</v>
      </c>
      <c r="M97" s="2"/>
      <c r="N97" s="19">
        <f t="shared" si="1"/>
        <v>-0.13265090240369748</v>
      </c>
      <c r="O97" s="11"/>
      <c r="P97" s="2">
        <f>-2003.16</f>
        <v>-2003.16</v>
      </c>
      <c r="Q97" s="2"/>
      <c r="R97" s="19"/>
      <c r="S97" s="2"/>
      <c r="T97" s="2">
        <f>-1312.37</f>
        <v>-1312.37</v>
      </c>
      <c r="U97" s="2"/>
      <c r="V97" s="19"/>
      <c r="W97" s="2"/>
      <c r="X97" s="2">
        <f t="shared" si="2"/>
        <v>-690.79000000000019</v>
      </c>
      <c r="Y97" s="2"/>
      <c r="Z97" s="19">
        <f t="shared" si="3"/>
        <v>0.52636832600562355</v>
      </c>
    </row>
    <row r="98" spans="1:26" s="24" customFormat="1" hidden="1" outlineLevel="1" x14ac:dyDescent="0.25">
      <c r="A98" s="44"/>
      <c r="B98" s="11" t="str">
        <f>CONCATENATE("          ", "4303", " - ", "SALES RETURN NON-TAXABLE-RENTA")</f>
        <v xml:space="preserve">          4303 - SALES RETURN NON-TAXABLE-RENTA</v>
      </c>
      <c r="C98" s="11"/>
      <c r="D98" s="2">
        <f>0</f>
        <v>0</v>
      </c>
      <c r="E98" s="2"/>
      <c r="F98" s="19"/>
      <c r="G98" s="2"/>
      <c r="H98" s="2">
        <f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0</f>
        <v>0</v>
      </c>
      <c r="Q98" s="2"/>
      <c r="R98" s="19"/>
      <c r="S98" s="2"/>
      <c r="T98" s="2">
        <f>-184.99</f>
        <v>-184.99</v>
      </c>
      <c r="U98" s="2"/>
      <c r="V98" s="19"/>
      <c r="W98" s="2"/>
      <c r="X98" s="2">
        <f t="shared" si="2"/>
        <v>184.99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"4304", " - ", "SALES RETURN NON TAXABLE-DIGIT")</f>
        <v xml:space="preserve">          4304 - SALES RETURN NON TAXABLE-DIGIT</v>
      </c>
      <c r="C99" s="11"/>
      <c r="D99" s="2">
        <f>-10673</f>
        <v>-10673</v>
      </c>
      <c r="E99" s="2"/>
      <c r="F99" s="19"/>
      <c r="G99" s="2"/>
      <c r="H99" s="2">
        <f>-4312.43</f>
        <v>-4312.43</v>
      </c>
      <c r="I99" s="2"/>
      <c r="J99" s="19"/>
      <c r="K99" s="2"/>
      <c r="L99" s="2">
        <f t="shared" si="0"/>
        <v>-6360.57</v>
      </c>
      <c r="M99" s="2"/>
      <c r="N99" s="19">
        <f t="shared" si="1"/>
        <v>1.4749387236430502</v>
      </c>
      <c r="O99" s="11"/>
      <c r="P99" s="2">
        <f>-25095.77</f>
        <v>-25095.77</v>
      </c>
      <c r="Q99" s="2"/>
      <c r="R99" s="19"/>
      <c r="S99" s="2"/>
      <c r="T99" s="2">
        <f>-17742.75</f>
        <v>-17742.75</v>
      </c>
      <c r="U99" s="2"/>
      <c r="V99" s="19"/>
      <c r="W99" s="2"/>
      <c r="X99" s="2">
        <f t="shared" si="2"/>
        <v>-7353.02</v>
      </c>
      <c r="Y99" s="2"/>
      <c r="Z99" s="19">
        <f t="shared" si="3"/>
        <v>0.41442391962914432</v>
      </c>
    </row>
    <row r="100" spans="1:26" s="24" customFormat="1" hidden="1" outlineLevel="1" x14ac:dyDescent="0.25">
      <c r="A100" s="44"/>
      <c r="B100" s="11" t="str">
        <f>CONCATENATE("          ", "4311", " - ", "SALES RETURN NON TAXABLE-NO VA")</f>
        <v xml:space="preserve">          4311 - SALES RETURN NON TAXABLE-NO VA</v>
      </c>
      <c r="C100" s="11"/>
      <c r="D100" s="2">
        <f t="shared" ref="D100:D101" si="20">0</f>
        <v>0</v>
      </c>
      <c r="E100" s="2"/>
      <c r="F100" s="19"/>
      <c r="G100" s="2"/>
      <c r="H100" s="2">
        <f>-237.35</f>
        <v>-237.35</v>
      </c>
      <c r="I100" s="2"/>
      <c r="J100" s="19"/>
      <c r="K100" s="2"/>
      <c r="L100" s="2">
        <f t="shared" si="0"/>
        <v>237.35</v>
      </c>
      <c r="M100" s="2"/>
      <c r="N100" s="19">
        <f t="shared" si="1"/>
        <v>-1</v>
      </c>
      <c r="O100" s="11"/>
      <c r="P100" s="2">
        <f t="shared" ref="P100:P101" si="21">0</f>
        <v>0</v>
      </c>
      <c r="Q100" s="2"/>
      <c r="R100" s="19"/>
      <c r="S100" s="2"/>
      <c r="T100" s="2">
        <f>-625.31</f>
        <v>-625.30999999999995</v>
      </c>
      <c r="U100" s="2"/>
      <c r="V100" s="19"/>
      <c r="W100" s="2"/>
      <c r="X100" s="2">
        <f t="shared" si="2"/>
        <v>625.30999999999995</v>
      </c>
      <c r="Y100" s="2"/>
      <c r="Z100" s="19">
        <f t="shared" si="3"/>
        <v>-1</v>
      </c>
    </row>
    <row r="101" spans="1:26" s="24" customFormat="1" hidden="1" outlineLevel="1" x14ac:dyDescent="0.25">
      <c r="A101" s="44"/>
      <c r="B101" s="11" t="str">
        <f>CONCATENATE("          ", "4327", " - ", "SALES RETURN NON TAXABLE-SCHOO")</f>
        <v xml:space="preserve">          4327 - SALES RETURN NON TAXABLE-SCHOO</v>
      </c>
      <c r="C101" s="11"/>
      <c r="D101" s="2">
        <f t="shared" si="20"/>
        <v>0</v>
      </c>
      <c r="E101" s="2"/>
      <c r="F101" s="19"/>
      <c r="G101" s="2"/>
      <c r="H101" s="2">
        <f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 t="shared" si="21"/>
        <v>0</v>
      </c>
      <c r="Q101" s="2"/>
      <c r="R101" s="19"/>
      <c r="S101" s="2"/>
      <c r="T101" s="2">
        <f>-21.87</f>
        <v>-21.87</v>
      </c>
      <c r="U101" s="2"/>
      <c r="V101" s="19"/>
      <c r="W101" s="2"/>
      <c r="X101" s="2">
        <f t="shared" si="2"/>
        <v>21.87</v>
      </c>
      <c r="Y101" s="2"/>
      <c r="Z101" s="19">
        <f t="shared" si="3"/>
        <v>-1</v>
      </c>
    </row>
    <row r="102" spans="1:26" s="24" customFormat="1" hidden="1" outlineLevel="1" x14ac:dyDescent="0.25">
      <c r="A102" s="44"/>
      <c r="B102" s="11" t="str">
        <f>CONCATENATE("          ", "4340", " - ", "SALES RETURN NON TAXABLE-LOGO")</f>
        <v xml:space="preserve">          4340 - SALES RETURN NON TAXABLE-LOGO</v>
      </c>
      <c r="C102" s="11"/>
      <c r="D102" s="2">
        <f>-732.22</f>
        <v>-732.22</v>
      </c>
      <c r="E102" s="2"/>
      <c r="F102" s="19"/>
      <c r="G102" s="2"/>
      <c r="H102" s="2">
        <f>-216.75</f>
        <v>-216.75</v>
      </c>
      <c r="I102" s="2"/>
      <c r="J102" s="19"/>
      <c r="K102" s="2"/>
      <c r="L102" s="2">
        <f t="shared" si="0"/>
        <v>-515.47</v>
      </c>
      <c r="M102" s="2"/>
      <c r="N102" s="19">
        <f t="shared" si="1"/>
        <v>2.3781776239907728</v>
      </c>
      <c r="O102" s="11"/>
      <c r="P102" s="2">
        <f>-2215.94</f>
        <v>-2215.94</v>
      </c>
      <c r="Q102" s="2"/>
      <c r="R102" s="19"/>
      <c r="S102" s="2"/>
      <c r="T102" s="2">
        <f>-931.65</f>
        <v>-931.65</v>
      </c>
      <c r="U102" s="2"/>
      <c r="V102" s="19"/>
      <c r="W102" s="2"/>
      <c r="X102" s="2">
        <f t="shared" si="2"/>
        <v>-1284.29</v>
      </c>
      <c r="Y102" s="2"/>
      <c r="Z102" s="19">
        <f t="shared" si="3"/>
        <v>1.378511243492728</v>
      </c>
    </row>
    <row r="103" spans="1:26" s="24" customFormat="1" hidden="1" outlineLevel="1" x14ac:dyDescent="0.25">
      <c r="A103" s="44"/>
      <c r="B103" s="11" t="str">
        <f>CONCATENATE("          ", "4341", " - ", "SALES RETURN NON TAXABLE-LOGO")</f>
        <v xml:space="preserve">          4341 - SALES RETURN NON TAXABLE-LOGO</v>
      </c>
      <c r="C103" s="11"/>
      <c r="D103" s="2">
        <f>-27</f>
        <v>-27</v>
      </c>
      <c r="E103" s="2"/>
      <c r="F103" s="19"/>
      <c r="G103" s="2"/>
      <c r="H103" s="2">
        <f>-9.95</f>
        <v>-9.9499999999999993</v>
      </c>
      <c r="I103" s="2"/>
      <c r="J103" s="19"/>
      <c r="K103" s="2"/>
      <c r="L103" s="2">
        <f t="shared" si="0"/>
        <v>-17.05</v>
      </c>
      <c r="M103" s="2"/>
      <c r="N103" s="19">
        <f t="shared" si="1"/>
        <v>1.7135678391959801</v>
      </c>
      <c r="O103" s="11"/>
      <c r="P103" s="2">
        <f>-362.64</f>
        <v>-362.64</v>
      </c>
      <c r="Q103" s="2"/>
      <c r="R103" s="19"/>
      <c r="S103" s="2"/>
      <c r="T103" s="2">
        <f>-30.8</f>
        <v>-30.8</v>
      </c>
      <c r="U103" s="2"/>
      <c r="V103" s="19"/>
      <c r="W103" s="2"/>
      <c r="X103" s="2">
        <f t="shared" si="2"/>
        <v>-331.84</v>
      </c>
      <c r="Y103" s="2"/>
      <c r="Z103" s="19">
        <f t="shared" si="3"/>
        <v>10.774025974025973</v>
      </c>
    </row>
    <row r="104" spans="1:26" s="24" customFormat="1" hidden="1" outlineLevel="1" x14ac:dyDescent="0.25">
      <c r="A104" s="44"/>
      <c r="B104" s="11" t="str">
        <f>CONCATENATE("          ", "4342", " - ", "SALES RETURN NON TAXABLE-EVERY")</f>
        <v xml:space="preserve">          4342 - SALES RETURN NON TAXABLE-EVERY</v>
      </c>
      <c r="C104" s="11"/>
      <c r="D104" s="2">
        <f t="shared" ref="D104:D105" si="22">0</f>
        <v>0</v>
      </c>
      <c r="E104" s="2"/>
      <c r="F104" s="19"/>
      <c r="G104" s="2"/>
      <c r="H104" s="2">
        <f>-39.42</f>
        <v>-39.42</v>
      </c>
      <c r="I104" s="2"/>
      <c r="J104" s="19"/>
      <c r="K104" s="2"/>
      <c r="L104" s="2">
        <f t="shared" si="0"/>
        <v>39.42</v>
      </c>
      <c r="M104" s="2"/>
      <c r="N104" s="19">
        <f t="shared" si="1"/>
        <v>-1</v>
      </c>
      <c r="O104" s="11"/>
      <c r="P104" s="2">
        <f>-118.7</f>
        <v>-118.7</v>
      </c>
      <c r="Q104" s="2"/>
      <c r="R104" s="19"/>
      <c r="S104" s="2"/>
      <c r="T104" s="2">
        <f>-149.22</f>
        <v>-149.22</v>
      </c>
      <c r="U104" s="2"/>
      <c r="V104" s="19"/>
      <c r="W104" s="2"/>
      <c r="X104" s="2">
        <f t="shared" si="2"/>
        <v>30.519999999999996</v>
      </c>
      <c r="Y104" s="2"/>
      <c r="Z104" s="19">
        <f t="shared" si="3"/>
        <v>-0.20453022383058569</v>
      </c>
    </row>
    <row r="105" spans="1:26" s="24" customFormat="1" hidden="1" outlineLevel="1" x14ac:dyDescent="0.25">
      <c r="A105" s="44"/>
      <c r="B105" s="11" t="str">
        <f>CONCATENATE("          ", "4346", " - ", "SALES RETURN NON TAXABLE-COIN-")</f>
        <v xml:space="preserve">          4346 - SALES RETURN NON TAXABLE-COIN-</v>
      </c>
      <c r="C105" s="11"/>
      <c r="D105" s="2">
        <f t="shared" si="22"/>
        <v>0</v>
      </c>
      <c r="E105" s="2"/>
      <c r="F105" s="19"/>
      <c r="G105" s="2"/>
      <c r="H105" s="2">
        <f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0</f>
        <v>0</v>
      </c>
      <c r="Q105" s="2"/>
      <c r="R105" s="19"/>
      <c r="S105" s="2"/>
      <c r="T105" s="2">
        <f>-8.15</f>
        <v>-8.15</v>
      </c>
      <c r="U105" s="2"/>
      <c r="V105" s="19"/>
      <c r="W105" s="2"/>
      <c r="X105" s="2">
        <f t="shared" si="2"/>
        <v>8.15</v>
      </c>
      <c r="Y105" s="2"/>
      <c r="Z105" s="19">
        <f t="shared" si="3"/>
        <v>-1</v>
      </c>
    </row>
    <row r="106" spans="1:26" x14ac:dyDescent="0.25">
      <c r="A106" s="9"/>
      <c r="B106" s="10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collapsed="1" x14ac:dyDescent="0.25">
      <c r="A107" s="10"/>
      <c r="B107" s="29" t="s">
        <v>8</v>
      </c>
      <c r="C107" s="10"/>
      <c r="D107" s="4">
        <f>SUM(OSRRefD16x_0)</f>
        <v>771593.34000000008</v>
      </c>
      <c r="E107" s="4"/>
      <c r="F107" s="12">
        <f t="shared" ref="F107:F157" si="23">IF(D$12=0,0,D107/D$12)</f>
        <v>0.65454513712580265</v>
      </c>
      <c r="G107" s="4"/>
      <c r="H107" s="4">
        <f>SUM(OSRRefH16x_0)</f>
        <v>1189522.4299999995</v>
      </c>
      <c r="I107" s="4"/>
      <c r="J107" s="12">
        <f t="shared" ref="J107:J157" si="24">IF(H$12=0,0,H107/H$12)</f>
        <v>0.54730184518958092</v>
      </c>
      <c r="K107" s="4"/>
      <c r="L107" s="4">
        <f t="shared" ref="L107:L157" si="25">+D107-H107</f>
        <v>-417929.08999999939</v>
      </c>
      <c r="M107" s="4"/>
      <c r="N107" s="12">
        <f t="shared" ref="N107:N157" si="26">IF(H107=0,0,L107/H107)</f>
        <v>-0.35134191626802663</v>
      </c>
      <c r="O107" s="10"/>
      <c r="P107" s="4">
        <f>SUM(OSRRefP16x_0)</f>
        <v>2506216.7700000005</v>
      </c>
      <c r="Q107" s="4"/>
      <c r="R107" s="12">
        <f t="shared" ref="R107:R157" si="27">IF(P$12=0,0,P107/P$12)</f>
        <v>0.64635888901899496</v>
      </c>
      <c r="S107" s="4"/>
      <c r="T107" s="4">
        <f>SUM(OSRRefT16x_0)</f>
        <v>4409949.3900000025</v>
      </c>
      <c r="U107" s="4"/>
      <c r="V107" s="12">
        <f t="shared" ref="V107:V157" si="28">IF(T$12=0,0,T107/T$12)</f>
        <v>0.57356878924029464</v>
      </c>
      <c r="W107" s="4"/>
      <c r="X107" s="4">
        <f t="shared" ref="X107:X157" si="29">+P107-T107</f>
        <v>-1903732.620000002</v>
      </c>
      <c r="Y107" s="4"/>
      <c r="Z107" s="12">
        <f t="shared" ref="Z107:Z157" si="30">IF(T107=0,0,X107/T107)</f>
        <v>-0.43169035552129115</v>
      </c>
    </row>
    <row r="108" spans="1:26" s="24" customFormat="1" hidden="1" outlineLevel="1" x14ac:dyDescent="0.25">
      <c r="A108" s="44"/>
      <c r="B108" s="11" t="str">
        <f>CONCATENATE("          ", "5001", " - ", "PURCHASES @ COST-NEW TEXT")</f>
        <v xml:space="preserve">          5001 - PURCHASES @ COST-NEW TEXT</v>
      </c>
      <c r="C108" s="11"/>
      <c r="D108" s="2">
        <v>381096.17</v>
      </c>
      <c r="E108" s="2"/>
      <c r="F108" s="19">
        <f t="shared" si="23"/>
        <v>0.32328511914160396</v>
      </c>
      <c r="G108" s="2"/>
      <c r="H108" s="2">
        <v>890224.90999999992</v>
      </c>
      <c r="I108" s="2"/>
      <c r="J108" s="19">
        <f t="shared" si="24"/>
        <v>0.40959440830109334</v>
      </c>
      <c r="K108" s="2"/>
      <c r="L108" s="2">
        <f t="shared" si="25"/>
        <v>-509128.73999999993</v>
      </c>
      <c r="M108" s="2"/>
      <c r="N108" s="19">
        <f t="shared" si="26"/>
        <v>-0.57191023782967387</v>
      </c>
      <c r="O108" s="11"/>
      <c r="P108" s="2">
        <v>1659009.21</v>
      </c>
      <c r="Q108" s="2"/>
      <c r="R108" s="19">
        <f t="shared" si="27"/>
        <v>0.42786217165400275</v>
      </c>
      <c r="S108" s="2"/>
      <c r="T108" s="2">
        <v>2627294.66</v>
      </c>
      <c r="U108" s="2"/>
      <c r="V108" s="19">
        <f t="shared" si="28"/>
        <v>0.34171236081094591</v>
      </c>
      <c r="W108" s="2"/>
      <c r="X108" s="2">
        <f t="shared" si="29"/>
        <v>-968285.45000000019</v>
      </c>
      <c r="Y108" s="2"/>
      <c r="Z108" s="19">
        <f t="shared" si="30"/>
        <v>-0.36854847868491469</v>
      </c>
    </row>
    <row r="109" spans="1:26" s="24" customFormat="1" hidden="1" outlineLevel="1" x14ac:dyDescent="0.25">
      <c r="A109" s="44"/>
      <c r="B109" s="11" t="str">
        <f>CONCATENATE("          ", "5002", " - ", "PURCHASES @ COST-USED TEXT")</f>
        <v xml:space="preserve">          5002 - PURCHASES @ COST-USED TEXT</v>
      </c>
      <c r="C109" s="11"/>
      <c r="D109" s="2">
        <v>95863.360000000001</v>
      </c>
      <c r="E109" s="2"/>
      <c r="F109" s="19">
        <f t="shared" si="23"/>
        <v>8.1321199735264915E-2</v>
      </c>
      <c r="G109" s="2"/>
      <c r="H109" s="2">
        <v>260084.68000000002</v>
      </c>
      <c r="I109" s="2"/>
      <c r="J109" s="19">
        <f t="shared" si="24"/>
        <v>0.11966552431427607</v>
      </c>
      <c r="K109" s="2"/>
      <c r="L109" s="2">
        <f t="shared" si="25"/>
        <v>-164221.32</v>
      </c>
      <c r="M109" s="2"/>
      <c r="N109" s="19">
        <f t="shared" si="26"/>
        <v>-0.63141481459038651</v>
      </c>
      <c r="O109" s="11"/>
      <c r="P109" s="2">
        <v>260336.28</v>
      </c>
      <c r="Q109" s="2"/>
      <c r="R109" s="19">
        <f t="shared" si="27"/>
        <v>6.7141306660452191E-2</v>
      </c>
      <c r="S109" s="2"/>
      <c r="T109" s="2">
        <v>512607.53</v>
      </c>
      <c r="U109" s="2"/>
      <c r="V109" s="19">
        <f t="shared" si="28"/>
        <v>6.6670987427716918E-2</v>
      </c>
      <c r="W109" s="2"/>
      <c r="X109" s="2">
        <f t="shared" si="29"/>
        <v>-252271.25000000003</v>
      </c>
      <c r="Y109" s="2"/>
      <c r="Z109" s="19">
        <f t="shared" si="30"/>
        <v>-0.492133328591564</v>
      </c>
    </row>
    <row r="110" spans="1:26" s="24" customFormat="1" hidden="1" outlineLevel="1" x14ac:dyDescent="0.25">
      <c r="A110" s="44"/>
      <c r="B110" s="11" t="str">
        <f>CONCATENATE("          ", "5003", " - ", "PURCHASES @ COST-RENTAL TEXT")</f>
        <v xml:space="preserve">          5003 - PURCHASES @ COST-RENTAL TEXT</v>
      </c>
      <c r="C110" s="11"/>
      <c r="D110" s="2"/>
      <c r="E110" s="2"/>
      <c r="F110" s="19">
        <f t="shared" si="23"/>
        <v>0</v>
      </c>
      <c r="G110" s="2"/>
      <c r="H110" s="2"/>
      <c r="I110" s="2"/>
      <c r="J110" s="19">
        <f t="shared" si="24"/>
        <v>0</v>
      </c>
      <c r="K110" s="2"/>
      <c r="L110" s="2">
        <f t="shared" si="25"/>
        <v>0</v>
      </c>
      <c r="M110" s="2"/>
      <c r="N110" s="19">
        <f t="shared" si="26"/>
        <v>0</v>
      </c>
      <c r="O110" s="11"/>
      <c r="P110" s="2">
        <v>32.520000000000003</v>
      </c>
      <c r="Q110" s="2"/>
      <c r="R110" s="19">
        <f t="shared" si="27"/>
        <v>8.3869804569609171E-6</v>
      </c>
      <c r="S110" s="2"/>
      <c r="T110" s="2">
        <v>-78.400000000000006</v>
      </c>
      <c r="U110" s="2"/>
      <c r="V110" s="19">
        <f t="shared" si="28"/>
        <v>-1.0196895496897999E-5</v>
      </c>
      <c r="W110" s="2"/>
      <c r="X110" s="2">
        <f t="shared" si="29"/>
        <v>110.92000000000002</v>
      </c>
      <c r="Y110" s="2"/>
      <c r="Z110" s="19">
        <f t="shared" si="30"/>
        <v>-1.4147959183673471</v>
      </c>
    </row>
    <row r="111" spans="1:26" s="24" customFormat="1" hidden="1" outlineLevel="1" x14ac:dyDescent="0.25">
      <c r="A111" s="44"/>
      <c r="B111" s="11" t="str">
        <f>CONCATENATE("          ", "5004", " - ", "PURCHASES @ COST-DIGITAL TEXT")</f>
        <v xml:space="preserve">          5004 - PURCHASES @ COST-DIGITAL TEXT</v>
      </c>
      <c r="C111" s="11"/>
      <c r="D111" s="2">
        <v>18888.449999999997</v>
      </c>
      <c r="E111" s="2"/>
      <c r="F111" s="19">
        <f t="shared" si="23"/>
        <v>1.6023133501053628E-2</v>
      </c>
      <c r="G111" s="2"/>
      <c r="H111" s="2">
        <v>119541.49999999999</v>
      </c>
      <c r="I111" s="2"/>
      <c r="J111" s="19">
        <f t="shared" si="24"/>
        <v>5.5001302940315557E-2</v>
      </c>
      <c r="K111" s="2"/>
      <c r="L111" s="2">
        <f t="shared" si="25"/>
        <v>-100653.04999999999</v>
      </c>
      <c r="M111" s="2"/>
      <c r="N111" s="19">
        <f t="shared" si="26"/>
        <v>-0.84199252979090944</v>
      </c>
      <c r="O111" s="11"/>
      <c r="P111" s="2">
        <v>216726.56</v>
      </c>
      <c r="Q111" s="2"/>
      <c r="R111" s="19">
        <f t="shared" si="27"/>
        <v>5.5894262706776374E-2</v>
      </c>
      <c r="S111" s="2"/>
      <c r="T111" s="2">
        <v>473893.77</v>
      </c>
      <c r="U111" s="2"/>
      <c r="V111" s="19">
        <f t="shared" si="28"/>
        <v>6.1635781241339498E-2</v>
      </c>
      <c r="W111" s="2"/>
      <c r="X111" s="2">
        <f t="shared" si="29"/>
        <v>-257167.21000000002</v>
      </c>
      <c r="Y111" s="2"/>
      <c r="Z111" s="19">
        <f t="shared" si="30"/>
        <v>-0.5426684761017222</v>
      </c>
    </row>
    <row r="112" spans="1:26" s="24" customFormat="1" hidden="1" outlineLevel="1" x14ac:dyDescent="0.25">
      <c r="A112" s="44"/>
      <c r="B112" s="11" t="str">
        <f>CONCATENATE("          ", "5011", " - ", "PURCHASES @ COST-NO VALUE TEXT")</f>
        <v xml:space="preserve">          5011 - PURCHASES @ COST-NO VALUE TEXT</v>
      </c>
      <c r="C112" s="11"/>
      <c r="D112" s="2"/>
      <c r="E112" s="2"/>
      <c r="F112" s="19">
        <f t="shared" si="23"/>
        <v>0</v>
      </c>
      <c r="G112" s="2"/>
      <c r="H112" s="2">
        <v>573</v>
      </c>
      <c r="I112" s="2"/>
      <c r="J112" s="19">
        <f t="shared" si="24"/>
        <v>2.6363854046336055E-4</v>
      </c>
      <c r="K112" s="2"/>
      <c r="L112" s="2">
        <f t="shared" si="25"/>
        <v>-573</v>
      </c>
      <c r="M112" s="2"/>
      <c r="N112" s="19">
        <f t="shared" si="26"/>
        <v>-1</v>
      </c>
      <c r="O112" s="11"/>
      <c r="P112" s="2">
        <v>67.17</v>
      </c>
      <c r="Q112" s="2"/>
      <c r="R112" s="19">
        <f t="shared" si="27"/>
        <v>1.7323292659719091E-5</v>
      </c>
      <c r="S112" s="2"/>
      <c r="T112" s="2">
        <v>5475</v>
      </c>
      <c r="U112" s="2"/>
      <c r="V112" s="19">
        <f t="shared" si="28"/>
        <v>7.1209187302954783E-4</v>
      </c>
      <c r="W112" s="2"/>
      <c r="X112" s="2">
        <f t="shared" si="29"/>
        <v>-5407.83</v>
      </c>
      <c r="Y112" s="2"/>
      <c r="Z112" s="19">
        <f t="shared" si="30"/>
        <v>-0.9877315068493151</v>
      </c>
    </row>
    <row r="113" spans="1:26" s="24" customFormat="1" hidden="1" outlineLevel="1" x14ac:dyDescent="0.25">
      <c r="A113" s="44"/>
      <c r="B113" s="11" t="str">
        <f>CONCATENATE("          ", "5013", " - ", "PURCHASES @ COST-TRADE BOOKS")</f>
        <v xml:space="preserve">          5013 - PURCHASES @ COST-TRADE BOOKS</v>
      </c>
      <c r="C113" s="11"/>
      <c r="D113" s="2">
        <v>3531.13</v>
      </c>
      <c r="E113" s="2"/>
      <c r="F113" s="19">
        <f t="shared" si="23"/>
        <v>2.9954690511701867E-3</v>
      </c>
      <c r="G113" s="2"/>
      <c r="H113" s="2">
        <v>-276.85000000000002</v>
      </c>
      <c r="I113" s="2"/>
      <c r="J113" s="19">
        <f t="shared" si="24"/>
        <v>-1.2737928434080519E-4</v>
      </c>
      <c r="K113" s="2"/>
      <c r="L113" s="2">
        <f t="shared" si="25"/>
        <v>3807.98</v>
      </c>
      <c r="M113" s="2"/>
      <c r="N113" s="19">
        <f t="shared" si="26"/>
        <v>-13.754668593100956</v>
      </c>
      <c r="O113" s="11"/>
      <c r="P113" s="2">
        <v>5656.98</v>
      </c>
      <c r="Q113" s="2"/>
      <c r="R113" s="19">
        <f t="shared" si="27"/>
        <v>1.4589477461690887E-3</v>
      </c>
      <c r="S113" s="2"/>
      <c r="T113" s="2">
        <v>458.46</v>
      </c>
      <c r="U113" s="2"/>
      <c r="V113" s="19">
        <f t="shared" si="28"/>
        <v>5.9628427417192045E-5</v>
      </c>
      <c r="W113" s="2"/>
      <c r="X113" s="2">
        <f t="shared" si="29"/>
        <v>5198.5199999999995</v>
      </c>
      <c r="Y113" s="2"/>
      <c r="Z113" s="19">
        <f t="shared" si="30"/>
        <v>11.339091741918596</v>
      </c>
    </row>
    <row r="114" spans="1:26" s="24" customFormat="1" hidden="1" outlineLevel="1" x14ac:dyDescent="0.25">
      <c r="A114" s="44"/>
      <c r="B114" s="11" t="str">
        <f>CONCATENATE("          ", "5014", " - ", "PURCHASES @ COST-REMAINDERS")</f>
        <v xml:space="preserve">          5014 - PURCHASES @ COST-REMAINDERS</v>
      </c>
      <c r="C114" s="11"/>
      <c r="D114" s="2"/>
      <c r="E114" s="2"/>
      <c r="F114" s="19">
        <f t="shared" si="23"/>
        <v>0</v>
      </c>
      <c r="G114" s="2"/>
      <c r="H114" s="2">
        <v>69.599999999999994</v>
      </c>
      <c r="I114" s="2"/>
      <c r="J114" s="19">
        <f t="shared" si="24"/>
        <v>3.2023110674083587E-5</v>
      </c>
      <c r="K114" s="2"/>
      <c r="L114" s="2">
        <f t="shared" si="25"/>
        <v>-69.599999999999994</v>
      </c>
      <c r="M114" s="2"/>
      <c r="N114" s="19">
        <f t="shared" si="26"/>
        <v>-1</v>
      </c>
      <c r="O114" s="11"/>
      <c r="P114" s="2">
        <v>90.41</v>
      </c>
      <c r="Q114" s="2"/>
      <c r="R114" s="19">
        <f t="shared" si="27"/>
        <v>2.3316940440154874E-5</v>
      </c>
      <c r="S114" s="2"/>
      <c r="T114" s="2">
        <v>583.39</v>
      </c>
      <c r="U114" s="2"/>
      <c r="V114" s="19">
        <f t="shared" si="28"/>
        <v>7.587712836652198E-5</v>
      </c>
      <c r="W114" s="2"/>
      <c r="X114" s="2">
        <f t="shared" si="29"/>
        <v>-492.98</v>
      </c>
      <c r="Y114" s="2"/>
      <c r="Z114" s="19">
        <f t="shared" si="30"/>
        <v>-0.84502648314163775</v>
      </c>
    </row>
    <row r="115" spans="1:26" s="24" customFormat="1" hidden="1" outlineLevel="1" x14ac:dyDescent="0.25">
      <c r="A115" s="44"/>
      <c r="B115" s="11" t="str">
        <f>CONCATENATE("          ", "5017", " - ", "PURCHASES @ COST-DORM/HOUSEWAR")</f>
        <v xml:space="preserve">          5017 - PURCHASES @ COST-DORM/HOUSEWAR</v>
      </c>
      <c r="C115" s="11"/>
      <c r="D115" s="2"/>
      <c r="E115" s="2"/>
      <c r="F115" s="19">
        <f t="shared" si="23"/>
        <v>0</v>
      </c>
      <c r="G115" s="2"/>
      <c r="H115" s="2"/>
      <c r="I115" s="2"/>
      <c r="J115" s="19">
        <f t="shared" si="24"/>
        <v>0</v>
      </c>
      <c r="K115" s="2"/>
      <c r="L115" s="2">
        <f t="shared" si="25"/>
        <v>0</v>
      </c>
      <c r="M115" s="2"/>
      <c r="N115" s="19">
        <f t="shared" si="26"/>
        <v>0</v>
      </c>
      <c r="O115" s="11"/>
      <c r="P115" s="2"/>
      <c r="Q115" s="2"/>
      <c r="R115" s="19">
        <f t="shared" si="27"/>
        <v>0</v>
      </c>
      <c r="S115" s="2"/>
      <c r="T115" s="2">
        <v>0</v>
      </c>
      <c r="U115" s="2"/>
      <c r="V115" s="19">
        <f t="shared" si="28"/>
        <v>0</v>
      </c>
      <c r="W115" s="2"/>
      <c r="X115" s="2">
        <f t="shared" si="29"/>
        <v>0</v>
      </c>
      <c r="Y115" s="2"/>
      <c r="Z115" s="19">
        <f t="shared" si="30"/>
        <v>0</v>
      </c>
    </row>
    <row r="116" spans="1:26" s="24" customFormat="1" hidden="1" outlineLevel="1" x14ac:dyDescent="0.25">
      <c r="A116" s="44"/>
      <c r="B116" s="11" t="str">
        <f>CONCATENATE("          ", "5018", " - ", "PURCHASES @ COST-STUDY GUIDES")</f>
        <v xml:space="preserve">          5018 - PURCHASES @ COST-STUDY GUIDES</v>
      </c>
      <c r="C116" s="11"/>
      <c r="D116" s="2">
        <v>416</v>
      </c>
      <c r="E116" s="2"/>
      <c r="F116" s="19">
        <f t="shared" si="23"/>
        <v>3.5289415152849019E-4</v>
      </c>
      <c r="G116" s="2"/>
      <c r="H116" s="2">
        <v>1032.75</v>
      </c>
      <c r="I116" s="2"/>
      <c r="J116" s="19">
        <f t="shared" si="24"/>
        <v>4.7517051075660668E-4</v>
      </c>
      <c r="K116" s="2"/>
      <c r="L116" s="2">
        <f t="shared" si="25"/>
        <v>-616.75</v>
      </c>
      <c r="M116" s="2"/>
      <c r="N116" s="19">
        <f t="shared" si="26"/>
        <v>-0.59719196320503509</v>
      </c>
      <c r="O116" s="11"/>
      <c r="P116" s="2">
        <v>522.34</v>
      </c>
      <c r="Q116" s="2"/>
      <c r="R116" s="19">
        <f t="shared" si="27"/>
        <v>1.3471264981208383E-4</v>
      </c>
      <c r="S116" s="2"/>
      <c r="T116" s="2">
        <v>2031.15</v>
      </c>
      <c r="U116" s="2"/>
      <c r="V116" s="19">
        <f t="shared" si="28"/>
        <v>2.6417633021077005E-4</v>
      </c>
      <c r="W116" s="2"/>
      <c r="X116" s="2">
        <f t="shared" si="29"/>
        <v>-1508.81</v>
      </c>
      <c r="Y116" s="2"/>
      <c r="Z116" s="19">
        <f t="shared" si="30"/>
        <v>-0.74283533958594883</v>
      </c>
    </row>
    <row r="117" spans="1:26" s="24" customFormat="1" hidden="1" outlineLevel="1" x14ac:dyDescent="0.25">
      <c r="A117" s="44"/>
      <c r="B117" s="11" t="str">
        <f>CONCATENATE("          ", "5025", " - ", "PURCHASES @ COST-TEST FORMS")</f>
        <v xml:space="preserve">          5025 - PURCHASES @ COST-TEST FORMS</v>
      </c>
      <c r="C117" s="11"/>
      <c r="D117" s="2"/>
      <c r="E117" s="2"/>
      <c r="F117" s="19">
        <f t="shared" si="23"/>
        <v>0</v>
      </c>
      <c r="G117" s="2"/>
      <c r="H117" s="2">
        <v>880</v>
      </c>
      <c r="I117" s="2"/>
      <c r="J117" s="19">
        <f t="shared" si="24"/>
        <v>4.0488990507462009E-4</v>
      </c>
      <c r="K117" s="2"/>
      <c r="L117" s="2">
        <f t="shared" si="25"/>
        <v>-880</v>
      </c>
      <c r="M117" s="2"/>
      <c r="N117" s="19">
        <f t="shared" si="26"/>
        <v>-1</v>
      </c>
      <c r="O117" s="11"/>
      <c r="P117" s="2">
        <v>599.29</v>
      </c>
      <c r="Q117" s="2"/>
      <c r="R117" s="19">
        <f t="shared" si="27"/>
        <v>1.5455822626236494E-4</v>
      </c>
      <c r="S117" s="2"/>
      <c r="T117" s="2">
        <v>22978.390000000003</v>
      </c>
      <c r="U117" s="2"/>
      <c r="V117" s="19">
        <f t="shared" si="28"/>
        <v>2.9886255295531383E-3</v>
      </c>
      <c r="W117" s="2"/>
      <c r="X117" s="2">
        <f t="shared" si="29"/>
        <v>-22379.100000000002</v>
      </c>
      <c r="Y117" s="2"/>
      <c r="Z117" s="19">
        <f t="shared" si="30"/>
        <v>-0.97391940862697512</v>
      </c>
    </row>
    <row r="118" spans="1:26" s="24" customFormat="1" hidden="1" outlineLevel="1" x14ac:dyDescent="0.25">
      <c r="A118" s="44"/>
      <c r="B118" s="11" t="str">
        <f>CONCATENATE("          ", "5026", " - ", "PURCHASES @ COST-WRITING INSTR")</f>
        <v xml:space="preserve">          5026 - PURCHASES @ COST-WRITING INSTR</v>
      </c>
      <c r="C118" s="11"/>
      <c r="D118" s="2"/>
      <c r="E118" s="2"/>
      <c r="F118" s="19">
        <f t="shared" si="23"/>
        <v>0</v>
      </c>
      <c r="G118" s="2"/>
      <c r="H118" s="2">
        <v>9201.3799999999992</v>
      </c>
      <c r="I118" s="2"/>
      <c r="J118" s="19">
        <f t="shared" si="24"/>
        <v>4.233574857676713E-3</v>
      </c>
      <c r="K118" s="2"/>
      <c r="L118" s="2">
        <f t="shared" si="25"/>
        <v>-9201.3799999999992</v>
      </c>
      <c r="M118" s="2"/>
      <c r="N118" s="19">
        <f t="shared" si="26"/>
        <v>-1</v>
      </c>
      <c r="O118" s="11"/>
      <c r="P118" s="2">
        <v>374.91</v>
      </c>
      <c r="Q118" s="2"/>
      <c r="R118" s="19">
        <f t="shared" si="27"/>
        <v>9.6690124327159215E-5</v>
      </c>
      <c r="S118" s="2"/>
      <c r="T118" s="2">
        <v>43496.15</v>
      </c>
      <c r="U118" s="2"/>
      <c r="V118" s="19">
        <f t="shared" si="28"/>
        <v>5.6572155110637748E-3</v>
      </c>
      <c r="W118" s="2"/>
      <c r="X118" s="2">
        <f t="shared" si="29"/>
        <v>-43121.24</v>
      </c>
      <c r="Y118" s="2"/>
      <c r="Z118" s="19">
        <f t="shared" si="30"/>
        <v>-0.99138061644536346</v>
      </c>
    </row>
    <row r="119" spans="1:26" s="24" customFormat="1" hidden="1" outlineLevel="1" x14ac:dyDescent="0.25">
      <c r="A119" s="44"/>
      <c r="B119" s="11" t="str">
        <f>CONCATENATE("          ", "5027", " - ", "PURCHASES @ COST-SCHOOL SUPPLI")</f>
        <v xml:space="preserve">          5027 - PURCHASES @ COST-SCHOOL SUPPLI</v>
      </c>
      <c r="C119" s="11"/>
      <c r="D119" s="2"/>
      <c r="E119" s="2"/>
      <c r="F119" s="19">
        <f t="shared" si="23"/>
        <v>0</v>
      </c>
      <c r="G119" s="2"/>
      <c r="H119" s="2">
        <v>42814.02</v>
      </c>
      <c r="I119" s="2"/>
      <c r="J119" s="19">
        <f t="shared" si="24"/>
        <v>1.9698823288253276E-2</v>
      </c>
      <c r="K119" s="2"/>
      <c r="L119" s="2">
        <f t="shared" si="25"/>
        <v>-42814.02</v>
      </c>
      <c r="M119" s="2"/>
      <c r="N119" s="19">
        <f t="shared" si="26"/>
        <v>-1</v>
      </c>
      <c r="O119" s="11"/>
      <c r="P119" s="2">
        <v>19071.350000000002</v>
      </c>
      <c r="Q119" s="2"/>
      <c r="R119" s="19">
        <f t="shared" si="27"/>
        <v>4.9185436573758179E-3</v>
      </c>
      <c r="S119" s="2"/>
      <c r="T119" s="2">
        <v>120814.02</v>
      </c>
      <c r="U119" s="2"/>
      <c r="V119" s="19">
        <f t="shared" si="28"/>
        <v>1.5713366536991645E-2</v>
      </c>
      <c r="W119" s="2"/>
      <c r="X119" s="2">
        <f t="shared" si="29"/>
        <v>-101742.67</v>
      </c>
      <c r="Y119" s="2"/>
      <c r="Z119" s="19">
        <f t="shared" si="30"/>
        <v>-0.8421429069242129</v>
      </c>
    </row>
    <row r="120" spans="1:26" s="24" customFormat="1" hidden="1" outlineLevel="1" x14ac:dyDescent="0.25">
      <c r="A120" s="44"/>
      <c r="B120" s="11" t="str">
        <f>CONCATENATE("          ", "5028", " - ", "PURCHASES @ COST-ART/TECH")</f>
        <v xml:space="preserve">          5028 - PURCHASES @ COST-ART/TECH</v>
      </c>
      <c r="C120" s="11"/>
      <c r="D120" s="2"/>
      <c r="E120" s="2"/>
      <c r="F120" s="19">
        <f t="shared" si="23"/>
        <v>0</v>
      </c>
      <c r="G120" s="2"/>
      <c r="H120" s="2">
        <v>32126.68</v>
      </c>
      <c r="I120" s="2"/>
      <c r="J120" s="19">
        <f t="shared" si="24"/>
        <v>1.4781555017684881E-2</v>
      </c>
      <c r="K120" s="2"/>
      <c r="L120" s="2">
        <f t="shared" si="25"/>
        <v>-32126.68</v>
      </c>
      <c r="M120" s="2"/>
      <c r="N120" s="19">
        <f t="shared" si="26"/>
        <v>-1</v>
      </c>
      <c r="O120" s="11"/>
      <c r="P120" s="2">
        <v>41358.449999999997</v>
      </c>
      <c r="Q120" s="2"/>
      <c r="R120" s="19">
        <f t="shared" si="27"/>
        <v>1.066643640468005E-2</v>
      </c>
      <c r="S120" s="2"/>
      <c r="T120" s="2">
        <v>135127.5</v>
      </c>
      <c r="U120" s="2"/>
      <c r="V120" s="19">
        <f t="shared" si="28"/>
        <v>1.7575012707360772E-2</v>
      </c>
      <c r="W120" s="2"/>
      <c r="X120" s="2">
        <f t="shared" si="29"/>
        <v>-93769.05</v>
      </c>
      <c r="Y120" s="2"/>
      <c r="Z120" s="19">
        <f t="shared" si="30"/>
        <v>-0.69393017705500359</v>
      </c>
    </row>
    <row r="121" spans="1:26" s="24" customFormat="1" hidden="1" outlineLevel="1" x14ac:dyDescent="0.25">
      <c r="A121" s="44"/>
      <c r="B121" s="11" t="str">
        <f>CONCATENATE("          ", "5031", " - ", "PURCHASES @ COST-FOOD")</f>
        <v xml:space="preserve">          5031 - PURCHASES @ COST-FOOD</v>
      </c>
      <c r="C121" s="11"/>
      <c r="D121" s="2">
        <v>239.16</v>
      </c>
      <c r="E121" s="2"/>
      <c r="F121" s="19">
        <f t="shared" si="23"/>
        <v>2.0288020499892719E-4</v>
      </c>
      <c r="G121" s="2"/>
      <c r="H121" s="2">
        <v>2390.66</v>
      </c>
      <c r="I121" s="2"/>
      <c r="J121" s="19">
        <f t="shared" si="24"/>
        <v>1.0999478414382854E-3</v>
      </c>
      <c r="K121" s="2"/>
      <c r="L121" s="2">
        <f t="shared" si="25"/>
        <v>-2151.5</v>
      </c>
      <c r="M121" s="2"/>
      <c r="N121" s="19">
        <f t="shared" si="26"/>
        <v>-0.89996068031422294</v>
      </c>
      <c r="O121" s="11"/>
      <c r="P121" s="2">
        <v>7514.26</v>
      </c>
      <c r="Q121" s="2"/>
      <c r="R121" s="19">
        <f t="shared" si="27"/>
        <v>1.9379443963260499E-3</v>
      </c>
      <c r="S121" s="2"/>
      <c r="T121" s="2">
        <v>24900.390000000003</v>
      </c>
      <c r="U121" s="2"/>
      <c r="V121" s="19">
        <f t="shared" si="28"/>
        <v>3.2386055441582145E-3</v>
      </c>
      <c r="W121" s="2"/>
      <c r="X121" s="2">
        <f t="shared" si="29"/>
        <v>-17386.130000000005</v>
      </c>
      <c r="Y121" s="2"/>
      <c r="Z121" s="19">
        <f t="shared" si="30"/>
        <v>-0.69822721652150843</v>
      </c>
    </row>
    <row r="122" spans="1:26" s="24" customFormat="1" hidden="1" outlineLevel="1" x14ac:dyDescent="0.25">
      <c r="A122" s="44"/>
      <c r="B122" s="11" t="str">
        <f>CONCATENATE("          ", "5032", " - ", "PURCHASES @ COST-JUICE")</f>
        <v xml:space="preserve">          5032 - PURCHASES @ COST-JUICE</v>
      </c>
      <c r="C122" s="11"/>
      <c r="D122" s="2"/>
      <c r="E122" s="2"/>
      <c r="F122" s="19">
        <f t="shared" si="23"/>
        <v>0</v>
      </c>
      <c r="G122" s="2"/>
      <c r="H122" s="2">
        <v>371.03</v>
      </c>
      <c r="I122" s="2"/>
      <c r="J122" s="19">
        <f t="shared" si="24"/>
        <v>1.7071170622708667E-4</v>
      </c>
      <c r="K122" s="2"/>
      <c r="L122" s="2">
        <f t="shared" si="25"/>
        <v>-371.03</v>
      </c>
      <c r="M122" s="2"/>
      <c r="N122" s="19">
        <f t="shared" si="26"/>
        <v>-1</v>
      </c>
      <c r="O122" s="11"/>
      <c r="P122" s="2"/>
      <c r="Q122" s="2"/>
      <c r="R122" s="19">
        <f t="shared" si="27"/>
        <v>0</v>
      </c>
      <c r="S122" s="2"/>
      <c r="T122" s="2">
        <v>5392.51</v>
      </c>
      <c r="U122" s="2"/>
      <c r="V122" s="19">
        <f t="shared" si="28"/>
        <v>7.0136302214256934E-4</v>
      </c>
      <c r="W122" s="2"/>
      <c r="X122" s="2">
        <f t="shared" si="29"/>
        <v>-5392.51</v>
      </c>
      <c r="Y122" s="2"/>
      <c r="Z122" s="19">
        <f t="shared" si="30"/>
        <v>-1</v>
      </c>
    </row>
    <row r="123" spans="1:26" s="24" customFormat="1" hidden="1" outlineLevel="1" x14ac:dyDescent="0.25">
      <c r="A123" s="44"/>
      <c r="B123" s="11" t="str">
        <f>CONCATENATE("          ", "5033", " - ", "PURCHASES @ COST-CANDY")</f>
        <v xml:space="preserve">          5033 - PURCHASES @ COST-CANDY</v>
      </c>
      <c r="C123" s="11"/>
      <c r="D123" s="2"/>
      <c r="E123" s="2"/>
      <c r="F123" s="19">
        <f t="shared" si="23"/>
        <v>0</v>
      </c>
      <c r="G123" s="2"/>
      <c r="H123" s="2">
        <v>805.69</v>
      </c>
      <c r="I123" s="2"/>
      <c r="J123" s="19">
        <f t="shared" si="24"/>
        <v>3.7069971320405755E-4</v>
      </c>
      <c r="K123" s="2"/>
      <c r="L123" s="2">
        <f t="shared" si="25"/>
        <v>-805.69</v>
      </c>
      <c r="M123" s="2"/>
      <c r="N123" s="19">
        <f t="shared" si="26"/>
        <v>-1</v>
      </c>
      <c r="O123" s="11"/>
      <c r="P123" s="2"/>
      <c r="Q123" s="2"/>
      <c r="R123" s="19">
        <f t="shared" si="27"/>
        <v>0</v>
      </c>
      <c r="S123" s="2"/>
      <c r="T123" s="2">
        <v>7003.62</v>
      </c>
      <c r="U123" s="2"/>
      <c r="V123" s="19">
        <f t="shared" si="28"/>
        <v>9.1090792397939752E-4</v>
      </c>
      <c r="W123" s="2"/>
      <c r="X123" s="2">
        <f t="shared" si="29"/>
        <v>-7003.62</v>
      </c>
      <c r="Y123" s="2"/>
      <c r="Z123" s="19">
        <f t="shared" si="30"/>
        <v>-1</v>
      </c>
    </row>
    <row r="124" spans="1:26" s="24" customFormat="1" hidden="1" outlineLevel="1" x14ac:dyDescent="0.25">
      <c r="A124" s="44"/>
      <c r="B124" s="11" t="str">
        <f>CONCATENATE("          ", "5034", " - ", "PURCHASES @ COST-SODA")</f>
        <v xml:space="preserve">          5034 - PURCHASES @ COST-SODA</v>
      </c>
      <c r="C124" s="11"/>
      <c r="D124" s="2"/>
      <c r="E124" s="2"/>
      <c r="F124" s="19">
        <f t="shared" si="23"/>
        <v>0</v>
      </c>
      <c r="G124" s="2"/>
      <c r="H124" s="2"/>
      <c r="I124" s="2"/>
      <c r="J124" s="19">
        <f t="shared" si="24"/>
        <v>0</v>
      </c>
      <c r="K124" s="2"/>
      <c r="L124" s="2">
        <f t="shared" si="25"/>
        <v>0</v>
      </c>
      <c r="M124" s="2"/>
      <c r="N124" s="19">
        <f t="shared" si="26"/>
        <v>0</v>
      </c>
      <c r="O124" s="11"/>
      <c r="P124" s="2"/>
      <c r="Q124" s="2"/>
      <c r="R124" s="19">
        <f t="shared" si="27"/>
        <v>0</v>
      </c>
      <c r="S124" s="2"/>
      <c r="T124" s="2">
        <v>2124.16</v>
      </c>
      <c r="U124" s="2"/>
      <c r="V124" s="19">
        <f t="shared" si="28"/>
        <v>2.7627343799350578E-4</v>
      </c>
      <c r="W124" s="2"/>
      <c r="X124" s="2">
        <f t="shared" si="29"/>
        <v>-2124.16</v>
      </c>
      <c r="Y124" s="2"/>
      <c r="Z124" s="19">
        <f t="shared" si="30"/>
        <v>-1</v>
      </c>
    </row>
    <row r="125" spans="1:26" s="24" customFormat="1" hidden="1" outlineLevel="1" x14ac:dyDescent="0.25">
      <c r="A125" s="44"/>
      <c r="B125" s="11" t="str">
        <f>CONCATENATE("          ", "5035", " - ", "PURCHASES @ COST-HEALTH &amp; BEAU")</f>
        <v xml:space="preserve">          5035 - PURCHASES @ COST-HEALTH &amp; BEAU</v>
      </c>
      <c r="C125" s="11"/>
      <c r="D125" s="2"/>
      <c r="E125" s="2"/>
      <c r="F125" s="19">
        <f t="shared" si="23"/>
        <v>0</v>
      </c>
      <c r="G125" s="2"/>
      <c r="H125" s="2">
        <v>32.82</v>
      </c>
      <c r="I125" s="2"/>
      <c r="J125" s="19">
        <f t="shared" si="24"/>
        <v>1.5100553050623899E-5</v>
      </c>
      <c r="K125" s="2"/>
      <c r="L125" s="2">
        <f t="shared" si="25"/>
        <v>-32.82</v>
      </c>
      <c r="M125" s="2"/>
      <c r="N125" s="19">
        <f t="shared" si="26"/>
        <v>-1</v>
      </c>
      <c r="O125" s="11"/>
      <c r="P125" s="2"/>
      <c r="Q125" s="2"/>
      <c r="R125" s="19">
        <f t="shared" si="27"/>
        <v>0</v>
      </c>
      <c r="S125" s="2"/>
      <c r="T125" s="2">
        <v>857.2</v>
      </c>
      <c r="U125" s="2"/>
      <c r="V125" s="19">
        <f t="shared" si="28"/>
        <v>1.1148952576455313E-4</v>
      </c>
      <c r="W125" s="2"/>
      <c r="X125" s="2">
        <f t="shared" si="29"/>
        <v>-857.2</v>
      </c>
      <c r="Y125" s="2"/>
      <c r="Z125" s="19">
        <f t="shared" si="30"/>
        <v>-1</v>
      </c>
    </row>
    <row r="126" spans="1:26" s="24" customFormat="1" hidden="1" outlineLevel="1" x14ac:dyDescent="0.25">
      <c r="A126" s="44"/>
      <c r="B126" s="11" t="str">
        <f>CONCATENATE("          ", "5037", " - ", "PURCHASES @ COST-WATER")</f>
        <v xml:space="preserve">          5037 - PURCHASES @ COST-WATER</v>
      </c>
      <c r="C126" s="11"/>
      <c r="D126" s="2"/>
      <c r="E126" s="2"/>
      <c r="F126" s="19">
        <f t="shared" si="23"/>
        <v>0</v>
      </c>
      <c r="G126" s="2"/>
      <c r="H126" s="2"/>
      <c r="I126" s="2"/>
      <c r="J126" s="19">
        <f t="shared" si="24"/>
        <v>0</v>
      </c>
      <c r="K126" s="2"/>
      <c r="L126" s="2">
        <f t="shared" si="25"/>
        <v>0</v>
      </c>
      <c r="M126" s="2"/>
      <c r="N126" s="19">
        <f t="shared" si="26"/>
        <v>0</v>
      </c>
      <c r="O126" s="11"/>
      <c r="P126" s="2"/>
      <c r="Q126" s="2"/>
      <c r="R126" s="19">
        <f t="shared" si="27"/>
        <v>0</v>
      </c>
      <c r="S126" s="2"/>
      <c r="T126" s="2">
        <v>3759.27</v>
      </c>
      <c r="U126" s="2"/>
      <c r="V126" s="19">
        <f t="shared" si="28"/>
        <v>4.8893983845183344E-4</v>
      </c>
      <c r="W126" s="2"/>
      <c r="X126" s="2">
        <f t="shared" si="29"/>
        <v>-3759.27</v>
      </c>
      <c r="Y126" s="2"/>
      <c r="Z126" s="19">
        <f t="shared" si="30"/>
        <v>-1</v>
      </c>
    </row>
    <row r="127" spans="1:26" s="24" customFormat="1" hidden="1" outlineLevel="1" x14ac:dyDescent="0.25">
      <c r="A127" s="44"/>
      <c r="B127" s="11" t="str">
        <f>CONCATENATE("          ", "5040", " - ", "PURCHASES @ COST-LOGO CLOTHING")</f>
        <v xml:space="preserve">          5040 - PURCHASES @ COST-LOGO CLOTHING</v>
      </c>
      <c r="C127" s="11"/>
      <c r="D127" s="2">
        <v>34900.79</v>
      </c>
      <c r="E127" s="2"/>
      <c r="F127" s="19">
        <f t="shared" si="23"/>
        <v>2.9606453545009653E-2</v>
      </c>
      <c r="G127" s="2"/>
      <c r="H127" s="2">
        <v>94500.17</v>
      </c>
      <c r="I127" s="2"/>
      <c r="J127" s="19">
        <f t="shared" si="24"/>
        <v>4.3479732796403929E-2</v>
      </c>
      <c r="K127" s="2"/>
      <c r="L127" s="2">
        <f t="shared" si="25"/>
        <v>-59599.38</v>
      </c>
      <c r="M127" s="2"/>
      <c r="N127" s="19">
        <f t="shared" si="26"/>
        <v>-0.63068013528441269</v>
      </c>
      <c r="O127" s="11"/>
      <c r="P127" s="2">
        <v>167371.19</v>
      </c>
      <c r="Q127" s="2"/>
      <c r="R127" s="19">
        <f t="shared" si="27"/>
        <v>4.3165402816368159E-2</v>
      </c>
      <c r="S127" s="2"/>
      <c r="T127" s="2">
        <v>810739.01</v>
      </c>
      <c r="U127" s="2"/>
      <c r="V127" s="19">
        <f t="shared" si="28"/>
        <v>0.10544669592128242</v>
      </c>
      <c r="W127" s="2"/>
      <c r="X127" s="2">
        <f t="shared" si="29"/>
        <v>-643367.82000000007</v>
      </c>
      <c r="Y127" s="2"/>
      <c r="Z127" s="19">
        <f t="shared" si="30"/>
        <v>-0.7935572509333183</v>
      </c>
    </row>
    <row r="128" spans="1:26" s="24" customFormat="1" hidden="1" outlineLevel="1" x14ac:dyDescent="0.25">
      <c r="A128" s="44"/>
      <c r="B128" s="11" t="str">
        <f>CONCATENATE("          ", "5041", " - ", "PURCHASES @ COST-LOGO GIFTS")</f>
        <v xml:space="preserve">          5041 - PURCHASES @ COST-LOGO GIFTS</v>
      </c>
      <c r="C128" s="11"/>
      <c r="D128" s="2">
        <v>8769.24</v>
      </c>
      <c r="E128" s="2"/>
      <c r="F128" s="19">
        <f t="shared" si="23"/>
        <v>7.4389747820906181E-3</v>
      </c>
      <c r="G128" s="2"/>
      <c r="H128" s="2">
        <v>14612.2</v>
      </c>
      <c r="I128" s="2"/>
      <c r="J128" s="19">
        <f t="shared" si="24"/>
        <v>6.7231048533310947E-3</v>
      </c>
      <c r="K128" s="2"/>
      <c r="L128" s="2">
        <f t="shared" si="25"/>
        <v>-5842.9600000000009</v>
      </c>
      <c r="M128" s="2"/>
      <c r="N128" s="19">
        <f t="shared" si="26"/>
        <v>-0.39986860294822141</v>
      </c>
      <c r="O128" s="11"/>
      <c r="P128" s="2">
        <v>40971</v>
      </c>
      <c r="Q128" s="2"/>
      <c r="R128" s="19">
        <f t="shared" si="27"/>
        <v>1.0566512186412845E-2</v>
      </c>
      <c r="S128" s="2"/>
      <c r="T128" s="2">
        <v>124015.87000000001</v>
      </c>
      <c r="U128" s="2"/>
      <c r="V128" s="19">
        <f t="shared" si="28"/>
        <v>1.6129806968710303E-2</v>
      </c>
      <c r="W128" s="2"/>
      <c r="X128" s="2">
        <f t="shared" si="29"/>
        <v>-83044.87000000001</v>
      </c>
      <c r="Y128" s="2"/>
      <c r="Z128" s="19">
        <f t="shared" si="30"/>
        <v>-0.66963099158196449</v>
      </c>
    </row>
    <row r="129" spans="1:26" s="24" customFormat="1" hidden="1" outlineLevel="1" x14ac:dyDescent="0.25">
      <c r="A129" s="44"/>
      <c r="B129" s="11" t="str">
        <f>CONCATENATE("          ", "5042", " - ", "PURCHASES @ COST-EVERYDAY GIFT")</f>
        <v xml:space="preserve">          5042 - PURCHASES @ COST-EVERYDAY GIFT</v>
      </c>
      <c r="C129" s="11"/>
      <c r="D129" s="2">
        <v>6760.7</v>
      </c>
      <c r="E129" s="2"/>
      <c r="F129" s="19">
        <f t="shared" si="23"/>
        <v>5.7351237746121721E-3</v>
      </c>
      <c r="G129" s="2"/>
      <c r="H129" s="2">
        <v>2972.86</v>
      </c>
      <c r="I129" s="2"/>
      <c r="J129" s="19">
        <f t="shared" si="24"/>
        <v>1.3678193218183354E-3</v>
      </c>
      <c r="K129" s="2"/>
      <c r="L129" s="2">
        <f t="shared" si="25"/>
        <v>3787.8399999999997</v>
      </c>
      <c r="M129" s="2"/>
      <c r="N129" s="19">
        <f t="shared" si="26"/>
        <v>1.2741400536856762</v>
      </c>
      <c r="O129" s="11"/>
      <c r="P129" s="2">
        <v>17821.98</v>
      </c>
      <c r="Q129" s="2"/>
      <c r="R129" s="19">
        <f t="shared" si="27"/>
        <v>4.5963283506872182E-3</v>
      </c>
      <c r="S129" s="2"/>
      <c r="T129" s="2">
        <v>91360.97</v>
      </c>
      <c r="U129" s="2"/>
      <c r="V129" s="19">
        <f t="shared" si="28"/>
        <v>1.1882630913076954E-2</v>
      </c>
      <c r="W129" s="2"/>
      <c r="X129" s="2">
        <f t="shared" si="29"/>
        <v>-73538.990000000005</v>
      </c>
      <c r="Y129" s="2"/>
      <c r="Z129" s="19">
        <f t="shared" si="30"/>
        <v>-0.80492785923792187</v>
      </c>
    </row>
    <row r="130" spans="1:26" s="24" customFormat="1" hidden="1" outlineLevel="1" x14ac:dyDescent="0.25">
      <c r="A130" s="44"/>
      <c r="B130" s="11" t="str">
        <f>CONCATENATE("          ", "5043", " - ", "PURCHASES @ COST-CARDS")</f>
        <v xml:space="preserve">          5043 - PURCHASES @ COST-CARDS</v>
      </c>
      <c r="C130" s="11"/>
      <c r="D130" s="2">
        <v>8743.1</v>
      </c>
      <c r="E130" s="2"/>
      <c r="F130" s="19">
        <f t="shared" si="23"/>
        <v>7.4168001351652465E-3</v>
      </c>
      <c r="G130" s="2"/>
      <c r="H130" s="2">
        <v>3909.52</v>
      </c>
      <c r="I130" s="2"/>
      <c r="J130" s="19">
        <f t="shared" si="24"/>
        <v>1.7987786155537824E-3</v>
      </c>
      <c r="K130" s="2"/>
      <c r="L130" s="2">
        <f t="shared" si="25"/>
        <v>4833.58</v>
      </c>
      <c r="M130" s="2"/>
      <c r="N130" s="19">
        <f t="shared" si="26"/>
        <v>1.2363614970635781</v>
      </c>
      <c r="O130" s="11"/>
      <c r="P130" s="2">
        <v>55364.33</v>
      </c>
      <c r="Q130" s="2"/>
      <c r="R130" s="19">
        <f t="shared" si="27"/>
        <v>1.427858406281473E-2</v>
      </c>
      <c r="S130" s="2"/>
      <c r="T130" s="2">
        <v>10694.41</v>
      </c>
      <c r="U130" s="2"/>
      <c r="V130" s="19">
        <f t="shared" si="28"/>
        <v>1.3909410863645526E-3</v>
      </c>
      <c r="W130" s="2"/>
      <c r="X130" s="2">
        <f t="shared" si="29"/>
        <v>44669.919999999998</v>
      </c>
      <c r="Y130" s="2"/>
      <c r="Z130" s="19">
        <f t="shared" si="30"/>
        <v>4.1769410374204838</v>
      </c>
    </row>
    <row r="131" spans="1:26" s="24" customFormat="1" hidden="1" outlineLevel="1" x14ac:dyDescent="0.25">
      <c r="A131" s="44"/>
      <c r="B131" s="11" t="str">
        <f>CONCATENATE("          ", "5044", " - ", "PURCHASES @ COST-ACCESSORIES")</f>
        <v xml:space="preserve">          5044 - PURCHASES @ COST-ACCESSORIES</v>
      </c>
      <c r="C131" s="11"/>
      <c r="D131" s="2">
        <v>782.5</v>
      </c>
      <c r="E131" s="2"/>
      <c r="F131" s="19">
        <f t="shared" si="23"/>
        <v>6.6379729223808555E-4</v>
      </c>
      <c r="G131" s="2"/>
      <c r="H131" s="2">
        <v>3179.63</v>
      </c>
      <c r="I131" s="2"/>
      <c r="J131" s="19">
        <f t="shared" si="24"/>
        <v>1.4629546464459253E-3</v>
      </c>
      <c r="K131" s="2"/>
      <c r="L131" s="2">
        <f t="shared" si="25"/>
        <v>-2397.13</v>
      </c>
      <c r="M131" s="2"/>
      <c r="N131" s="19">
        <f t="shared" si="26"/>
        <v>-0.75390218358739858</v>
      </c>
      <c r="O131" s="11"/>
      <c r="P131" s="2">
        <v>1064.83</v>
      </c>
      <c r="Q131" s="2"/>
      <c r="R131" s="19">
        <f t="shared" si="27"/>
        <v>2.7462202951985523E-4</v>
      </c>
      <c r="S131" s="2"/>
      <c r="T131" s="2">
        <v>20867.21</v>
      </c>
      <c r="U131" s="2"/>
      <c r="V131" s="19">
        <f t="shared" si="28"/>
        <v>2.714040302064093E-3</v>
      </c>
      <c r="W131" s="2"/>
      <c r="X131" s="2">
        <f t="shared" si="29"/>
        <v>-19802.379999999997</v>
      </c>
      <c r="Y131" s="2"/>
      <c r="Z131" s="19">
        <f t="shared" si="30"/>
        <v>-0.94897113701352498</v>
      </c>
    </row>
    <row r="132" spans="1:26" s="24" customFormat="1" hidden="1" outlineLevel="1" x14ac:dyDescent="0.25">
      <c r="A132" s="44"/>
      <c r="B132" s="11" t="str">
        <f>CONCATENATE("          ", "5045", " - ", "PURCHASES @ COST-SPECIAL ORDER")</f>
        <v xml:space="preserve">          5045 - PURCHASES @ COST-SPECIAL ORDER</v>
      </c>
      <c r="C132" s="11"/>
      <c r="D132" s="2">
        <v>5855.38</v>
      </c>
      <c r="E132" s="2"/>
      <c r="F132" s="19">
        <f t="shared" si="23"/>
        <v>4.9671378773482955E-3</v>
      </c>
      <c r="G132" s="2"/>
      <c r="H132" s="2">
        <v>6835.65</v>
      </c>
      <c r="I132" s="2"/>
      <c r="J132" s="19">
        <f t="shared" si="24"/>
        <v>3.1450973632083257E-3</v>
      </c>
      <c r="K132" s="2"/>
      <c r="L132" s="2">
        <f t="shared" si="25"/>
        <v>-980.26999999999953</v>
      </c>
      <c r="M132" s="2"/>
      <c r="N132" s="19">
        <f t="shared" si="26"/>
        <v>-0.14340552836965023</v>
      </c>
      <c r="O132" s="11"/>
      <c r="P132" s="2">
        <v>93464.38</v>
      </c>
      <c r="Q132" s="2"/>
      <c r="R132" s="19">
        <f t="shared" si="27"/>
        <v>2.4104671847539016E-2</v>
      </c>
      <c r="S132" s="2"/>
      <c r="T132" s="2">
        <v>48016.23</v>
      </c>
      <c r="U132" s="2"/>
      <c r="V132" s="19">
        <f t="shared" si="28"/>
        <v>6.2451081564415646E-3</v>
      </c>
      <c r="W132" s="2"/>
      <c r="X132" s="2">
        <f t="shared" si="29"/>
        <v>45448.15</v>
      </c>
      <c r="Y132" s="2"/>
      <c r="Z132" s="19">
        <f t="shared" si="30"/>
        <v>0.94651641746967641</v>
      </c>
    </row>
    <row r="133" spans="1:26" s="24" customFormat="1" hidden="1" outlineLevel="1" x14ac:dyDescent="0.25">
      <c r="A133" s="44"/>
      <c r="B133" s="11" t="str">
        <f>CONCATENATE("          ", "5081", " - ", "PURCHASES @ COST-ELECTRONICS")</f>
        <v xml:space="preserve">          5081 - PURCHASES @ COST-ELECTRONICS</v>
      </c>
      <c r="C133" s="11"/>
      <c r="D133" s="2"/>
      <c r="E133" s="2"/>
      <c r="F133" s="19">
        <f t="shared" si="23"/>
        <v>0</v>
      </c>
      <c r="G133" s="2"/>
      <c r="H133" s="2">
        <v>119.66</v>
      </c>
      <c r="I133" s="2"/>
      <c r="J133" s="19">
        <f t="shared" si="24"/>
        <v>5.5055825046851179E-5</v>
      </c>
      <c r="K133" s="2"/>
      <c r="L133" s="2">
        <f t="shared" si="25"/>
        <v>-119.66</v>
      </c>
      <c r="M133" s="2"/>
      <c r="N133" s="19">
        <f t="shared" si="26"/>
        <v>-1</v>
      </c>
      <c r="O133" s="11"/>
      <c r="P133" s="2"/>
      <c r="Q133" s="2"/>
      <c r="R133" s="19">
        <f t="shared" si="27"/>
        <v>0</v>
      </c>
      <c r="S133" s="2"/>
      <c r="T133" s="2">
        <v>1891.21</v>
      </c>
      <c r="U133" s="2"/>
      <c r="V133" s="19">
        <f t="shared" si="28"/>
        <v>2.4597539199857737E-4</v>
      </c>
      <c r="W133" s="2"/>
      <c r="X133" s="2">
        <f t="shared" si="29"/>
        <v>-1891.21</v>
      </c>
      <c r="Y133" s="2"/>
      <c r="Z133" s="19">
        <f t="shared" si="30"/>
        <v>-1</v>
      </c>
    </row>
    <row r="134" spans="1:26" s="24" customFormat="1" hidden="1" outlineLevel="1" x14ac:dyDescent="0.25">
      <c r="A134" s="44"/>
      <c r="B134" s="11" t="str">
        <f>CONCATENATE("          ", "5082", " - ", "PURCHASES @ COST-COMPUTER HARD")</f>
        <v xml:space="preserve">          5082 - PURCHASES @ COST-COMPUTER HARD</v>
      </c>
      <c r="C134" s="11"/>
      <c r="D134" s="2"/>
      <c r="E134" s="2"/>
      <c r="F134" s="19">
        <f t="shared" si="23"/>
        <v>0</v>
      </c>
      <c r="G134" s="2"/>
      <c r="H134" s="2"/>
      <c r="I134" s="2"/>
      <c r="J134" s="19">
        <f t="shared" si="24"/>
        <v>0</v>
      </c>
      <c r="K134" s="2"/>
      <c r="L134" s="2">
        <f t="shared" si="25"/>
        <v>0</v>
      </c>
      <c r="M134" s="2"/>
      <c r="N134" s="19">
        <f t="shared" si="26"/>
        <v>0</v>
      </c>
      <c r="O134" s="11"/>
      <c r="P134" s="2"/>
      <c r="Q134" s="2"/>
      <c r="R134" s="19">
        <f t="shared" si="27"/>
        <v>0</v>
      </c>
      <c r="S134" s="2"/>
      <c r="T134" s="2">
        <v>349.6</v>
      </c>
      <c r="U134" s="2"/>
      <c r="V134" s="19">
        <f t="shared" si="28"/>
        <v>4.5469829919841083E-5</v>
      </c>
      <c r="W134" s="2"/>
      <c r="X134" s="2">
        <f t="shared" si="29"/>
        <v>-349.6</v>
      </c>
      <c r="Y134" s="2"/>
      <c r="Z134" s="19">
        <f t="shared" si="30"/>
        <v>-1</v>
      </c>
    </row>
    <row r="135" spans="1:26" s="24" customFormat="1" hidden="1" outlineLevel="1" x14ac:dyDescent="0.25">
      <c r="A135" s="44"/>
      <c r="B135" s="11" t="str">
        <f>CONCATENATE("          ", "5083", " - ", "PURCHASES @ COST-COMPUTER EQUI")</f>
        <v xml:space="preserve">          5083 - PURCHASES @ COST-COMPUTER EQUI</v>
      </c>
      <c r="C135" s="11"/>
      <c r="D135" s="2"/>
      <c r="E135" s="2"/>
      <c r="F135" s="19">
        <f t="shared" si="23"/>
        <v>0</v>
      </c>
      <c r="G135" s="2"/>
      <c r="H135" s="2">
        <v>83.36</v>
      </c>
      <c r="I135" s="2"/>
      <c r="J135" s="19">
        <f t="shared" si="24"/>
        <v>3.8354116462523103E-5</v>
      </c>
      <c r="K135" s="2"/>
      <c r="L135" s="2">
        <f t="shared" si="25"/>
        <v>-83.36</v>
      </c>
      <c r="M135" s="2"/>
      <c r="N135" s="19">
        <f t="shared" si="26"/>
        <v>-1</v>
      </c>
      <c r="O135" s="11"/>
      <c r="P135" s="2"/>
      <c r="Q135" s="2"/>
      <c r="R135" s="19">
        <f t="shared" si="27"/>
        <v>0</v>
      </c>
      <c r="S135" s="2"/>
      <c r="T135" s="2">
        <v>462.71</v>
      </c>
      <c r="U135" s="2"/>
      <c r="V135" s="19">
        <f t="shared" si="28"/>
        <v>6.0181192798082565E-5</v>
      </c>
      <c r="W135" s="2"/>
      <c r="X135" s="2">
        <f t="shared" si="29"/>
        <v>-462.71</v>
      </c>
      <c r="Y135" s="2"/>
      <c r="Z135" s="19">
        <f t="shared" si="30"/>
        <v>-1</v>
      </c>
    </row>
    <row r="136" spans="1:26" s="24" customFormat="1" hidden="1" outlineLevel="1" x14ac:dyDescent="0.25">
      <c r="A136" s="44"/>
      <c r="B136" s="11" t="str">
        <f>CONCATENATE("          ", "5086", " - ", "PURCHASES @ COST-COMPUTER SUPP")</f>
        <v xml:space="preserve">          5086 - PURCHASES @ COST-COMPUTER SUPP</v>
      </c>
      <c r="C136" s="11"/>
      <c r="D136" s="2"/>
      <c r="E136" s="2"/>
      <c r="F136" s="19">
        <f t="shared" si="23"/>
        <v>0</v>
      </c>
      <c r="G136" s="2"/>
      <c r="H136" s="2">
        <v>36.979999999999997</v>
      </c>
      <c r="I136" s="2"/>
      <c r="J136" s="19">
        <f t="shared" si="24"/>
        <v>1.7014578056431193E-5</v>
      </c>
      <c r="K136" s="2"/>
      <c r="L136" s="2">
        <f t="shared" si="25"/>
        <v>-36.979999999999997</v>
      </c>
      <c r="M136" s="2"/>
      <c r="N136" s="19">
        <f t="shared" si="26"/>
        <v>-1</v>
      </c>
      <c r="O136" s="11"/>
      <c r="P136" s="2"/>
      <c r="Q136" s="2"/>
      <c r="R136" s="19">
        <f t="shared" si="27"/>
        <v>0</v>
      </c>
      <c r="S136" s="2"/>
      <c r="T136" s="2">
        <v>416.24</v>
      </c>
      <c r="U136" s="2"/>
      <c r="V136" s="19">
        <f t="shared" si="28"/>
        <v>5.4137191092204377E-5</v>
      </c>
      <c r="W136" s="2"/>
      <c r="X136" s="2">
        <f t="shared" si="29"/>
        <v>-416.24</v>
      </c>
      <c r="Y136" s="2"/>
      <c r="Z136" s="19">
        <f t="shared" si="30"/>
        <v>-1</v>
      </c>
    </row>
    <row r="137" spans="1:26" s="24" customFormat="1" hidden="1" outlineLevel="1" x14ac:dyDescent="0.25">
      <c r="A137" s="44"/>
      <c r="B137" s="11" t="str">
        <f>CONCATENATE("          ", "5092", " - ", "PURCHASES @ COST-GRAD MERCH")</f>
        <v xml:space="preserve">          5092 - PURCHASES @ COST-GRAD MERCH</v>
      </c>
      <c r="C137" s="11"/>
      <c r="D137" s="2"/>
      <c r="E137" s="2"/>
      <c r="F137" s="19">
        <f t="shared" si="23"/>
        <v>0</v>
      </c>
      <c r="G137" s="2"/>
      <c r="H137" s="2">
        <v>122.72</v>
      </c>
      <c r="I137" s="2"/>
      <c r="J137" s="19">
        <f t="shared" si="24"/>
        <v>5.6463737671315197E-5</v>
      </c>
      <c r="K137" s="2"/>
      <c r="L137" s="2">
        <f t="shared" si="25"/>
        <v>-122.72</v>
      </c>
      <c r="M137" s="2"/>
      <c r="N137" s="19">
        <f t="shared" si="26"/>
        <v>-1</v>
      </c>
      <c r="O137" s="11"/>
      <c r="P137" s="2"/>
      <c r="Q137" s="2"/>
      <c r="R137" s="19">
        <f t="shared" si="27"/>
        <v>0</v>
      </c>
      <c r="S137" s="2"/>
      <c r="T137" s="2">
        <v>2046.86</v>
      </c>
      <c r="U137" s="2"/>
      <c r="V137" s="19">
        <f t="shared" si="28"/>
        <v>2.6621961118342651E-4</v>
      </c>
      <c r="W137" s="2"/>
      <c r="X137" s="2">
        <f t="shared" si="29"/>
        <v>-2046.86</v>
      </c>
      <c r="Y137" s="2"/>
      <c r="Z137" s="19">
        <f t="shared" si="30"/>
        <v>-1</v>
      </c>
    </row>
    <row r="138" spans="1:26" s="24" customFormat="1" hidden="1" outlineLevel="1" x14ac:dyDescent="0.25">
      <c r="A138" s="44"/>
      <c r="B138" s="11" t="str">
        <f>CONCATENATE("          ", "5095", " - ", "PURCHASES @ COST-CUSTOMER SERV")</f>
        <v xml:space="preserve">          5095 - PURCHASES @ COST-CUSTOMER SERV</v>
      </c>
      <c r="C138" s="11"/>
      <c r="D138" s="2"/>
      <c r="E138" s="2"/>
      <c r="F138" s="19">
        <f t="shared" si="23"/>
        <v>0</v>
      </c>
      <c r="G138" s="2"/>
      <c r="H138" s="2"/>
      <c r="I138" s="2"/>
      <c r="J138" s="19">
        <f t="shared" si="24"/>
        <v>0</v>
      </c>
      <c r="K138" s="2"/>
      <c r="L138" s="2">
        <f t="shared" si="25"/>
        <v>0</v>
      </c>
      <c r="M138" s="2"/>
      <c r="N138" s="19">
        <f t="shared" si="26"/>
        <v>0</v>
      </c>
      <c r="O138" s="11"/>
      <c r="P138" s="2"/>
      <c r="Q138" s="2"/>
      <c r="R138" s="19">
        <f t="shared" si="27"/>
        <v>0</v>
      </c>
      <c r="S138" s="2"/>
      <c r="T138" s="2">
        <v>0</v>
      </c>
      <c r="U138" s="2"/>
      <c r="V138" s="19">
        <f t="shared" si="28"/>
        <v>0</v>
      </c>
      <c r="W138" s="2"/>
      <c r="X138" s="2">
        <f t="shared" si="29"/>
        <v>0</v>
      </c>
      <c r="Y138" s="2"/>
      <c r="Z138" s="19">
        <f t="shared" si="30"/>
        <v>0</v>
      </c>
    </row>
    <row r="139" spans="1:26" s="24" customFormat="1" hidden="1" outlineLevel="1" x14ac:dyDescent="0.25">
      <c r="A139" s="44"/>
      <c r="B139" s="11" t="str">
        <f>CONCATENATE("          ", "5200", " - ", "PURCHASES OFFSET")</f>
        <v xml:space="preserve">          5200 - PURCHASES OFFSET</v>
      </c>
      <c r="C139" s="11"/>
      <c r="D139" s="2">
        <v>-390760.97</v>
      </c>
      <c r="E139" s="2"/>
      <c r="F139" s="19">
        <f t="shared" si="23"/>
        <v>-0.33148380038124953</v>
      </c>
      <c r="G139" s="2"/>
      <c r="H139" s="2">
        <v>-1039044</v>
      </c>
      <c r="I139" s="2"/>
      <c r="J139" s="19">
        <f t="shared" si="24"/>
        <v>-0.47806639378221993</v>
      </c>
      <c r="K139" s="2"/>
      <c r="L139" s="2">
        <f t="shared" si="25"/>
        <v>648283.03</v>
      </c>
      <c r="M139" s="2"/>
      <c r="N139" s="19">
        <f t="shared" si="26"/>
        <v>-0.62392259615569701</v>
      </c>
      <c r="O139" s="11"/>
      <c r="P139" s="2">
        <v>-2135783.4</v>
      </c>
      <c r="Q139" s="2"/>
      <c r="R139" s="19">
        <f t="shared" si="27"/>
        <v>-0.55082329754309778</v>
      </c>
      <c r="S139" s="2"/>
      <c r="T139" s="2">
        <v>-4025566</v>
      </c>
      <c r="U139" s="2"/>
      <c r="V139" s="19">
        <f t="shared" si="28"/>
        <v>-0.5235749466564501</v>
      </c>
      <c r="W139" s="2"/>
      <c r="X139" s="2">
        <f t="shared" si="29"/>
        <v>1889782.6</v>
      </c>
      <c r="Y139" s="2"/>
      <c r="Z139" s="19">
        <f t="shared" si="30"/>
        <v>-0.46944519106133153</v>
      </c>
    </row>
    <row r="140" spans="1:26" s="24" customFormat="1" hidden="1" outlineLevel="1" x14ac:dyDescent="0.25">
      <c r="A140" s="44"/>
      <c r="B140" s="11" t="str">
        <f>CONCATENATE("          ", "5300", " - ", "COG$ OFFSET")</f>
        <v xml:space="preserve">          5300 - COG$ OFFSET</v>
      </c>
      <c r="C140" s="11"/>
      <c r="D140" s="2">
        <v>584457</v>
      </c>
      <c r="E140" s="2"/>
      <c r="F140" s="19">
        <f t="shared" si="23"/>
        <v>0.4957967719228048</v>
      </c>
      <c r="G140" s="2"/>
      <c r="H140" s="2">
        <v>732800</v>
      </c>
      <c r="I140" s="2"/>
      <c r="J140" s="19">
        <f t="shared" si="24"/>
        <v>0.33716286640759269</v>
      </c>
      <c r="K140" s="2"/>
      <c r="L140" s="2">
        <f t="shared" si="25"/>
        <v>-148343</v>
      </c>
      <c r="M140" s="2"/>
      <c r="N140" s="19">
        <f t="shared" si="26"/>
        <v>-0.20243313318777292</v>
      </c>
      <c r="O140" s="11"/>
      <c r="P140" s="2">
        <v>1975590.0000000002</v>
      </c>
      <c r="Q140" s="2"/>
      <c r="R140" s="19">
        <f t="shared" si="27"/>
        <v>0.50950906276037577</v>
      </c>
      <c r="S140" s="2"/>
      <c r="T140" s="2">
        <v>3245890.47</v>
      </c>
      <c r="U140" s="2"/>
      <c r="V140" s="19">
        <f t="shared" si="28"/>
        <v>0.42216844281845833</v>
      </c>
      <c r="W140" s="2"/>
      <c r="X140" s="2">
        <f t="shared" si="29"/>
        <v>-1270300.47</v>
      </c>
      <c r="Y140" s="2"/>
      <c r="Z140" s="19">
        <f t="shared" si="30"/>
        <v>-0.39135654198460984</v>
      </c>
    </row>
    <row r="141" spans="1:26" s="24" customFormat="1" hidden="1" outlineLevel="1" x14ac:dyDescent="0.25">
      <c r="A141" s="44"/>
      <c r="B141" s="11" t="str">
        <f>CONCATENATE("          ", "5500", " - ", "FREIGHT-IN")</f>
        <v xml:space="preserve">          5500 - FREIGHT-IN</v>
      </c>
      <c r="C141" s="11"/>
      <c r="D141" s="2"/>
      <c r="E141" s="2"/>
      <c r="F141" s="19">
        <f t="shared" si="23"/>
        <v>0</v>
      </c>
      <c r="G141" s="2"/>
      <c r="H141" s="2">
        <v>7.3</v>
      </c>
      <c r="I141" s="2"/>
      <c r="J141" s="19">
        <f t="shared" si="24"/>
        <v>3.3587458034599164E-6</v>
      </c>
      <c r="K141" s="2"/>
      <c r="L141" s="2">
        <f t="shared" si="25"/>
        <v>-7.3</v>
      </c>
      <c r="M141" s="2"/>
      <c r="N141" s="19">
        <f t="shared" si="26"/>
        <v>-1</v>
      </c>
      <c r="O141" s="11"/>
      <c r="P141" s="2"/>
      <c r="Q141" s="2"/>
      <c r="R141" s="19">
        <f t="shared" si="27"/>
        <v>0</v>
      </c>
      <c r="S141" s="2"/>
      <c r="T141" s="2">
        <v>122.53</v>
      </c>
      <c r="U141" s="2"/>
      <c r="V141" s="19">
        <f t="shared" si="28"/>
        <v>1.5936551087179997E-5</v>
      </c>
      <c r="W141" s="2"/>
      <c r="X141" s="2">
        <f t="shared" si="29"/>
        <v>-122.53</v>
      </c>
      <c r="Y141" s="2"/>
      <c r="Z141" s="19">
        <f t="shared" si="30"/>
        <v>-1</v>
      </c>
    </row>
    <row r="142" spans="1:26" s="24" customFormat="1" hidden="1" outlineLevel="1" x14ac:dyDescent="0.25">
      <c r="A142" s="44"/>
      <c r="B142" s="11" t="str">
        <f>CONCATENATE("          ", "5501", " - ", "FREIGHT-IN-NEW TEXT")</f>
        <v xml:space="preserve">          5501 - FREIGHT-IN-NEW TEXT</v>
      </c>
      <c r="C142" s="11"/>
      <c r="D142" s="2">
        <v>7155.21</v>
      </c>
      <c r="E142" s="2"/>
      <c r="F142" s="19">
        <f t="shared" si="23"/>
        <v>6.0697878893225202E-3</v>
      </c>
      <c r="G142" s="2"/>
      <c r="H142" s="2">
        <v>3407.43</v>
      </c>
      <c r="I142" s="2"/>
      <c r="J142" s="19">
        <f t="shared" si="24"/>
        <v>1.5677659196004687E-3</v>
      </c>
      <c r="K142" s="2"/>
      <c r="L142" s="2">
        <f t="shared" si="25"/>
        <v>3747.78</v>
      </c>
      <c r="M142" s="2"/>
      <c r="N142" s="19">
        <f t="shared" si="26"/>
        <v>1.0998846638082074</v>
      </c>
      <c r="O142" s="11"/>
      <c r="P142" s="2">
        <v>44618.79</v>
      </c>
      <c r="Q142" s="2"/>
      <c r="R142" s="19">
        <f t="shared" si="27"/>
        <v>1.1507285354958279E-2</v>
      </c>
      <c r="S142" s="2"/>
      <c r="T142" s="2">
        <v>42077.369999999995</v>
      </c>
      <c r="U142" s="2"/>
      <c r="V142" s="19">
        <f t="shared" si="28"/>
        <v>5.4726855188049865E-3</v>
      </c>
      <c r="W142" s="2"/>
      <c r="X142" s="2">
        <f t="shared" si="29"/>
        <v>2541.4200000000055</v>
      </c>
      <c r="Y142" s="2"/>
      <c r="Z142" s="19">
        <f t="shared" si="30"/>
        <v>6.0398736898242593E-2</v>
      </c>
    </row>
    <row r="143" spans="1:26" s="24" customFormat="1" hidden="1" outlineLevel="1" x14ac:dyDescent="0.25">
      <c r="A143" s="44"/>
      <c r="B143" s="11" t="str">
        <f>CONCATENATE("          ", "5502", " - ", "FREIGHT-IN-USED TEXT")</f>
        <v xml:space="preserve">          5502 - FREIGHT-IN-USED TEXT</v>
      </c>
      <c r="C143" s="11"/>
      <c r="D143" s="2">
        <v>2129.7399999999998</v>
      </c>
      <c r="E143" s="2"/>
      <c r="F143" s="19">
        <f t="shared" si="23"/>
        <v>1.8066653612410736E-3</v>
      </c>
      <c r="G143" s="2"/>
      <c r="H143" s="2">
        <v>4124.8100000000004</v>
      </c>
      <c r="I143" s="2"/>
      <c r="J143" s="19">
        <f t="shared" si="24"/>
        <v>1.8978340106259588E-3</v>
      </c>
      <c r="K143" s="2"/>
      <c r="L143" s="2">
        <f t="shared" si="25"/>
        <v>-1995.0700000000006</v>
      </c>
      <c r="M143" s="2"/>
      <c r="N143" s="19">
        <f t="shared" si="26"/>
        <v>-0.48367561172514623</v>
      </c>
      <c r="O143" s="11"/>
      <c r="P143" s="2">
        <v>15652.310000000001</v>
      </c>
      <c r="Q143" s="2"/>
      <c r="R143" s="19">
        <f t="shared" si="27"/>
        <v>4.0367656235022736E-3</v>
      </c>
      <c r="S143" s="2"/>
      <c r="T143" s="2">
        <v>11778.23</v>
      </c>
      <c r="U143" s="2"/>
      <c r="V143" s="19">
        <f t="shared" si="28"/>
        <v>1.5319053628626137E-3</v>
      </c>
      <c r="W143" s="2"/>
      <c r="X143" s="2">
        <f t="shared" si="29"/>
        <v>3874.0800000000017</v>
      </c>
      <c r="Y143" s="2"/>
      <c r="Z143" s="19">
        <f t="shared" si="30"/>
        <v>0.32891869151816544</v>
      </c>
    </row>
    <row r="144" spans="1:26" s="24" customFormat="1" hidden="1" outlineLevel="1" x14ac:dyDescent="0.25">
      <c r="A144" s="44"/>
      <c r="B144" s="11" t="str">
        <f>CONCATENATE("          ", "5504", " - ", "FREIGHT-IN-DIGITAL TEXT")</f>
        <v xml:space="preserve">          5504 - FREIGHT-IN-DIGITAL TEXT</v>
      </c>
      <c r="C144" s="11"/>
      <c r="D144" s="2"/>
      <c r="E144" s="2"/>
      <c r="F144" s="19">
        <f t="shared" si="23"/>
        <v>0</v>
      </c>
      <c r="G144" s="2"/>
      <c r="H144" s="2"/>
      <c r="I144" s="2"/>
      <c r="J144" s="19">
        <f t="shared" si="24"/>
        <v>0</v>
      </c>
      <c r="K144" s="2"/>
      <c r="L144" s="2">
        <f t="shared" si="25"/>
        <v>0</v>
      </c>
      <c r="M144" s="2"/>
      <c r="N144" s="19">
        <f t="shared" si="26"/>
        <v>0</v>
      </c>
      <c r="O144" s="11"/>
      <c r="P144" s="2">
        <v>21.98</v>
      </c>
      <c r="Q144" s="2"/>
      <c r="R144" s="19">
        <f t="shared" si="27"/>
        <v>5.6686909730627599E-6</v>
      </c>
      <c r="S144" s="2"/>
      <c r="T144" s="2">
        <v>105.97</v>
      </c>
      <c r="U144" s="2"/>
      <c r="V144" s="19">
        <f t="shared" si="28"/>
        <v>1.3782717038345421E-5</v>
      </c>
      <c r="W144" s="2"/>
      <c r="X144" s="2">
        <f t="shared" si="29"/>
        <v>-83.99</v>
      </c>
      <c r="Y144" s="2"/>
      <c r="Z144" s="19">
        <f t="shared" si="30"/>
        <v>-0.79258280645465695</v>
      </c>
    </row>
    <row r="145" spans="1:26" s="24" customFormat="1" hidden="1" outlineLevel="1" x14ac:dyDescent="0.25">
      <c r="A145" s="44"/>
      <c r="B145" s="11" t="str">
        <f>CONCATENATE("          ", "5513", " - ", "FREIGHT-IN-TRADE BOOKS")</f>
        <v xml:space="preserve">          5513 - FREIGHT-IN-TRADE BOOKS</v>
      </c>
      <c r="C145" s="11"/>
      <c r="D145" s="2">
        <v>7.06</v>
      </c>
      <c r="E145" s="2"/>
      <c r="F145" s="19">
        <f t="shared" si="23"/>
        <v>5.9890209369979339E-6</v>
      </c>
      <c r="G145" s="2"/>
      <c r="H145" s="2"/>
      <c r="I145" s="2"/>
      <c r="J145" s="19">
        <f t="shared" si="24"/>
        <v>0</v>
      </c>
      <c r="K145" s="2"/>
      <c r="L145" s="2">
        <f t="shared" si="25"/>
        <v>7.06</v>
      </c>
      <c r="M145" s="2"/>
      <c r="N145" s="19">
        <f t="shared" si="26"/>
        <v>0</v>
      </c>
      <c r="O145" s="11"/>
      <c r="P145" s="2">
        <v>33.520000000000003</v>
      </c>
      <c r="Q145" s="2"/>
      <c r="R145" s="19">
        <f t="shared" si="27"/>
        <v>8.6448826850347468E-6</v>
      </c>
      <c r="S145" s="2"/>
      <c r="T145" s="2">
        <v>21.41</v>
      </c>
      <c r="U145" s="2"/>
      <c r="V145" s="19">
        <f t="shared" si="28"/>
        <v>2.7846368952625786E-6</v>
      </c>
      <c r="W145" s="2"/>
      <c r="X145" s="2">
        <f t="shared" si="29"/>
        <v>12.110000000000003</v>
      </c>
      <c r="Y145" s="2"/>
      <c r="Z145" s="19">
        <f t="shared" si="30"/>
        <v>0.56562354040168161</v>
      </c>
    </row>
    <row r="146" spans="1:26" s="24" customFormat="1" hidden="1" outlineLevel="1" x14ac:dyDescent="0.25">
      <c r="A146" s="44"/>
      <c r="B146" s="11" t="str">
        <f>CONCATENATE("          ", "5518", " - ", "FREIGHT-IN-STUDY GUIDES")</f>
        <v xml:space="preserve">          5518 - FREIGHT-IN-STUDY GUIDES</v>
      </c>
      <c r="C146" s="11"/>
      <c r="D146" s="2"/>
      <c r="E146" s="2"/>
      <c r="F146" s="19">
        <f t="shared" si="23"/>
        <v>0</v>
      </c>
      <c r="G146" s="2"/>
      <c r="H146" s="2"/>
      <c r="I146" s="2"/>
      <c r="J146" s="19">
        <f t="shared" si="24"/>
        <v>0</v>
      </c>
      <c r="K146" s="2"/>
      <c r="L146" s="2">
        <f t="shared" si="25"/>
        <v>0</v>
      </c>
      <c r="M146" s="2"/>
      <c r="N146" s="19">
        <f t="shared" si="26"/>
        <v>0</v>
      </c>
      <c r="O146" s="11"/>
      <c r="P146" s="2"/>
      <c r="Q146" s="2"/>
      <c r="R146" s="19">
        <f t="shared" si="27"/>
        <v>0</v>
      </c>
      <c r="S146" s="2"/>
      <c r="T146" s="2">
        <v>21.13</v>
      </c>
      <c r="U146" s="2"/>
      <c r="V146" s="19">
        <f t="shared" si="28"/>
        <v>2.7482194113450855E-6</v>
      </c>
      <c r="W146" s="2"/>
      <c r="X146" s="2">
        <f t="shared" si="29"/>
        <v>-21.13</v>
      </c>
      <c r="Y146" s="2"/>
      <c r="Z146" s="19">
        <f t="shared" si="30"/>
        <v>-1</v>
      </c>
    </row>
    <row r="147" spans="1:26" s="24" customFormat="1" hidden="1" outlineLevel="1" x14ac:dyDescent="0.25">
      <c r="A147" s="44"/>
      <c r="B147" s="11" t="str">
        <f>CONCATENATE("          ", "5525", " - ", "FREIGHT-IN-TEST FORMS")</f>
        <v xml:space="preserve">          5525 - FREIGHT-IN-TEST FORMS</v>
      </c>
      <c r="C147" s="11"/>
      <c r="D147" s="2"/>
      <c r="E147" s="2"/>
      <c r="F147" s="19">
        <f t="shared" si="23"/>
        <v>0</v>
      </c>
      <c r="G147" s="2"/>
      <c r="H147" s="2"/>
      <c r="I147" s="2"/>
      <c r="J147" s="19">
        <f t="shared" si="24"/>
        <v>0</v>
      </c>
      <c r="K147" s="2"/>
      <c r="L147" s="2">
        <f t="shared" si="25"/>
        <v>0</v>
      </c>
      <c r="M147" s="2"/>
      <c r="N147" s="19">
        <f t="shared" si="26"/>
        <v>0</v>
      </c>
      <c r="O147" s="11"/>
      <c r="P147" s="2">
        <v>48.14</v>
      </c>
      <c r="Q147" s="2"/>
      <c r="R147" s="19">
        <f t="shared" si="27"/>
        <v>1.2415413259474126E-5</v>
      </c>
      <c r="S147" s="2"/>
      <c r="T147" s="2">
        <v>622.41</v>
      </c>
      <c r="U147" s="2"/>
      <c r="V147" s="19">
        <f t="shared" si="28"/>
        <v>8.0952164875309742E-5</v>
      </c>
      <c r="W147" s="2"/>
      <c r="X147" s="2">
        <f t="shared" si="29"/>
        <v>-574.27</v>
      </c>
      <c r="Y147" s="2"/>
      <c r="Z147" s="19">
        <f t="shared" si="30"/>
        <v>-0.92265548432705136</v>
      </c>
    </row>
    <row r="148" spans="1:26" s="24" customFormat="1" hidden="1" outlineLevel="1" x14ac:dyDescent="0.25">
      <c r="A148" s="44"/>
      <c r="B148" s="11" t="str">
        <f>CONCATENATE("          ", "5526", " - ", "FREIGHT-IN-WRITING INSTRUMENTS")</f>
        <v xml:space="preserve">          5526 - FREIGHT-IN-WRITING INSTRUMENTS</v>
      </c>
      <c r="C148" s="11"/>
      <c r="D148" s="2"/>
      <c r="E148" s="2"/>
      <c r="F148" s="19">
        <f t="shared" si="23"/>
        <v>0</v>
      </c>
      <c r="G148" s="2"/>
      <c r="H148" s="2"/>
      <c r="I148" s="2"/>
      <c r="J148" s="19">
        <f t="shared" si="24"/>
        <v>0</v>
      </c>
      <c r="K148" s="2"/>
      <c r="L148" s="2">
        <f t="shared" si="25"/>
        <v>0</v>
      </c>
      <c r="M148" s="2"/>
      <c r="N148" s="19">
        <f t="shared" si="26"/>
        <v>0</v>
      </c>
      <c r="O148" s="11"/>
      <c r="P148" s="2"/>
      <c r="Q148" s="2"/>
      <c r="R148" s="19">
        <f t="shared" si="27"/>
        <v>0</v>
      </c>
      <c r="S148" s="2"/>
      <c r="T148" s="2">
        <v>260.35000000000002</v>
      </c>
      <c r="U148" s="2"/>
      <c r="V148" s="19">
        <f t="shared" si="28"/>
        <v>3.3861756921140234E-5</v>
      </c>
      <c r="W148" s="2"/>
      <c r="X148" s="2">
        <f t="shared" si="29"/>
        <v>-260.35000000000002</v>
      </c>
      <c r="Y148" s="2"/>
      <c r="Z148" s="19">
        <f t="shared" si="30"/>
        <v>-1</v>
      </c>
    </row>
    <row r="149" spans="1:26" s="24" customFormat="1" hidden="1" outlineLevel="1" x14ac:dyDescent="0.25">
      <c r="A149" s="44"/>
      <c r="B149" s="11" t="str">
        <f>CONCATENATE("          ", "5527", " - ", "FREIGHT-IN-SCHOOL SUPPLIES")</f>
        <v xml:space="preserve">          5527 - FREIGHT-IN-SCHOOL SUPPLIES</v>
      </c>
      <c r="C149" s="11"/>
      <c r="D149" s="2"/>
      <c r="E149" s="2"/>
      <c r="F149" s="19">
        <f t="shared" si="23"/>
        <v>0</v>
      </c>
      <c r="G149" s="2"/>
      <c r="H149" s="2">
        <v>321.92</v>
      </c>
      <c r="I149" s="2"/>
      <c r="J149" s="19">
        <f t="shared" si="24"/>
        <v>1.4811608891093374E-4</v>
      </c>
      <c r="K149" s="2"/>
      <c r="L149" s="2">
        <f t="shared" si="25"/>
        <v>-321.92</v>
      </c>
      <c r="M149" s="2"/>
      <c r="N149" s="19">
        <f t="shared" si="26"/>
        <v>-1</v>
      </c>
      <c r="O149" s="11"/>
      <c r="P149" s="2">
        <v>177.5</v>
      </c>
      <c r="Q149" s="2"/>
      <c r="R149" s="19">
        <f t="shared" si="27"/>
        <v>4.5777645483104635E-5</v>
      </c>
      <c r="S149" s="2"/>
      <c r="T149" s="2">
        <v>1219.8399999999999</v>
      </c>
      <c r="U149" s="2"/>
      <c r="V149" s="19">
        <f t="shared" si="28"/>
        <v>1.5865536993540886E-4</v>
      </c>
      <c r="W149" s="2"/>
      <c r="X149" s="2">
        <f t="shared" si="29"/>
        <v>-1042.3399999999999</v>
      </c>
      <c r="Y149" s="2"/>
      <c r="Z149" s="19">
        <f t="shared" si="30"/>
        <v>-0.85448911332633792</v>
      </c>
    </row>
    <row r="150" spans="1:26" s="24" customFormat="1" hidden="1" outlineLevel="1" x14ac:dyDescent="0.25">
      <c r="A150" s="44"/>
      <c r="B150" s="11" t="str">
        <f>CONCATENATE("          ", "5528", " - ", "FREIGHT-IN-ART/TECH")</f>
        <v xml:space="preserve">          5528 - FREIGHT-IN-ART/TECH</v>
      </c>
      <c r="C150" s="11"/>
      <c r="D150" s="2">
        <v>48.53</v>
      </c>
      <c r="E150" s="2"/>
      <c r="F150" s="19">
        <f t="shared" si="23"/>
        <v>4.1168156667494302E-5</v>
      </c>
      <c r="G150" s="2"/>
      <c r="H150" s="2">
        <v>220.82</v>
      </c>
      <c r="I150" s="2"/>
      <c r="J150" s="19">
        <f t="shared" si="24"/>
        <v>1.0159976004383818E-4</v>
      </c>
      <c r="K150" s="2"/>
      <c r="L150" s="2">
        <f t="shared" si="25"/>
        <v>-172.29</v>
      </c>
      <c r="M150" s="2"/>
      <c r="N150" s="19">
        <f t="shared" si="26"/>
        <v>-0.78022824019563441</v>
      </c>
      <c r="O150" s="11"/>
      <c r="P150" s="2">
        <v>338.74</v>
      </c>
      <c r="Q150" s="2"/>
      <c r="R150" s="19">
        <f t="shared" si="27"/>
        <v>8.7361800737728815E-5</v>
      </c>
      <c r="S150" s="2"/>
      <c r="T150" s="2">
        <v>1331.46</v>
      </c>
      <c r="U150" s="2"/>
      <c r="V150" s="19">
        <f t="shared" si="28"/>
        <v>1.7317293977423228E-4</v>
      </c>
      <c r="W150" s="2"/>
      <c r="X150" s="2">
        <f t="shared" si="29"/>
        <v>-992.72</v>
      </c>
      <c r="Y150" s="2"/>
      <c r="Z150" s="19">
        <f t="shared" si="30"/>
        <v>-0.74558755050846437</v>
      </c>
    </row>
    <row r="151" spans="1:26" s="24" customFormat="1" hidden="1" outlineLevel="1" x14ac:dyDescent="0.25">
      <c r="A151" s="44"/>
      <c r="B151" s="11" t="str">
        <f>CONCATENATE("          ", "5540", " - ", "FREIGHT-IN-LOGO CLOTHING")</f>
        <v xml:space="preserve">          5540 - FREIGHT-IN-LOGO CLOTHING</v>
      </c>
      <c r="C151" s="11"/>
      <c r="D151" s="2">
        <v>347.67</v>
      </c>
      <c r="E151" s="2"/>
      <c r="F151" s="19">
        <f t="shared" si="23"/>
        <v>2.9492959053343794E-4</v>
      </c>
      <c r="G151" s="2"/>
      <c r="H151" s="2">
        <v>1400.5</v>
      </c>
      <c r="I151" s="2"/>
      <c r="J151" s="19">
        <f t="shared" si="24"/>
        <v>6.4437308188296065E-4</v>
      </c>
      <c r="K151" s="2"/>
      <c r="L151" s="2">
        <f t="shared" si="25"/>
        <v>-1052.83</v>
      </c>
      <c r="M151" s="2"/>
      <c r="N151" s="19">
        <f t="shared" si="26"/>
        <v>-0.75175294537665116</v>
      </c>
      <c r="O151" s="11"/>
      <c r="P151" s="2">
        <v>5790.63</v>
      </c>
      <c r="Q151" s="2"/>
      <c r="R151" s="19">
        <f t="shared" si="27"/>
        <v>1.4934163789511561E-3</v>
      </c>
      <c r="S151" s="2"/>
      <c r="T151" s="2">
        <v>25677.89</v>
      </c>
      <c r="U151" s="2"/>
      <c r="V151" s="19">
        <f t="shared" si="28"/>
        <v>3.339729093250538E-3</v>
      </c>
      <c r="W151" s="2"/>
      <c r="X151" s="2">
        <f t="shared" si="29"/>
        <v>-19887.259999999998</v>
      </c>
      <c r="Y151" s="2"/>
      <c r="Z151" s="19">
        <f t="shared" si="30"/>
        <v>-0.77448964848747304</v>
      </c>
    </row>
    <row r="152" spans="1:26" s="24" customFormat="1" hidden="1" outlineLevel="1" x14ac:dyDescent="0.25">
      <c r="A152" s="44"/>
      <c r="B152" s="11" t="str">
        <f>CONCATENATE("          ", "5541", " - ", "FREIGHT-IN-LOGO GIFTS")</f>
        <v xml:space="preserve">          5541 - FREIGHT-IN-LOGO GIFTS</v>
      </c>
      <c r="C152" s="11"/>
      <c r="D152" s="2">
        <v>182.93</v>
      </c>
      <c r="E152" s="2"/>
      <c r="F152" s="19">
        <f t="shared" si="23"/>
        <v>1.5518011331516036E-4</v>
      </c>
      <c r="G152" s="2"/>
      <c r="H152" s="2">
        <v>24.8</v>
      </c>
      <c r="I152" s="2"/>
      <c r="J152" s="19">
        <f t="shared" si="24"/>
        <v>1.1410533688466566E-5</v>
      </c>
      <c r="K152" s="2"/>
      <c r="L152" s="2">
        <f t="shared" si="25"/>
        <v>158.13</v>
      </c>
      <c r="M152" s="2"/>
      <c r="N152" s="19">
        <f t="shared" si="26"/>
        <v>6.3762096774193546</v>
      </c>
      <c r="O152" s="11"/>
      <c r="P152" s="2">
        <v>1702.87</v>
      </c>
      <c r="Q152" s="2"/>
      <c r="R152" s="19">
        <f t="shared" si="27"/>
        <v>4.3917396712008107E-4</v>
      </c>
      <c r="S152" s="2"/>
      <c r="T152" s="2">
        <v>3587.57</v>
      </c>
      <c r="U152" s="2"/>
      <c r="V152" s="19">
        <f t="shared" si="28"/>
        <v>4.6660811706385658E-4</v>
      </c>
      <c r="W152" s="2"/>
      <c r="X152" s="2">
        <f t="shared" si="29"/>
        <v>-1884.7000000000003</v>
      </c>
      <c r="Y152" s="2"/>
      <c r="Z152" s="19">
        <f t="shared" si="30"/>
        <v>-0.52534166580721775</v>
      </c>
    </row>
    <row r="153" spans="1:26" s="24" customFormat="1" hidden="1" outlineLevel="1" x14ac:dyDescent="0.25">
      <c r="A153" s="44"/>
      <c r="B153" s="11" t="str">
        <f>CONCATENATE("          ", "5542", " - ", "FREIGHT-IN-EVERYDAY GIFTS")</f>
        <v xml:space="preserve">          5542 - FREIGHT-IN-EVERYDAY GIFTS</v>
      </c>
      <c r="C153" s="11"/>
      <c r="D153" s="2">
        <v>187.38</v>
      </c>
      <c r="E153" s="2"/>
      <c r="F153" s="19">
        <f t="shared" si="23"/>
        <v>1.5895506277261657E-4</v>
      </c>
      <c r="G153" s="2"/>
      <c r="H153" s="2"/>
      <c r="I153" s="2"/>
      <c r="J153" s="19">
        <f t="shared" si="24"/>
        <v>0</v>
      </c>
      <c r="K153" s="2"/>
      <c r="L153" s="2">
        <f t="shared" si="25"/>
        <v>187.38</v>
      </c>
      <c r="M153" s="2"/>
      <c r="N153" s="19">
        <f t="shared" si="26"/>
        <v>0</v>
      </c>
      <c r="O153" s="11"/>
      <c r="P153" s="2">
        <v>383.93</v>
      </c>
      <c r="Q153" s="2"/>
      <c r="R153" s="19">
        <f t="shared" si="27"/>
        <v>9.9016402424385145E-5</v>
      </c>
      <c r="S153" s="2"/>
      <c r="T153" s="2">
        <v>1708.33</v>
      </c>
      <c r="U153" s="2"/>
      <c r="V153" s="19">
        <f t="shared" si="28"/>
        <v>2.2218957250275202E-4</v>
      </c>
      <c r="W153" s="2"/>
      <c r="X153" s="2">
        <f t="shared" si="29"/>
        <v>-1324.3999999999999</v>
      </c>
      <c r="Y153" s="2"/>
      <c r="Z153" s="19">
        <f t="shared" si="30"/>
        <v>-0.77526004928790104</v>
      </c>
    </row>
    <row r="154" spans="1:26" s="24" customFormat="1" hidden="1" outlineLevel="1" x14ac:dyDescent="0.25">
      <c r="A154" s="44"/>
      <c r="B154" s="11" t="str">
        <f>CONCATENATE("          ", "5543", " - ", "FREIGHT-IN-CARDS")</f>
        <v xml:space="preserve">          5543 - FREIGHT-IN-CARDS</v>
      </c>
      <c r="C154" s="11"/>
      <c r="D154" s="2">
        <v>1992.81</v>
      </c>
      <c r="E154" s="2"/>
      <c r="F154" s="19">
        <f t="shared" si="23"/>
        <v>1.6905071973737753E-3</v>
      </c>
      <c r="G154" s="2"/>
      <c r="H154" s="2"/>
      <c r="I154" s="2"/>
      <c r="J154" s="19">
        <f t="shared" si="24"/>
        <v>0</v>
      </c>
      <c r="K154" s="2"/>
      <c r="L154" s="2">
        <f t="shared" si="25"/>
        <v>1992.81</v>
      </c>
      <c r="M154" s="2"/>
      <c r="N154" s="19">
        <f t="shared" si="26"/>
        <v>0</v>
      </c>
      <c r="O154" s="11"/>
      <c r="P154" s="2">
        <v>9110.5300000000007</v>
      </c>
      <c r="Q154" s="2"/>
      <c r="R154" s="19">
        <f t="shared" si="27"/>
        <v>2.3496259859334609E-3</v>
      </c>
      <c r="S154" s="2"/>
      <c r="T154" s="2">
        <v>121.35</v>
      </c>
      <c r="U154" s="2"/>
      <c r="V154" s="19">
        <f t="shared" si="28"/>
        <v>1.5783077404956276E-5</v>
      </c>
      <c r="W154" s="2"/>
      <c r="X154" s="2">
        <f t="shared" si="29"/>
        <v>8989.18</v>
      </c>
      <c r="Y154" s="2"/>
      <c r="Z154" s="19">
        <f t="shared" si="30"/>
        <v>74.07647301194892</v>
      </c>
    </row>
    <row r="155" spans="1:26" s="24" customFormat="1" hidden="1" outlineLevel="1" x14ac:dyDescent="0.25">
      <c r="A155" s="44"/>
      <c r="B155" s="11" t="str">
        <f>CONCATENATE("          ", "5544", " - ", "FREIGHT-IN-ACCESSORIES")</f>
        <v xml:space="preserve">          5544 - FREIGHT-IN-ACCESSORIES</v>
      </c>
      <c r="C155" s="11"/>
      <c r="D155" s="2"/>
      <c r="E155" s="2"/>
      <c r="F155" s="19">
        <f t="shared" si="23"/>
        <v>0</v>
      </c>
      <c r="G155" s="2"/>
      <c r="H155" s="2"/>
      <c r="I155" s="2"/>
      <c r="J155" s="19">
        <f t="shared" si="24"/>
        <v>0</v>
      </c>
      <c r="K155" s="2"/>
      <c r="L155" s="2">
        <f t="shared" si="25"/>
        <v>0</v>
      </c>
      <c r="M155" s="2"/>
      <c r="N155" s="19">
        <f t="shared" si="26"/>
        <v>0</v>
      </c>
      <c r="O155" s="11"/>
      <c r="P155" s="2"/>
      <c r="Q155" s="2"/>
      <c r="R155" s="19">
        <f t="shared" si="27"/>
        <v>0</v>
      </c>
      <c r="S155" s="2"/>
      <c r="T155" s="2">
        <v>442.31</v>
      </c>
      <c r="U155" s="2"/>
      <c r="V155" s="19">
        <f t="shared" si="28"/>
        <v>5.7527918969808087E-5</v>
      </c>
      <c r="W155" s="2"/>
      <c r="X155" s="2">
        <f t="shared" si="29"/>
        <v>-442.31</v>
      </c>
      <c r="Y155" s="2"/>
      <c r="Z155" s="19">
        <f t="shared" si="30"/>
        <v>-1</v>
      </c>
    </row>
    <row r="156" spans="1:26" s="24" customFormat="1" hidden="1" outlineLevel="1" x14ac:dyDescent="0.25">
      <c r="A156" s="44"/>
      <c r="B156" s="11" t="str">
        <f>CONCATENATE("          ", "5545", " - ", "FREIGHT-IN-SPECIAL ORDERS")</f>
        <v xml:space="preserve">          5545 - FREIGHT-IN-SPECIAL ORDERS</v>
      </c>
      <c r="C156" s="11"/>
      <c r="D156" s="2"/>
      <c r="E156" s="2"/>
      <c r="F156" s="19">
        <f t="shared" si="23"/>
        <v>0</v>
      </c>
      <c r="G156" s="2"/>
      <c r="H156" s="2">
        <v>14.23</v>
      </c>
      <c r="I156" s="2"/>
      <c r="J156" s="19">
        <f t="shared" si="24"/>
        <v>6.5472538059225493E-6</v>
      </c>
      <c r="K156" s="2"/>
      <c r="L156" s="2">
        <f t="shared" si="25"/>
        <v>-14.23</v>
      </c>
      <c r="M156" s="2"/>
      <c r="N156" s="19">
        <f t="shared" si="26"/>
        <v>-1</v>
      </c>
      <c r="O156" s="11"/>
      <c r="P156" s="2">
        <v>1113.79</v>
      </c>
      <c r="Q156" s="2"/>
      <c r="R156" s="19">
        <f t="shared" si="27"/>
        <v>2.8724892260634992E-4</v>
      </c>
      <c r="S156" s="2"/>
      <c r="T156" s="2">
        <v>841.9</v>
      </c>
      <c r="U156" s="2"/>
      <c r="V156" s="19">
        <f t="shared" si="28"/>
        <v>1.0949957039334726E-4</v>
      </c>
      <c r="W156" s="2"/>
      <c r="X156" s="2">
        <f t="shared" si="29"/>
        <v>271.89</v>
      </c>
      <c r="Y156" s="2"/>
      <c r="Z156" s="19">
        <f t="shared" si="30"/>
        <v>0.32294809359781446</v>
      </c>
    </row>
    <row r="157" spans="1:26" s="24" customFormat="1" hidden="1" outlineLevel="1" x14ac:dyDescent="0.25">
      <c r="A157" s="44"/>
      <c r="B157" s="11" t="str">
        <f>CONCATENATE("          ", "5592", " - ", "FREIGHT-IN-GRAD MERCH")</f>
        <v xml:space="preserve">          5592 - FREIGHT-IN-GRAD MERCH</v>
      </c>
      <c r="C157" s="11"/>
      <c r="D157" s="2"/>
      <c r="E157" s="2"/>
      <c r="F157" s="19">
        <f t="shared" si="23"/>
        <v>0</v>
      </c>
      <c r="G157" s="2"/>
      <c r="H157" s="2"/>
      <c r="I157" s="2"/>
      <c r="J157" s="19">
        <f t="shared" si="24"/>
        <v>0</v>
      </c>
      <c r="K157" s="2"/>
      <c r="L157" s="2">
        <f t="shared" si="25"/>
        <v>0</v>
      </c>
      <c r="M157" s="2"/>
      <c r="N157" s="19">
        <f t="shared" si="26"/>
        <v>0</v>
      </c>
      <c r="O157" s="11"/>
      <c r="P157" s="2"/>
      <c r="Q157" s="2"/>
      <c r="R157" s="19">
        <f t="shared" si="27"/>
        <v>0</v>
      </c>
      <c r="S157" s="2"/>
      <c r="T157" s="2">
        <v>105.78</v>
      </c>
      <c r="U157" s="2"/>
      <c r="V157" s="19">
        <f t="shared" si="28"/>
        <v>1.3758005174258551E-5</v>
      </c>
      <c r="W157" s="2"/>
      <c r="X157" s="2">
        <f t="shared" si="29"/>
        <v>-105.78</v>
      </c>
      <c r="Y157" s="2"/>
      <c r="Z157" s="19">
        <f t="shared" si="30"/>
        <v>-1</v>
      </c>
    </row>
    <row r="158" spans="1:26" x14ac:dyDescent="0.25">
      <c r="A158" s="9"/>
      <c r="B158" s="10"/>
      <c r="C158" s="10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O158" s="10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x14ac:dyDescent="0.25">
      <c r="A159" s="10"/>
      <c r="B159" s="28" t="s">
        <v>6</v>
      </c>
      <c r="C159" s="28"/>
      <c r="D159" s="20">
        <f>D12-D107</f>
        <v>407230.3899999999</v>
      </c>
      <c r="E159" s="14"/>
      <c r="F159" s="22">
        <f>IF(D$12=0,0,D159/D$12)</f>
        <v>0.34545486287419741</v>
      </c>
      <c r="G159" s="14"/>
      <c r="H159" s="20">
        <f>H12-H107</f>
        <v>983907.90000000014</v>
      </c>
      <c r="I159" s="14"/>
      <c r="J159" s="22">
        <f>IF(H$12=0,0,H159/H$12)</f>
        <v>0.45269815481041914</v>
      </c>
      <c r="K159" s="15"/>
      <c r="L159" s="20">
        <f>+D159-H159</f>
        <v>-576677.51000000024</v>
      </c>
      <c r="M159" s="15"/>
      <c r="N159" s="22">
        <f>IF(H159=0,0,L159/H159)</f>
        <v>-0.58610923847648766</v>
      </c>
      <c r="O159" s="29"/>
      <c r="P159" s="20">
        <f>P12-P107</f>
        <v>1371221.6199999992</v>
      </c>
      <c r="Q159" s="14"/>
      <c r="R159" s="22">
        <f>IF(P$12=0,0,P159/P$12)</f>
        <v>0.35364111098100498</v>
      </c>
      <c r="S159" s="14"/>
      <c r="T159" s="20">
        <f>T12-T107</f>
        <v>3278665.2499999944</v>
      </c>
      <c r="U159" s="14"/>
      <c r="V159" s="22">
        <f>IF(T$12=0,0,T159/T$12)</f>
        <v>0.4264312107597053</v>
      </c>
      <c r="W159" s="15"/>
      <c r="X159" s="20">
        <f>+P159-T159</f>
        <v>-1907443.6299999952</v>
      </c>
      <c r="Y159" s="15"/>
      <c r="Z159" s="22">
        <f>IF(T159=0,0,X159/T159)</f>
        <v>-0.5817744370212844</v>
      </c>
    </row>
    <row r="160" spans="1:26" x14ac:dyDescent="0.25">
      <c r="A160" s="9"/>
      <c r="B160" s="10"/>
      <c r="C160" s="9"/>
      <c r="D160" s="1"/>
      <c r="E160" s="1"/>
      <c r="F160" s="5"/>
      <c r="G160" s="1"/>
      <c r="H160" s="1"/>
      <c r="I160" s="1"/>
      <c r="J160" s="5"/>
      <c r="K160" s="1"/>
      <c r="L160" s="1"/>
      <c r="M160" s="1"/>
      <c r="N160" s="5"/>
      <c r="O160" s="37"/>
      <c r="P160" s="1"/>
      <c r="Q160" s="1"/>
      <c r="R160" s="5"/>
      <c r="S160" s="1"/>
      <c r="T160" s="1"/>
      <c r="U160" s="1"/>
      <c r="V160" s="5"/>
      <c r="W160" s="1"/>
      <c r="X160" s="1"/>
      <c r="Y160" s="1"/>
      <c r="Z160" s="5"/>
    </row>
    <row r="161" spans="1:26" s="23" customFormat="1" x14ac:dyDescent="0.25">
      <c r="A161" s="10"/>
      <c r="B161" s="29" t="s">
        <v>9</v>
      </c>
      <c r="C161" s="10"/>
      <c r="D161" s="21">
        <f>SUM(OSRRefD22x_0)</f>
        <v>298970.27000000008</v>
      </c>
      <c r="E161" s="21"/>
      <c r="F161" s="35">
        <f t="shared" ref="F161:F172" si="31">IF(D$12=0,0,D161/D$12)</f>
        <v>0.25361745135551361</v>
      </c>
      <c r="G161" s="21"/>
      <c r="H161" s="21">
        <f>SUM(OSRRefH22x_0)</f>
        <v>469995.02000000014</v>
      </c>
      <c r="I161" s="21"/>
      <c r="J161" s="35">
        <f t="shared" ref="J161:J172" si="32">IF(H$12=0,0,H161/H$12)</f>
        <v>0.21624572617425478</v>
      </c>
      <c r="K161" s="4"/>
      <c r="L161" s="21">
        <f t="shared" ref="L161:L172" si="33">+D161-H161</f>
        <v>-171024.75000000006</v>
      </c>
      <c r="M161" s="4"/>
      <c r="N161" s="35">
        <f t="shared" ref="N161:N172" si="34">IF(H161=0,0,L161/H161)</f>
        <v>-0.36388630245486431</v>
      </c>
      <c r="O161" s="10"/>
      <c r="P161" s="21">
        <f>SUM(OSRRefP22x_0)</f>
        <v>1906395.4399999992</v>
      </c>
      <c r="Q161" s="21"/>
      <c r="R161" s="35">
        <f t="shared" ref="R161:R172" si="35">IF(P$12=0,0,P161/P$12)</f>
        <v>0.4916636315657873</v>
      </c>
      <c r="S161" s="21"/>
      <c r="T161" s="21">
        <f>SUM(OSRRefT22x_0)</f>
        <v>2710081.4000000004</v>
      </c>
      <c r="U161" s="21"/>
      <c r="V161" s="35">
        <f t="shared" ref="V161:V172" si="36">IF(T$12=0,0,T161/T$12)</f>
        <v>0.3524798064271305</v>
      </c>
      <c r="W161" s="4"/>
      <c r="X161" s="21">
        <f t="shared" ref="X161:X172" si="37">+P161-T161</f>
        <v>-803685.96000000113</v>
      </c>
      <c r="Y161" s="4"/>
      <c r="Z161" s="35">
        <f t="shared" ref="Z161:Z172" si="38">IF(T161=0,0,X161/T161)</f>
        <v>-0.29655417730257144</v>
      </c>
    </row>
    <row r="162" spans="1:26" s="26" customFormat="1" outlineLevel="1" collapsed="1" x14ac:dyDescent="0.25">
      <c r="A162" s="27"/>
      <c r="B162" s="13" t="str">
        <f>CONCATENATE("     ","*Benefits                                         ")</f>
        <v xml:space="preserve">     *Benefits                                         </v>
      </c>
      <c r="C162" s="13"/>
      <c r="D162" s="1">
        <f>SUM(OSRRefD22_0x_0)</f>
        <v>51590.869999999995</v>
      </c>
      <c r="E162" s="1"/>
      <c r="F162" s="5">
        <f t="shared" si="31"/>
        <v>4.3764702632852495E-2</v>
      </c>
      <c r="G162" s="1"/>
      <c r="H162" s="1">
        <f>SUM(OSRRefH22_0x_0)</f>
        <v>48144.320000000007</v>
      </c>
      <c r="I162" s="1"/>
      <c r="J162" s="5">
        <f t="shared" si="32"/>
        <v>2.2151305857593336E-2</v>
      </c>
      <c r="K162" s="1"/>
      <c r="L162" s="1">
        <f t="shared" si="33"/>
        <v>3446.5499999999884</v>
      </c>
      <c r="M162" s="1"/>
      <c r="N162" s="5">
        <f t="shared" si="34"/>
        <v>7.1587884095153653E-2</v>
      </c>
      <c r="O162" s="13"/>
      <c r="P162" s="1">
        <f>SUM(OSRRefP22_0x_0)</f>
        <v>319455.47000000009</v>
      </c>
      <c r="Q162" s="1"/>
      <c r="R162" s="5">
        <f t="shared" si="35"/>
        <v>8.2388277483372241E-2</v>
      </c>
      <c r="S162" s="1"/>
      <c r="T162" s="1">
        <f>SUM(OSRRefT22_0x_0)</f>
        <v>349890.69</v>
      </c>
      <c r="U162" s="1"/>
      <c r="V162" s="5">
        <f t="shared" si="36"/>
        <v>4.5507637771269566E-2</v>
      </c>
      <c r="W162" s="1"/>
      <c r="X162" s="1">
        <f t="shared" si="37"/>
        <v>-30435.219999999914</v>
      </c>
      <c r="Y162" s="1"/>
      <c r="Z162" s="5">
        <f t="shared" si="38"/>
        <v>-8.6984938067371592E-2</v>
      </c>
    </row>
    <row r="163" spans="1:26" s="24" customFormat="1" hidden="1" outlineLevel="2" x14ac:dyDescent="0.25">
      <c r="A163" s="25"/>
      <c r="B163" s="11" t="str">
        <f>CONCATENATE("          ", "6111", " - ", "F.I.C.A.")</f>
        <v xml:space="preserve">          6111 - F.I.C.A.</v>
      </c>
      <c r="C163" s="11"/>
      <c r="D163" s="6">
        <v>7931.47</v>
      </c>
      <c r="E163" s="2"/>
      <c r="F163" s="7">
        <f t="shared" si="31"/>
        <v>6.7282917692876787E-3</v>
      </c>
      <c r="G163" s="2"/>
      <c r="H163" s="6">
        <v>7050.15</v>
      </c>
      <c r="I163" s="2"/>
      <c r="J163" s="7">
        <f t="shared" si="32"/>
        <v>3.243789277570264E-3</v>
      </c>
      <c r="K163" s="2"/>
      <c r="L163" s="6">
        <f t="shared" si="33"/>
        <v>881.32000000000062</v>
      </c>
      <c r="M163" s="2"/>
      <c r="N163" s="7">
        <f t="shared" si="34"/>
        <v>0.12500726934887921</v>
      </c>
      <c r="O163" s="11"/>
      <c r="P163" s="6">
        <v>63448.71</v>
      </c>
      <c r="Q163" s="2"/>
      <c r="R163" s="7">
        <f t="shared" si="35"/>
        <v>1.636356367741023E-2</v>
      </c>
      <c r="S163" s="2"/>
      <c r="T163" s="6">
        <v>67610.349999999991</v>
      </c>
      <c r="U163" s="2"/>
      <c r="V163" s="7">
        <f t="shared" si="36"/>
        <v>8.7935672635037956E-3</v>
      </c>
      <c r="W163" s="2"/>
      <c r="X163" s="6">
        <f t="shared" si="37"/>
        <v>-4161.6399999999921</v>
      </c>
      <c r="Y163" s="2"/>
      <c r="Z163" s="7">
        <f t="shared" si="38"/>
        <v>-6.1553297682972984E-2</v>
      </c>
    </row>
    <row r="164" spans="1:26" s="24" customFormat="1" hidden="1" outlineLevel="2" x14ac:dyDescent="0.25">
      <c r="A164" s="25"/>
      <c r="B164" s="11" t="str">
        <f>CONCATENATE("          ", "6112", " - ", "COMPENSATION INSURANCE")</f>
        <v xml:space="preserve">          6112 - COMPENSATION INSURANCE</v>
      </c>
      <c r="C164" s="11"/>
      <c r="D164" s="6">
        <v>804.16</v>
      </c>
      <c r="E164" s="2"/>
      <c r="F164" s="7">
        <f t="shared" si="31"/>
        <v>6.8217154060853523E-4</v>
      </c>
      <c r="G164" s="2"/>
      <c r="H164" s="6">
        <v>3511.82</v>
      </c>
      <c r="I164" s="2"/>
      <c r="J164" s="7">
        <f t="shared" si="32"/>
        <v>1.6157959845899458E-3</v>
      </c>
      <c r="K164" s="2"/>
      <c r="L164" s="6">
        <f t="shared" si="33"/>
        <v>-2707.6600000000003</v>
      </c>
      <c r="M164" s="2"/>
      <c r="N164" s="7">
        <f t="shared" si="34"/>
        <v>-0.77101332072828344</v>
      </c>
      <c r="O164" s="11"/>
      <c r="P164" s="6">
        <v>16489.57</v>
      </c>
      <c r="Q164" s="2"/>
      <c r="R164" s="7">
        <f t="shared" si="35"/>
        <v>4.2526968429793671E-3</v>
      </c>
      <c r="S164" s="2"/>
      <c r="T164" s="6">
        <v>16961.62</v>
      </c>
      <c r="U164" s="2"/>
      <c r="V164" s="7">
        <f t="shared" si="36"/>
        <v>2.2060697270165183E-3</v>
      </c>
      <c r="W164" s="2"/>
      <c r="X164" s="6">
        <f t="shared" si="37"/>
        <v>-472.04999999999927</v>
      </c>
      <c r="Y164" s="2"/>
      <c r="Z164" s="7">
        <f t="shared" si="38"/>
        <v>-2.7830478456656812E-2</v>
      </c>
    </row>
    <row r="165" spans="1:26" s="24" customFormat="1" hidden="1" outlineLevel="2" x14ac:dyDescent="0.25">
      <c r="A165" s="25"/>
      <c r="B165" s="11" t="str">
        <f>CONCATENATE("          ", "6113", " - ", "GROUP INSURANCE")</f>
        <v xml:space="preserve">          6113 - GROUP INSURANCE</v>
      </c>
      <c r="C165" s="11"/>
      <c r="D165" s="6">
        <v>21620.289999999997</v>
      </c>
      <c r="E165" s="2"/>
      <c r="F165" s="7">
        <f t="shared" si="31"/>
        <v>1.8340562248437262E-2</v>
      </c>
      <c r="G165" s="2"/>
      <c r="H165" s="6">
        <v>17435.190000000002</v>
      </c>
      <c r="I165" s="2"/>
      <c r="J165" s="7">
        <f t="shared" si="32"/>
        <v>8.0219686637022346E-3</v>
      </c>
      <c r="K165" s="2"/>
      <c r="L165" s="6">
        <f t="shared" si="33"/>
        <v>4185.0999999999949</v>
      </c>
      <c r="M165" s="2"/>
      <c r="N165" s="7">
        <f t="shared" si="34"/>
        <v>0.2400375332875635</v>
      </c>
      <c r="O165" s="11"/>
      <c r="P165" s="6">
        <v>110017.99</v>
      </c>
      <c r="Q165" s="2"/>
      <c r="R165" s="7">
        <f t="shared" si="35"/>
        <v>2.8373884749204232E-2</v>
      </c>
      <c r="S165" s="2"/>
      <c r="T165" s="6">
        <v>128355.12000000001</v>
      </c>
      <c r="U165" s="2"/>
      <c r="V165" s="7">
        <f t="shared" si="36"/>
        <v>1.6694180422599521E-2</v>
      </c>
      <c r="W165" s="2"/>
      <c r="X165" s="6">
        <f t="shared" si="37"/>
        <v>-18337.130000000005</v>
      </c>
      <c r="Y165" s="2"/>
      <c r="Z165" s="7">
        <f t="shared" si="38"/>
        <v>-0.14286247404856156</v>
      </c>
    </row>
    <row r="166" spans="1:26" s="24" customFormat="1" hidden="1" outlineLevel="2" x14ac:dyDescent="0.25">
      <c r="A166" s="25"/>
      <c r="B166" s="11" t="str">
        <f>CONCATENATE("          ", "6114", " - ", "STATE UNEMPLOYMENT INSURANCE")</f>
        <v xml:space="preserve">          6114 - STATE UNEMPLOYMENT INSURANCE</v>
      </c>
      <c r="C166" s="11"/>
      <c r="D166" s="6">
        <v>667.99</v>
      </c>
      <c r="E166" s="2"/>
      <c r="F166" s="7">
        <f t="shared" si="31"/>
        <v>5.6665808721037536E-4</v>
      </c>
      <c r="G166" s="2"/>
      <c r="H166" s="6">
        <v>556.9</v>
      </c>
      <c r="I166" s="2"/>
      <c r="J166" s="7">
        <f t="shared" si="32"/>
        <v>2.5623089560915442E-4</v>
      </c>
      <c r="K166" s="2"/>
      <c r="L166" s="6">
        <f t="shared" si="33"/>
        <v>111.09000000000003</v>
      </c>
      <c r="M166" s="2"/>
      <c r="N166" s="7">
        <f t="shared" si="34"/>
        <v>0.19947926019033943</v>
      </c>
      <c r="O166" s="11"/>
      <c r="P166" s="6">
        <v>2616.2600000000002</v>
      </c>
      <c r="Q166" s="2"/>
      <c r="R166" s="7">
        <f t="shared" si="35"/>
        <v>6.7473928322043576E-4</v>
      </c>
      <c r="S166" s="2"/>
      <c r="T166" s="6">
        <v>3514.07</v>
      </c>
      <c r="U166" s="2"/>
      <c r="V166" s="7">
        <f t="shared" si="36"/>
        <v>4.5704852753551472E-4</v>
      </c>
      <c r="W166" s="2"/>
      <c r="X166" s="6">
        <f t="shared" si="37"/>
        <v>-897.81</v>
      </c>
      <c r="Y166" s="2"/>
      <c r="Z166" s="7">
        <f t="shared" si="38"/>
        <v>-0.25549007276462904</v>
      </c>
    </row>
    <row r="167" spans="1:26" s="24" customFormat="1" hidden="1" outlineLevel="2" x14ac:dyDescent="0.25">
      <c r="A167" s="25"/>
      <c r="B167" s="11" t="str">
        <f>CONCATENATE("          ", "6115", " - ", "P.E.R.S.")</f>
        <v xml:space="preserve">          6115 - P.E.R.S.</v>
      </c>
      <c r="C167" s="11"/>
      <c r="D167" s="6">
        <v>9507.2199999999993</v>
      </c>
      <c r="E167" s="2"/>
      <c r="F167" s="7">
        <f t="shared" si="31"/>
        <v>8.0650056136891638E-3</v>
      </c>
      <c r="G167" s="2"/>
      <c r="H167" s="6">
        <v>8904.76</v>
      </c>
      <c r="I167" s="2"/>
      <c r="J167" s="7">
        <f t="shared" si="32"/>
        <v>4.0970993535366746E-3</v>
      </c>
      <c r="K167" s="2"/>
      <c r="L167" s="6">
        <f t="shared" si="33"/>
        <v>602.45999999999913</v>
      </c>
      <c r="M167" s="2"/>
      <c r="N167" s="7">
        <f t="shared" si="34"/>
        <v>6.7655950300737927E-2</v>
      </c>
      <c r="O167" s="11"/>
      <c r="P167" s="6">
        <v>49525.270000000004</v>
      </c>
      <c r="Q167" s="2"/>
      <c r="R167" s="7">
        <f t="shared" si="35"/>
        <v>1.277267747895796E-2</v>
      </c>
      <c r="S167" s="2"/>
      <c r="T167" s="6">
        <v>50671.8</v>
      </c>
      <c r="U167" s="2"/>
      <c r="V167" s="7">
        <f t="shared" si="36"/>
        <v>6.5904980770371945E-3</v>
      </c>
      <c r="W167" s="2"/>
      <c r="X167" s="6">
        <f t="shared" si="37"/>
        <v>-1146.5299999999988</v>
      </c>
      <c r="Y167" s="2"/>
      <c r="Z167" s="7">
        <f t="shared" si="38"/>
        <v>-2.2626589148204698E-2</v>
      </c>
    </row>
    <row r="168" spans="1:26" s="24" customFormat="1" hidden="1" outlineLevel="2" x14ac:dyDescent="0.25">
      <c r="A168" s="25"/>
      <c r="B168" s="11" t="str">
        <f>CONCATENATE("          ", "6116", " - ", "EDUCATIONAL BENEFITS")</f>
        <v xml:space="preserve">          6116 - EDUCATIONAL BENEFITS</v>
      </c>
      <c r="C168" s="11"/>
      <c r="D168" s="6"/>
      <c r="E168" s="2"/>
      <c r="F168" s="7">
        <f t="shared" si="31"/>
        <v>0</v>
      </c>
      <c r="G168" s="2"/>
      <c r="H168" s="6"/>
      <c r="I168" s="2"/>
      <c r="J168" s="7">
        <f t="shared" si="32"/>
        <v>0</v>
      </c>
      <c r="K168" s="2"/>
      <c r="L168" s="6">
        <f t="shared" si="33"/>
        <v>0</v>
      </c>
      <c r="M168" s="2"/>
      <c r="N168" s="7">
        <f t="shared" si="34"/>
        <v>0</v>
      </c>
      <c r="O168" s="11"/>
      <c r="P168" s="6">
        <v>0</v>
      </c>
      <c r="Q168" s="2"/>
      <c r="R168" s="7">
        <f t="shared" si="35"/>
        <v>0</v>
      </c>
      <c r="S168" s="2"/>
      <c r="T168" s="6"/>
      <c r="U168" s="2"/>
      <c r="V168" s="7">
        <f t="shared" si="36"/>
        <v>0</v>
      </c>
      <c r="W168" s="2"/>
      <c r="X168" s="6">
        <f t="shared" si="37"/>
        <v>0</v>
      </c>
      <c r="Y168" s="2"/>
      <c r="Z168" s="7">
        <f t="shared" si="38"/>
        <v>0</v>
      </c>
    </row>
    <row r="169" spans="1:26" s="24" customFormat="1" hidden="1" outlineLevel="2" x14ac:dyDescent="0.25">
      <c r="A169" s="25"/>
      <c r="B169" s="11" t="str">
        <f>CONCATENATE("          ", "6117", " - ", "RETIREMENT STAFF HOURLY")</f>
        <v xml:space="preserve">          6117 - RETIREMENT STAFF HOURLY</v>
      </c>
      <c r="C169" s="11"/>
      <c r="D169" s="6">
        <v>506.92</v>
      </c>
      <c r="E169" s="2"/>
      <c r="F169" s="7">
        <f t="shared" si="31"/>
        <v>4.3002188291543813E-4</v>
      </c>
      <c r="G169" s="2"/>
      <c r="H169" s="6">
        <v>213.49</v>
      </c>
      <c r="I169" s="2"/>
      <c r="J169" s="7">
        <f t="shared" si="32"/>
        <v>9.8227211175432548E-5</v>
      </c>
      <c r="K169" s="2"/>
      <c r="L169" s="6">
        <f t="shared" si="33"/>
        <v>293.43</v>
      </c>
      <c r="M169" s="2"/>
      <c r="N169" s="7">
        <f t="shared" si="34"/>
        <v>1.3744437678579793</v>
      </c>
      <c r="O169" s="11"/>
      <c r="P169" s="6">
        <v>2241.04</v>
      </c>
      <c r="Q169" s="2"/>
      <c r="R169" s="7">
        <f t="shared" si="35"/>
        <v>5.7796920920257357E-4</v>
      </c>
      <c r="S169" s="2"/>
      <c r="T169" s="6">
        <v>952.23</v>
      </c>
      <c r="U169" s="2"/>
      <c r="V169" s="7">
        <f t="shared" si="36"/>
        <v>1.2384935968126506E-4</v>
      </c>
      <c r="W169" s="2"/>
      <c r="X169" s="6">
        <f t="shared" si="37"/>
        <v>1288.81</v>
      </c>
      <c r="Y169" s="2"/>
      <c r="Z169" s="7">
        <f t="shared" si="38"/>
        <v>1.3534650242063366</v>
      </c>
    </row>
    <row r="170" spans="1:26" s="24" customFormat="1" hidden="1" outlineLevel="2" x14ac:dyDescent="0.25">
      <c r="A170" s="25"/>
      <c r="B170" s="11" t="str">
        <f>CONCATENATE("          ", "6118", " - ", "VACATION")</f>
        <v xml:space="preserve">          6118 - VACATION</v>
      </c>
      <c r="C170" s="11"/>
      <c r="D170" s="6">
        <v>5779.06</v>
      </c>
      <c r="E170" s="2"/>
      <c r="F170" s="7">
        <f t="shared" si="31"/>
        <v>4.9023953733947998E-3</v>
      </c>
      <c r="G170" s="2"/>
      <c r="H170" s="6">
        <v>4317.5</v>
      </c>
      <c r="I170" s="2"/>
      <c r="J170" s="7">
        <f t="shared" si="32"/>
        <v>1.9864910967723548E-3</v>
      </c>
      <c r="K170" s="2"/>
      <c r="L170" s="6">
        <f t="shared" si="33"/>
        <v>1461.5600000000004</v>
      </c>
      <c r="M170" s="2"/>
      <c r="N170" s="7">
        <f t="shared" si="34"/>
        <v>0.33851997683844826</v>
      </c>
      <c r="O170" s="11"/>
      <c r="P170" s="6">
        <v>38065.310000000005</v>
      </c>
      <c r="Q170" s="2"/>
      <c r="R170" s="7">
        <f t="shared" si="35"/>
        <v>9.8171282613210026E-3</v>
      </c>
      <c r="S170" s="2"/>
      <c r="T170" s="6">
        <v>37958.800000000003</v>
      </c>
      <c r="U170" s="2"/>
      <c r="V170" s="7">
        <f t="shared" si="36"/>
        <v>4.9370142447404571E-3</v>
      </c>
      <c r="W170" s="2"/>
      <c r="X170" s="6">
        <f t="shared" si="37"/>
        <v>106.51000000000204</v>
      </c>
      <c r="Y170" s="2"/>
      <c r="Z170" s="7">
        <f t="shared" si="38"/>
        <v>2.8059369632338752E-3</v>
      </c>
    </row>
    <row r="171" spans="1:26" s="24" customFormat="1" hidden="1" outlineLevel="2" x14ac:dyDescent="0.25">
      <c r="A171" s="25"/>
      <c r="B171" s="11" t="str">
        <f>CONCATENATE("          ", "6119", " - ", "SICK LEAVE")</f>
        <v xml:space="preserve">          6119 - SICK LEAVE</v>
      </c>
      <c r="C171" s="11"/>
      <c r="D171" s="6">
        <v>3939.34</v>
      </c>
      <c r="E171" s="2"/>
      <c r="F171" s="7">
        <f t="shared" si="31"/>
        <v>3.3417549203900061E-3</v>
      </c>
      <c r="G171" s="2"/>
      <c r="H171" s="6">
        <v>3376.33</v>
      </c>
      <c r="I171" s="2"/>
      <c r="J171" s="7">
        <f t="shared" si="32"/>
        <v>1.5534567422734E-3</v>
      </c>
      <c r="K171" s="2"/>
      <c r="L171" s="6">
        <f t="shared" si="33"/>
        <v>563.01000000000022</v>
      </c>
      <c r="M171" s="2"/>
      <c r="N171" s="7">
        <f t="shared" si="34"/>
        <v>0.16675206511211885</v>
      </c>
      <c r="O171" s="11"/>
      <c r="P171" s="6">
        <v>27320.449999999997</v>
      </c>
      <c r="Q171" s="2"/>
      <c r="R171" s="7">
        <f t="shared" si="35"/>
        <v>7.0460049269796387E-3</v>
      </c>
      <c r="S171" s="2"/>
      <c r="T171" s="6">
        <v>29565.58</v>
      </c>
      <c r="U171" s="2"/>
      <c r="V171" s="7">
        <f t="shared" si="36"/>
        <v>3.8453715505762445E-3</v>
      </c>
      <c r="W171" s="2"/>
      <c r="X171" s="6">
        <f t="shared" si="37"/>
        <v>-2245.1300000000047</v>
      </c>
      <c r="Y171" s="2"/>
      <c r="Z171" s="7">
        <f t="shared" si="38"/>
        <v>-7.5937289239717418E-2</v>
      </c>
    </row>
    <row r="172" spans="1:26" s="24" customFormat="1" hidden="1" outlineLevel="2" x14ac:dyDescent="0.25">
      <c r="A172" s="25"/>
      <c r="B172" s="11" t="str">
        <f>CONCATENATE("          ", "6156", " - ", "EMPLOYEE MEALS")</f>
        <v xml:space="preserve">          6156 - EMPLOYEE MEALS</v>
      </c>
      <c r="C172" s="11"/>
      <c r="D172" s="6">
        <v>834.42</v>
      </c>
      <c r="E172" s="2"/>
      <c r="F172" s="7">
        <f t="shared" si="31"/>
        <v>7.0784119691923739E-4</v>
      </c>
      <c r="G172" s="2"/>
      <c r="H172" s="6">
        <v>2778.18</v>
      </c>
      <c r="I172" s="2"/>
      <c r="J172" s="7">
        <f t="shared" si="32"/>
        <v>1.2782466323638727E-3</v>
      </c>
      <c r="K172" s="2"/>
      <c r="L172" s="6">
        <f t="shared" si="33"/>
        <v>-1943.7599999999998</v>
      </c>
      <c r="M172" s="2"/>
      <c r="N172" s="7">
        <f t="shared" si="34"/>
        <v>-0.69965229034835752</v>
      </c>
      <c r="O172" s="11"/>
      <c r="P172" s="6">
        <v>9730.8700000000008</v>
      </c>
      <c r="Q172" s="2"/>
      <c r="R172" s="7">
        <f t="shared" si="35"/>
        <v>2.50961305409678E-3</v>
      </c>
      <c r="S172" s="2"/>
      <c r="T172" s="6">
        <v>14301.12</v>
      </c>
      <c r="U172" s="2"/>
      <c r="V172" s="7">
        <f t="shared" si="36"/>
        <v>1.8600385985790551E-3</v>
      </c>
      <c r="W172" s="2"/>
      <c r="X172" s="6">
        <f t="shared" si="37"/>
        <v>-4570.25</v>
      </c>
      <c r="Y172" s="2"/>
      <c r="Z172" s="7">
        <f t="shared" si="38"/>
        <v>-0.31957287261417283</v>
      </c>
    </row>
    <row r="173" spans="1:26" s="26" customFormat="1" outlineLevel="1" collapsed="1" x14ac:dyDescent="0.25">
      <c r="A173" s="27"/>
      <c r="B173" s="13" t="str">
        <f>CONCATENATE("     ","*Payroll                                          ")</f>
        <v xml:space="preserve">     *Payroll                                          </v>
      </c>
      <c r="C173" s="13"/>
      <c r="D173" s="1">
        <f>SUM(OSRRefD22_1x_0)</f>
        <v>164815.32</v>
      </c>
      <c r="E173" s="1"/>
      <c r="F173" s="5">
        <f t="shared" ref="F173:F180" si="39">IF(D$12=0,0,D173/D$12)</f>
        <v>0.13981337141898223</v>
      </c>
      <c r="G173" s="1"/>
      <c r="H173" s="1">
        <f>SUM(OSRRefH22_1x_0)</f>
        <v>267287.26</v>
      </c>
      <c r="I173" s="1"/>
      <c r="J173" s="5">
        <f t="shared" ref="J173:J180" si="40">IF(H$12=0,0,H173/H$12)</f>
        <v>0.12297944696483556</v>
      </c>
      <c r="K173" s="1"/>
      <c r="L173" s="1">
        <f t="shared" ref="L173:L180" si="41">+D173-H173</f>
        <v>-102471.94</v>
      </c>
      <c r="M173" s="1"/>
      <c r="N173" s="5">
        <f t="shared" ref="N173:N180" si="42">IF(H173=0,0,L173/H173)</f>
        <v>-0.38337756913666593</v>
      </c>
      <c r="O173" s="13"/>
      <c r="P173" s="1">
        <f>SUM(OSRRefP22_1x_0)</f>
        <v>895037.81999999983</v>
      </c>
      <c r="Q173" s="1"/>
      <c r="R173" s="5">
        <f t="shared" ref="R173:R180" si="43">IF(P$12=0,0,P173/P$12)</f>
        <v>0.23083224798834262</v>
      </c>
      <c r="S173" s="1"/>
      <c r="T173" s="1">
        <f>SUM(OSRRefT22_1x_0)</f>
        <v>1302058.4099999999</v>
      </c>
      <c r="U173" s="1"/>
      <c r="V173" s="5">
        <f t="shared" ref="V173:V180" si="44">IF(T$12=0,0,T173/T$12)</f>
        <v>0.16934889716361184</v>
      </c>
      <c r="W173" s="1"/>
      <c r="X173" s="1">
        <f t="shared" ref="X173:X180" si="45">+P173-T173</f>
        <v>-407020.59000000008</v>
      </c>
      <c r="Y173" s="1"/>
      <c r="Z173" s="5">
        <f t="shared" ref="Z173:Z180" si="46">IF(T173=0,0,X173/T173)</f>
        <v>-0.31259779659193637</v>
      </c>
    </row>
    <row r="174" spans="1:26" s="24" customFormat="1" hidden="1" outlineLevel="2" x14ac:dyDescent="0.25">
      <c r="A174" s="25"/>
      <c r="B174" s="11" t="str">
        <f>CONCATENATE("          ", "6001", " - ", "ADMINISTRATIVE SALARIES")</f>
        <v xml:space="preserve">          6001 - ADMINISTRATIVE SALARIES</v>
      </c>
      <c r="C174" s="11"/>
      <c r="D174" s="6">
        <v>5332.74</v>
      </c>
      <c r="E174" s="2"/>
      <c r="F174" s="7">
        <f t="shared" si="39"/>
        <v>4.5237806673606743E-3</v>
      </c>
      <c r="G174" s="2"/>
      <c r="H174" s="6">
        <v>12324.43</v>
      </c>
      <c r="I174" s="2"/>
      <c r="J174" s="7">
        <f t="shared" si="40"/>
        <v>5.6704969236349998E-3</v>
      </c>
      <c r="K174" s="2"/>
      <c r="L174" s="6">
        <f t="shared" si="41"/>
        <v>-6991.6900000000005</v>
      </c>
      <c r="M174" s="2"/>
      <c r="N174" s="7">
        <f t="shared" si="42"/>
        <v>-0.56730331544744872</v>
      </c>
      <c r="O174" s="11"/>
      <c r="P174" s="6">
        <v>30215.85</v>
      </c>
      <c r="Q174" s="2"/>
      <c r="R174" s="7">
        <f t="shared" si="43"/>
        <v>7.7927350381446041E-3</v>
      </c>
      <c r="S174" s="2"/>
      <c r="T174" s="6">
        <v>79306.540000000008</v>
      </c>
      <c r="U174" s="2"/>
      <c r="V174" s="7">
        <f t="shared" si="44"/>
        <v>1.0314802303578586E-2</v>
      </c>
      <c r="W174" s="2"/>
      <c r="X174" s="6">
        <f t="shared" si="45"/>
        <v>-49090.69000000001</v>
      </c>
      <c r="Y174" s="2"/>
      <c r="Z174" s="7">
        <f t="shared" si="46"/>
        <v>-0.61899926538214889</v>
      </c>
    </row>
    <row r="175" spans="1:26" s="24" customFormat="1" hidden="1" outlineLevel="2" x14ac:dyDescent="0.25">
      <c r="A175" s="25"/>
      <c r="B175" s="11" t="str">
        <f>CONCATENATE("          ", "6002", " - ", "STAFF SALARIES")</f>
        <v xml:space="preserve">          6002 - STAFF SALARIES</v>
      </c>
      <c r="C175" s="11"/>
      <c r="D175" s="6">
        <v>79241.260000000009</v>
      </c>
      <c r="E175" s="2"/>
      <c r="F175" s="7">
        <f t="shared" si="39"/>
        <v>6.722061830228003E-2</v>
      </c>
      <c r="G175" s="2"/>
      <c r="H175" s="6">
        <v>67079.87</v>
      </c>
      <c r="I175" s="2"/>
      <c r="J175" s="7">
        <f t="shared" si="40"/>
        <v>3.0863593405361194E-2</v>
      </c>
      <c r="K175" s="2"/>
      <c r="L175" s="6">
        <f t="shared" si="41"/>
        <v>12161.390000000014</v>
      </c>
      <c r="M175" s="2"/>
      <c r="N175" s="7">
        <f t="shared" si="42"/>
        <v>0.1812971611304556</v>
      </c>
      <c r="O175" s="11"/>
      <c r="P175" s="6">
        <v>414753.45</v>
      </c>
      <c r="Q175" s="2"/>
      <c r="R175" s="7">
        <f t="shared" si="43"/>
        <v>0.10696583885630741</v>
      </c>
      <c r="S175" s="2"/>
      <c r="T175" s="6">
        <v>416563.19</v>
      </c>
      <c r="U175" s="2"/>
      <c r="V175" s="7">
        <f t="shared" si="44"/>
        <v>5.4179225973016144E-2</v>
      </c>
      <c r="W175" s="2"/>
      <c r="X175" s="6">
        <f t="shared" si="45"/>
        <v>-1809.7399999999907</v>
      </c>
      <c r="Y175" s="2"/>
      <c r="Z175" s="7">
        <f t="shared" si="46"/>
        <v>-4.3444549193124597E-3</v>
      </c>
    </row>
    <row r="176" spans="1:26" s="24" customFormat="1" hidden="1" outlineLevel="2" x14ac:dyDescent="0.25">
      <c r="A176" s="25"/>
      <c r="B176" s="11" t="str">
        <f>CONCATENATE("          ", "6004", " - ", "STAFF HOURLY")</f>
        <v xml:space="preserve">          6004 - STAFF HOURLY</v>
      </c>
      <c r="C176" s="11"/>
      <c r="D176" s="6">
        <v>18984.73</v>
      </c>
      <c r="E176" s="2"/>
      <c r="F176" s="7">
        <f t="shared" si="39"/>
        <v>1.6104808137854504E-2</v>
      </c>
      <c r="G176" s="2"/>
      <c r="H176" s="6">
        <v>4901.03</v>
      </c>
      <c r="I176" s="2"/>
      <c r="J176" s="7">
        <f t="shared" si="40"/>
        <v>2.2549745130316648E-3</v>
      </c>
      <c r="K176" s="2"/>
      <c r="L176" s="6">
        <f t="shared" si="41"/>
        <v>14083.7</v>
      </c>
      <c r="M176" s="2"/>
      <c r="N176" s="7">
        <f t="shared" si="42"/>
        <v>2.8736204430497265</v>
      </c>
      <c r="O176" s="11"/>
      <c r="P176" s="6">
        <v>110021.64</v>
      </c>
      <c r="Q176" s="2"/>
      <c r="R176" s="7">
        <f t="shared" si="43"/>
        <v>2.83748260923367E-2</v>
      </c>
      <c r="S176" s="2"/>
      <c r="T176" s="6">
        <v>20845.27</v>
      </c>
      <c r="U176" s="2"/>
      <c r="V176" s="7">
        <f t="shared" si="44"/>
        <v>2.7111867320742723E-3</v>
      </c>
      <c r="W176" s="2"/>
      <c r="X176" s="6">
        <f t="shared" si="45"/>
        <v>89176.37</v>
      </c>
      <c r="Y176" s="2"/>
      <c r="Z176" s="7">
        <f t="shared" si="46"/>
        <v>4.2780146287383181</v>
      </c>
    </row>
    <row r="177" spans="1:26" s="24" customFormat="1" hidden="1" outlineLevel="2" x14ac:dyDescent="0.25">
      <c r="A177" s="25"/>
      <c r="B177" s="11" t="str">
        <f>CONCATENATE("          ", "6005", " - ", "TEMPORARY WAGES-HOURLY")</f>
        <v xml:space="preserve">          6005 - TEMPORARY WAGES-HOURLY</v>
      </c>
      <c r="C177" s="11"/>
      <c r="D177" s="6">
        <v>12550.77</v>
      </c>
      <c r="E177" s="2"/>
      <c r="F177" s="7">
        <f t="shared" si="39"/>
        <v>1.0646858966776992E-2</v>
      </c>
      <c r="G177" s="2"/>
      <c r="H177" s="6">
        <v>19670.46</v>
      </c>
      <c r="I177" s="2"/>
      <c r="J177" s="7">
        <f t="shared" si="40"/>
        <v>9.0504212297433072E-3</v>
      </c>
      <c r="K177" s="2"/>
      <c r="L177" s="6">
        <f t="shared" si="41"/>
        <v>-7119.6899999999987</v>
      </c>
      <c r="M177" s="2"/>
      <c r="N177" s="7">
        <f t="shared" si="42"/>
        <v>-0.3619483225099972</v>
      </c>
      <c r="O177" s="11"/>
      <c r="P177" s="6">
        <v>110194.22</v>
      </c>
      <c r="Q177" s="2"/>
      <c r="R177" s="7">
        <f t="shared" si="43"/>
        <v>2.8419334858857684E-2</v>
      </c>
      <c r="S177" s="2"/>
      <c r="T177" s="6">
        <v>127875.18000000001</v>
      </c>
      <c r="U177" s="2"/>
      <c r="V177" s="7">
        <f t="shared" si="44"/>
        <v>1.6631758253916086E-2</v>
      </c>
      <c r="W177" s="2"/>
      <c r="X177" s="6">
        <f t="shared" si="45"/>
        <v>-17680.960000000006</v>
      </c>
      <c r="Y177" s="2"/>
      <c r="Z177" s="7">
        <f t="shared" si="46"/>
        <v>-0.13826733225321761</v>
      </c>
    </row>
    <row r="178" spans="1:26" s="24" customFormat="1" hidden="1" outlineLevel="2" x14ac:dyDescent="0.25">
      <c r="A178" s="25"/>
      <c r="B178" s="11" t="str">
        <f>CONCATENATE("          ", "6006", " - ", "TEMPORARY PART TIME")</f>
        <v xml:space="preserve">          6006 - TEMPORARY PART TIME</v>
      </c>
      <c r="C178" s="11"/>
      <c r="D178" s="6"/>
      <c r="E178" s="2"/>
      <c r="F178" s="7">
        <f t="shared" si="39"/>
        <v>0</v>
      </c>
      <c r="G178" s="2"/>
      <c r="H178" s="6">
        <v>1012.12</v>
      </c>
      <c r="I178" s="2"/>
      <c r="J178" s="7">
        <f t="shared" si="40"/>
        <v>4.65678603095596E-4</v>
      </c>
      <c r="K178" s="2"/>
      <c r="L178" s="6">
        <f t="shared" si="41"/>
        <v>-1012.12</v>
      </c>
      <c r="M178" s="2"/>
      <c r="N178" s="7">
        <f t="shared" si="42"/>
        <v>-1</v>
      </c>
      <c r="O178" s="11"/>
      <c r="P178" s="6">
        <v>9987.9599999999991</v>
      </c>
      <c r="Q178" s="2"/>
      <c r="R178" s="7">
        <f t="shared" si="43"/>
        <v>2.5759171379122802E-3</v>
      </c>
      <c r="S178" s="2"/>
      <c r="T178" s="6">
        <v>21519.870000000003</v>
      </c>
      <c r="U178" s="2"/>
      <c r="V178" s="7">
        <f t="shared" si="44"/>
        <v>2.7989268558269182E-3</v>
      </c>
      <c r="W178" s="2"/>
      <c r="X178" s="6">
        <f t="shared" si="45"/>
        <v>-11531.910000000003</v>
      </c>
      <c r="Y178" s="2"/>
      <c r="Z178" s="7">
        <f t="shared" si="46"/>
        <v>-0.53587266094079578</v>
      </c>
    </row>
    <row r="179" spans="1:26" s="24" customFormat="1" hidden="1" outlineLevel="2" x14ac:dyDescent="0.25">
      <c r="A179" s="25"/>
      <c r="B179" s="11" t="str">
        <f>CONCATENATE("          ", "6007", " - ", "STUDENT HOURLY")</f>
        <v xml:space="preserve">          6007 - STUDENT HOURLY</v>
      </c>
      <c r="C179" s="11"/>
      <c r="D179" s="6">
        <v>47460.94</v>
      </c>
      <c r="E179" s="2"/>
      <c r="F179" s="7">
        <f t="shared" si="39"/>
        <v>4.0261269596261015E-2</v>
      </c>
      <c r="G179" s="2"/>
      <c r="H179" s="6">
        <v>157739.96000000002</v>
      </c>
      <c r="I179" s="2"/>
      <c r="J179" s="7">
        <f t="shared" si="40"/>
        <v>7.2576497080539065E-2</v>
      </c>
      <c r="K179" s="2"/>
      <c r="L179" s="6">
        <f t="shared" si="41"/>
        <v>-110279.02000000002</v>
      </c>
      <c r="M179" s="2"/>
      <c r="N179" s="7">
        <f t="shared" si="42"/>
        <v>-0.69911910716853232</v>
      </c>
      <c r="O179" s="11"/>
      <c r="P179" s="6">
        <v>213689.37</v>
      </c>
      <c r="Q179" s="2"/>
      <c r="R179" s="7">
        <f t="shared" si="43"/>
        <v>5.5110964638692819E-2</v>
      </c>
      <c r="S179" s="2"/>
      <c r="T179" s="6">
        <v>624945.72</v>
      </c>
      <c r="U179" s="2"/>
      <c r="V179" s="7">
        <f t="shared" si="44"/>
        <v>8.128196681216425E-2</v>
      </c>
      <c r="W179" s="2"/>
      <c r="X179" s="6">
        <f t="shared" si="45"/>
        <v>-411256.35</v>
      </c>
      <c r="Y179" s="2"/>
      <c r="Z179" s="7">
        <f t="shared" si="46"/>
        <v>-0.65806731182989775</v>
      </c>
    </row>
    <row r="180" spans="1:26" s="24" customFormat="1" hidden="1" outlineLevel="2" x14ac:dyDescent="0.25">
      <c r="A180" s="25"/>
      <c r="B180" s="11" t="str">
        <f>CONCATENATE("          ", "6008", " - ", "STUDENT HOURLY-FICA EXEMPT")</f>
        <v xml:space="preserve">          6008 - STUDENT HOURLY-FICA EXEMPT</v>
      </c>
      <c r="C180" s="11"/>
      <c r="D180" s="6">
        <v>1244.8800000000001</v>
      </c>
      <c r="E180" s="2"/>
      <c r="F180" s="7">
        <f t="shared" si="39"/>
        <v>1.0560357484490071E-3</v>
      </c>
      <c r="G180" s="2"/>
      <c r="H180" s="6">
        <v>4559.3900000000003</v>
      </c>
      <c r="I180" s="2"/>
      <c r="J180" s="7">
        <f t="shared" si="40"/>
        <v>2.0977852094297409E-3</v>
      </c>
      <c r="K180" s="2"/>
      <c r="L180" s="6">
        <f t="shared" si="41"/>
        <v>-3314.51</v>
      </c>
      <c r="M180" s="2"/>
      <c r="N180" s="7">
        <f t="shared" si="42"/>
        <v>-0.72696347537718864</v>
      </c>
      <c r="O180" s="11"/>
      <c r="P180" s="6">
        <v>6175.33</v>
      </c>
      <c r="Q180" s="2"/>
      <c r="R180" s="7">
        <f t="shared" si="43"/>
        <v>1.592631366091158E-3</v>
      </c>
      <c r="S180" s="2"/>
      <c r="T180" s="6">
        <v>11002.64</v>
      </c>
      <c r="U180" s="2"/>
      <c r="V180" s="7">
        <f t="shared" si="44"/>
        <v>1.4310302330355841E-3</v>
      </c>
      <c r="W180" s="2"/>
      <c r="X180" s="6">
        <f t="shared" si="45"/>
        <v>-4827.3099999999995</v>
      </c>
      <c r="Y180" s="2"/>
      <c r="Z180" s="7">
        <f t="shared" si="46"/>
        <v>-0.43874106578057626</v>
      </c>
    </row>
    <row r="181" spans="1:26" s="26" customFormat="1" outlineLevel="1" collapsed="1" x14ac:dyDescent="0.25">
      <c r="A181" s="27"/>
      <c r="B181" s="13" t="str">
        <f>CONCATENATE("     ","Advertising/Promo                                 ")</f>
        <v xml:space="preserve">     Advertising/Promo                                 </v>
      </c>
      <c r="C181" s="13"/>
      <c r="D181" s="1">
        <f>SUM(OSRRefD22_2x_0)</f>
        <v>1331.63</v>
      </c>
      <c r="E181" s="1"/>
      <c r="F181" s="5">
        <f t="shared" ref="F181:F185" si="47">IF(D$12=0,0,D181/D$12)</f>
        <v>1.1296260552881813E-3</v>
      </c>
      <c r="G181" s="1"/>
      <c r="H181" s="1">
        <f>SUM(OSRRefH22_2x_0)</f>
        <v>3053.5</v>
      </c>
      <c r="I181" s="1"/>
      <c r="J181" s="5">
        <f t="shared" ref="J181:J185" si="48">IF(H$12=0,0,H181/H$12)</f>
        <v>1.4049219603924459E-3</v>
      </c>
      <c r="K181" s="1"/>
      <c r="L181" s="1">
        <f t="shared" ref="L181:L185" si="49">+D181-H181</f>
        <v>-1721.87</v>
      </c>
      <c r="M181" s="1"/>
      <c r="N181" s="5">
        <f t="shared" ref="N181:N185" si="50">IF(H181=0,0,L181/H181)</f>
        <v>-0.56390044211560497</v>
      </c>
      <c r="O181" s="13"/>
      <c r="P181" s="1">
        <f>SUM(OSRRefP22_2x_0)</f>
        <v>16034.14</v>
      </c>
      <c r="Q181" s="1"/>
      <c r="R181" s="5">
        <f t="shared" ref="R181:R185" si="51">IF(P$12=0,0,P181/P$12)</f>
        <v>4.1352404312477034E-3</v>
      </c>
      <c r="S181" s="1"/>
      <c r="T181" s="1">
        <f>SUM(OSRRefT22_2x_0)</f>
        <v>40355.03</v>
      </c>
      <c r="U181" s="1"/>
      <c r="V181" s="5">
        <f t="shared" ref="V181:V185" si="52">IF(T$12=0,0,T181/T$12)</f>
        <v>5.2486737714819345E-3</v>
      </c>
      <c r="W181" s="1"/>
      <c r="X181" s="1">
        <f t="shared" ref="X181:X185" si="53">+P181-T181</f>
        <v>-24320.89</v>
      </c>
      <c r="Y181" s="1"/>
      <c r="Z181" s="5">
        <f t="shared" ref="Z181:Z185" si="54">IF(T181=0,0,X181/T181)</f>
        <v>-0.60267307445936724</v>
      </c>
    </row>
    <row r="182" spans="1:26" s="24" customFormat="1" hidden="1" outlineLevel="2" x14ac:dyDescent="0.25">
      <c r="A182" s="25"/>
      <c r="B182" s="11" t="str">
        <f>CONCATENATE("          ", "6362", " - ", "ADVERTISING EXPENSE")</f>
        <v xml:space="preserve">          6362 - ADVERTISING EXPENSE</v>
      </c>
      <c r="C182" s="11"/>
      <c r="D182" s="6">
        <v>1331.63</v>
      </c>
      <c r="E182" s="2"/>
      <c r="F182" s="7">
        <f t="shared" si="47"/>
        <v>1.1296260552881813E-3</v>
      </c>
      <c r="G182" s="2"/>
      <c r="H182" s="6">
        <v>3053.5</v>
      </c>
      <c r="I182" s="2"/>
      <c r="J182" s="7">
        <f t="shared" si="48"/>
        <v>1.4049219603924459E-3</v>
      </c>
      <c r="K182" s="2"/>
      <c r="L182" s="6">
        <f t="shared" si="49"/>
        <v>-1721.87</v>
      </c>
      <c r="M182" s="2"/>
      <c r="N182" s="7">
        <f t="shared" si="50"/>
        <v>-0.56390044211560497</v>
      </c>
      <c r="O182" s="11"/>
      <c r="P182" s="6">
        <v>16034.14</v>
      </c>
      <c r="Q182" s="2"/>
      <c r="R182" s="7">
        <f t="shared" si="51"/>
        <v>4.1352404312477034E-3</v>
      </c>
      <c r="S182" s="2"/>
      <c r="T182" s="6">
        <v>40355.03</v>
      </c>
      <c r="U182" s="2"/>
      <c r="V182" s="7">
        <f t="shared" si="52"/>
        <v>5.2486737714819345E-3</v>
      </c>
      <c r="W182" s="2"/>
      <c r="X182" s="6">
        <f t="shared" si="53"/>
        <v>-24320.89</v>
      </c>
      <c r="Y182" s="2"/>
      <c r="Z182" s="7">
        <f t="shared" si="54"/>
        <v>-0.60267307445936724</v>
      </c>
    </row>
    <row r="183" spans="1:26" s="26" customFormat="1" outlineLevel="1" collapsed="1" x14ac:dyDescent="0.25">
      <c r="A183" s="27"/>
      <c r="B183" s="13" t="str">
        <f>CONCATENATE("     ","Bad Debts/Over/Short                              ")</f>
        <v xml:space="preserve">     Bad Debts/Over/Short                              </v>
      </c>
      <c r="C183" s="13"/>
      <c r="D183" s="1">
        <f>SUM(OSRRefD22_3x_0)</f>
        <v>1872.1</v>
      </c>
      <c r="E183" s="1"/>
      <c r="F183" s="5">
        <f t="shared" si="47"/>
        <v>1.5881085122030924E-3</v>
      </c>
      <c r="G183" s="1"/>
      <c r="H183" s="1">
        <f>SUM(OSRRefH22_3x_0)</f>
        <v>-95</v>
      </c>
      <c r="I183" s="1"/>
      <c r="J183" s="5">
        <f t="shared" si="48"/>
        <v>-4.3709705661464664E-5</v>
      </c>
      <c r="K183" s="1"/>
      <c r="L183" s="1">
        <f t="shared" si="49"/>
        <v>1967.1</v>
      </c>
      <c r="M183" s="1"/>
      <c r="N183" s="5">
        <f t="shared" si="50"/>
        <v>-20.706315789473685</v>
      </c>
      <c r="O183" s="13"/>
      <c r="P183" s="1">
        <f>SUM(OSRRefP22_3x_0)</f>
        <v>1918.06</v>
      </c>
      <c r="Q183" s="1"/>
      <c r="R183" s="5">
        <f t="shared" si="51"/>
        <v>4.9467194757928828E-4</v>
      </c>
      <c r="S183" s="1"/>
      <c r="T183" s="1">
        <f>SUM(OSRRefT22_3x_0)</f>
        <v>55.019999999999996</v>
      </c>
      <c r="U183" s="1"/>
      <c r="V183" s="5">
        <f t="shared" si="52"/>
        <v>7.1560355897873451E-6</v>
      </c>
      <c r="W183" s="1"/>
      <c r="X183" s="1">
        <f t="shared" si="53"/>
        <v>1863.04</v>
      </c>
      <c r="Y183" s="1"/>
      <c r="Z183" s="5">
        <f t="shared" si="54"/>
        <v>33.86114140312614</v>
      </c>
    </row>
    <row r="184" spans="1:26" s="24" customFormat="1" hidden="1" outlineLevel="2" x14ac:dyDescent="0.25">
      <c r="A184" s="25"/>
      <c r="B184" s="11" t="str">
        <f>CONCATENATE("          ", "6272", " - ", "CASH (OVER/SHORT)")</f>
        <v xml:space="preserve">          6272 - CASH (OVER/SHORT)</v>
      </c>
      <c r="C184" s="11"/>
      <c r="D184" s="6">
        <v>-124.68</v>
      </c>
      <c r="E184" s="2"/>
      <c r="F184" s="7">
        <f t="shared" si="47"/>
        <v>-1.0576644906868308E-4</v>
      </c>
      <c r="G184" s="2"/>
      <c r="H184" s="6">
        <v>-95</v>
      </c>
      <c r="I184" s="2"/>
      <c r="J184" s="7">
        <f t="shared" si="48"/>
        <v>-4.3709705661464664E-5</v>
      </c>
      <c r="K184" s="2"/>
      <c r="L184" s="6">
        <f t="shared" si="49"/>
        <v>-29.680000000000007</v>
      </c>
      <c r="M184" s="2"/>
      <c r="N184" s="7">
        <f t="shared" si="50"/>
        <v>0.31242105263157904</v>
      </c>
      <c r="O184" s="11"/>
      <c r="P184" s="6">
        <v>-78.72</v>
      </c>
      <c r="Q184" s="2"/>
      <c r="R184" s="7">
        <f t="shared" si="51"/>
        <v>-2.0302063393971814E-5</v>
      </c>
      <c r="S184" s="2"/>
      <c r="T184" s="6">
        <v>10.220000000000001</v>
      </c>
      <c r="U184" s="2"/>
      <c r="V184" s="7">
        <f t="shared" si="52"/>
        <v>1.3292381629884892E-6</v>
      </c>
      <c r="W184" s="2"/>
      <c r="X184" s="6">
        <f t="shared" si="53"/>
        <v>-88.94</v>
      </c>
      <c r="Y184" s="2"/>
      <c r="Z184" s="7">
        <f t="shared" si="54"/>
        <v>-8.7025440313111542</v>
      </c>
    </row>
    <row r="185" spans="1:26" s="24" customFormat="1" hidden="1" outlineLevel="2" x14ac:dyDescent="0.25">
      <c r="A185" s="25"/>
      <c r="B185" s="11" t="str">
        <f>CONCATENATE("          ", "6342", " - ", "BAD DEBT")</f>
        <v xml:space="preserve">          6342 - BAD DEBT</v>
      </c>
      <c r="C185" s="11"/>
      <c r="D185" s="6">
        <v>1996.78</v>
      </c>
      <c r="E185" s="2"/>
      <c r="F185" s="7">
        <f t="shared" si="47"/>
        <v>1.6938749612717754E-3</v>
      </c>
      <c r="G185" s="2"/>
      <c r="H185" s="6"/>
      <c r="I185" s="2"/>
      <c r="J185" s="7">
        <f t="shared" si="48"/>
        <v>0</v>
      </c>
      <c r="K185" s="2"/>
      <c r="L185" s="6">
        <f t="shared" si="49"/>
        <v>1996.78</v>
      </c>
      <c r="M185" s="2"/>
      <c r="N185" s="7">
        <f t="shared" si="50"/>
        <v>0</v>
      </c>
      <c r="O185" s="11"/>
      <c r="P185" s="6">
        <v>1996.78</v>
      </c>
      <c r="Q185" s="2"/>
      <c r="R185" s="7">
        <f t="shared" si="51"/>
        <v>5.1497401097326014E-4</v>
      </c>
      <c r="S185" s="2"/>
      <c r="T185" s="6">
        <v>44.8</v>
      </c>
      <c r="U185" s="2"/>
      <c r="V185" s="7">
        <f t="shared" si="52"/>
        <v>5.8267974267988567E-6</v>
      </c>
      <c r="W185" s="2"/>
      <c r="X185" s="6">
        <f t="shared" si="53"/>
        <v>1951.98</v>
      </c>
      <c r="Y185" s="2"/>
      <c r="Z185" s="7">
        <f t="shared" si="54"/>
        <v>43.570982142857147</v>
      </c>
    </row>
    <row r="186" spans="1:26" s="26" customFormat="1" outlineLevel="1" collapsed="1" x14ac:dyDescent="0.25">
      <c r="A186" s="27"/>
      <c r="B186" s="13" t="str">
        <f>CONCATENATE("     ","Bank/card Fees                                    ")</f>
        <v xml:space="preserve">     Bank/card Fees                                    </v>
      </c>
      <c r="C186" s="13"/>
      <c r="D186" s="1">
        <f>SUM(OSRRefD22_4x_0)</f>
        <v>14947.88</v>
      </c>
      <c r="E186" s="1"/>
      <c r="F186" s="5">
        <f t="shared" ref="F186:F190" si="55">IF(D$12=0,0,D186/D$12)</f>
        <v>1.2680335167667518E-2</v>
      </c>
      <c r="G186" s="1"/>
      <c r="H186" s="1">
        <f>SUM(OSRRefH22_4x_0)</f>
        <v>25656.59</v>
      </c>
      <c r="I186" s="1"/>
      <c r="J186" s="5">
        <f t="shared" ref="J186:J190" si="56">IF(H$12=0,0,H186/H$12)</f>
        <v>1.1804652601861872E-2</v>
      </c>
      <c r="K186" s="1"/>
      <c r="L186" s="1">
        <f t="shared" ref="L186:L190" si="57">+D186-H186</f>
        <v>-10708.710000000001</v>
      </c>
      <c r="M186" s="1"/>
      <c r="N186" s="5">
        <f t="shared" ref="N186:N190" si="58">IF(H186=0,0,L186/H186)</f>
        <v>-0.41738633232241701</v>
      </c>
      <c r="O186" s="13"/>
      <c r="P186" s="1">
        <f>SUM(OSRRefP22_4x_0)</f>
        <v>61744.659999999996</v>
      </c>
      <c r="Q186" s="1"/>
      <c r="R186" s="5">
        <f t="shared" ref="R186:R190" si="59">IF(P$12=0,0,P186/P$12)</f>
        <v>1.5924085385661021E-2</v>
      </c>
      <c r="S186" s="1"/>
      <c r="T186" s="1">
        <f>SUM(OSRRefT22_4x_0)</f>
        <v>117324.77</v>
      </c>
      <c r="U186" s="1"/>
      <c r="V186" s="5">
        <f t="shared" ref="V186:V190" si="60">IF(T$12=0,0,T186/T$12)</f>
        <v>1.525954615928053E-2</v>
      </c>
      <c r="W186" s="1"/>
      <c r="X186" s="1">
        <f t="shared" ref="X186:X190" si="61">+P186-T186</f>
        <v>-55580.110000000008</v>
      </c>
      <c r="Y186" s="1"/>
      <c r="Z186" s="5">
        <f t="shared" ref="Z186:Z190" si="62">IF(T186=0,0,X186/T186)</f>
        <v>-0.47372869343788193</v>
      </c>
    </row>
    <row r="187" spans="1:26" s="24" customFormat="1" hidden="1" outlineLevel="2" x14ac:dyDescent="0.25">
      <c r="A187" s="25"/>
      <c r="B187" s="11" t="str">
        <f>CONCATENATE("          ", "6381", " - ", "BANK/CREDIT CARD FEES")</f>
        <v xml:space="preserve">          6381 - BANK/CREDIT CARD FEES</v>
      </c>
      <c r="C187" s="11"/>
      <c r="D187" s="6">
        <v>14947.88</v>
      </c>
      <c r="E187" s="2"/>
      <c r="F187" s="7">
        <f t="shared" si="55"/>
        <v>1.2680335167667518E-2</v>
      </c>
      <c r="G187" s="2"/>
      <c r="H187" s="6">
        <v>25656.59</v>
      </c>
      <c r="I187" s="2"/>
      <c r="J187" s="7">
        <f t="shared" si="56"/>
        <v>1.1804652601861872E-2</v>
      </c>
      <c r="K187" s="2"/>
      <c r="L187" s="6">
        <f t="shared" si="57"/>
        <v>-10708.710000000001</v>
      </c>
      <c r="M187" s="2"/>
      <c r="N187" s="7">
        <f t="shared" si="58"/>
        <v>-0.41738633232241701</v>
      </c>
      <c r="O187" s="11"/>
      <c r="P187" s="6">
        <v>61744.659999999996</v>
      </c>
      <c r="Q187" s="2"/>
      <c r="R187" s="7">
        <f t="shared" si="59"/>
        <v>1.5924085385661021E-2</v>
      </c>
      <c r="S187" s="2"/>
      <c r="T187" s="6">
        <v>117324.77</v>
      </c>
      <c r="U187" s="2"/>
      <c r="V187" s="7">
        <f t="shared" si="60"/>
        <v>1.525954615928053E-2</v>
      </c>
      <c r="W187" s="2"/>
      <c r="X187" s="6">
        <f t="shared" si="61"/>
        <v>-55580.110000000008</v>
      </c>
      <c r="Y187" s="2"/>
      <c r="Z187" s="7">
        <f t="shared" si="62"/>
        <v>-0.47372869343788193</v>
      </c>
    </row>
    <row r="188" spans="1:26" s="26" customFormat="1" outlineLevel="1" collapsed="1" x14ac:dyDescent="0.25">
      <c r="A188" s="27"/>
      <c r="B188" s="13" t="str">
        <f>CONCATENATE("     ","Depreciation                                      ")</f>
        <v xml:space="preserve">     Depreciation                                      </v>
      </c>
      <c r="C188" s="13"/>
      <c r="D188" s="1">
        <f>SUM(OSRRefD22_5x_0)</f>
        <v>30735.85</v>
      </c>
      <c r="E188" s="1"/>
      <c r="F188" s="5">
        <f t="shared" si="55"/>
        <v>2.6073321411675347E-2</v>
      </c>
      <c r="G188" s="1"/>
      <c r="H188" s="1">
        <f>SUM(OSRRefH22_5x_0)</f>
        <v>29777.31</v>
      </c>
      <c r="I188" s="1"/>
      <c r="J188" s="5">
        <f t="shared" si="56"/>
        <v>1.3700604794633562E-2</v>
      </c>
      <c r="K188" s="1"/>
      <c r="L188" s="1">
        <f t="shared" si="57"/>
        <v>958.53999999999724</v>
      </c>
      <c r="M188" s="1"/>
      <c r="N188" s="5">
        <f t="shared" si="58"/>
        <v>3.2190281795098252E-2</v>
      </c>
      <c r="O188" s="13"/>
      <c r="P188" s="1">
        <f>SUM(OSRRefP22_5x_0)</f>
        <v>215446.44</v>
      </c>
      <c r="Q188" s="1"/>
      <c r="R188" s="5">
        <f t="shared" si="59"/>
        <v>5.55641169065745E-2</v>
      </c>
      <c r="S188" s="1"/>
      <c r="T188" s="1">
        <f>SUM(OSRRefT22_5x_0)</f>
        <v>207591.77000000002</v>
      </c>
      <c r="U188" s="1"/>
      <c r="V188" s="5">
        <f t="shared" si="60"/>
        <v>2.6999892662067416E-2</v>
      </c>
      <c r="W188" s="1"/>
      <c r="X188" s="1">
        <f t="shared" si="61"/>
        <v>7854.6699999999837</v>
      </c>
      <c r="Y188" s="1"/>
      <c r="Z188" s="5">
        <f t="shared" si="62"/>
        <v>3.7837097299184753E-2</v>
      </c>
    </row>
    <row r="189" spans="1:26" s="24" customFormat="1" hidden="1" outlineLevel="2" x14ac:dyDescent="0.25">
      <c r="A189" s="25"/>
      <c r="B189" s="11" t="str">
        <f>CONCATENATE("          ", "6321", " - ", "BUILDING DEPRECIATION")</f>
        <v xml:space="preserve">          6321 - BUILDING DEPRECIATION</v>
      </c>
      <c r="C189" s="11"/>
      <c r="D189" s="6">
        <v>16396.52</v>
      </c>
      <c r="E189" s="2"/>
      <c r="F189" s="7">
        <f t="shared" si="55"/>
        <v>1.3909221186105577E-2</v>
      </c>
      <c r="G189" s="2"/>
      <c r="H189" s="6">
        <v>16396.52</v>
      </c>
      <c r="I189" s="2"/>
      <c r="J189" s="7">
        <f t="shared" si="56"/>
        <v>7.5440743481296696E-3</v>
      </c>
      <c r="K189" s="2"/>
      <c r="L189" s="6">
        <f t="shared" si="57"/>
        <v>0</v>
      </c>
      <c r="M189" s="2"/>
      <c r="N189" s="7">
        <f t="shared" si="58"/>
        <v>0</v>
      </c>
      <c r="O189" s="11"/>
      <c r="P189" s="6">
        <v>114775.64</v>
      </c>
      <c r="Q189" s="2"/>
      <c r="R189" s="7">
        <f t="shared" si="59"/>
        <v>2.9600893284599684E-2</v>
      </c>
      <c r="S189" s="2"/>
      <c r="T189" s="6">
        <v>114775.64</v>
      </c>
      <c r="U189" s="2"/>
      <c r="V189" s="7">
        <f t="shared" si="60"/>
        <v>1.4928000085071249E-2</v>
      </c>
      <c r="W189" s="2"/>
      <c r="X189" s="6">
        <f t="shared" si="61"/>
        <v>0</v>
      </c>
      <c r="Y189" s="2"/>
      <c r="Z189" s="7">
        <f t="shared" si="62"/>
        <v>0</v>
      </c>
    </row>
    <row r="190" spans="1:26" s="24" customFormat="1" hidden="1" outlineLevel="2" x14ac:dyDescent="0.25">
      <c r="A190" s="25"/>
      <c r="B190" s="11" t="str">
        <f>CONCATENATE("          ", "6322", " - ", "EQUIPMENT DEPRECIATION EXPENSE")</f>
        <v xml:space="preserve">          6322 - EQUIPMENT DEPRECIATION EXPENSE</v>
      </c>
      <c r="C190" s="11"/>
      <c r="D190" s="6">
        <v>14339.33</v>
      </c>
      <c r="E190" s="2"/>
      <c r="F190" s="7">
        <f t="shared" si="55"/>
        <v>1.2164100225569772E-2</v>
      </c>
      <c r="G190" s="2"/>
      <c r="H190" s="6">
        <v>13380.79</v>
      </c>
      <c r="I190" s="2"/>
      <c r="J190" s="7">
        <f t="shared" si="56"/>
        <v>6.1565304465038932E-3</v>
      </c>
      <c r="K190" s="2"/>
      <c r="L190" s="6">
        <f t="shared" si="57"/>
        <v>958.53999999999905</v>
      </c>
      <c r="M190" s="2"/>
      <c r="N190" s="7">
        <f t="shared" si="58"/>
        <v>7.1635531235450148E-2</v>
      </c>
      <c r="O190" s="11"/>
      <c r="P190" s="6">
        <v>100670.8</v>
      </c>
      <c r="Q190" s="2"/>
      <c r="R190" s="7">
        <f t="shared" si="59"/>
        <v>2.5963223621974819E-2</v>
      </c>
      <c r="S190" s="2"/>
      <c r="T190" s="6">
        <v>92816.13</v>
      </c>
      <c r="U190" s="2"/>
      <c r="V190" s="7">
        <f t="shared" si="60"/>
        <v>1.2071892576996165E-2</v>
      </c>
      <c r="W190" s="2"/>
      <c r="X190" s="6">
        <f t="shared" si="61"/>
        <v>7854.6699999999983</v>
      </c>
      <c r="Y190" s="2"/>
      <c r="Z190" s="7">
        <f t="shared" si="62"/>
        <v>8.4626131255418624E-2</v>
      </c>
    </row>
    <row r="191" spans="1:26" s="26" customFormat="1" outlineLevel="1" collapsed="1" x14ac:dyDescent="0.25">
      <c r="A191" s="27"/>
      <c r="B191" s="13" t="str">
        <f>CONCATENATE("     ","Discounts and Markdowns                           ")</f>
        <v xml:space="preserve">     Discounts and Markdowns                           </v>
      </c>
      <c r="C191" s="13"/>
      <c r="D191" s="1">
        <f>SUM(OSRRefD22_6x_0)</f>
        <v>-42.86</v>
      </c>
      <c r="E191" s="1"/>
      <c r="F191" s="5">
        <f t="shared" ref="F191:F193" si="63">IF(D$12=0,0,D191/D$12)</f>
        <v>-3.6358277246420889E-5</v>
      </c>
      <c r="G191" s="1"/>
      <c r="H191" s="1">
        <f>SUM(OSRRefH22_6x_0)</f>
        <v>36956.35</v>
      </c>
      <c r="I191" s="1"/>
      <c r="J191" s="5">
        <f t="shared" ref="J191:J193" si="64">IF(H$12=0,0,H191/H$12)</f>
        <v>1.700369664023231E-2</v>
      </c>
      <c r="K191" s="1"/>
      <c r="L191" s="1">
        <f t="shared" ref="L191:L193" si="65">+D191-H191</f>
        <v>-36999.21</v>
      </c>
      <c r="M191" s="1"/>
      <c r="N191" s="5">
        <f t="shared" ref="N191:N193" si="66">IF(H191=0,0,L191/H191)</f>
        <v>-1.001159746565881</v>
      </c>
      <c r="O191" s="13"/>
      <c r="P191" s="1">
        <f>SUM(OSRRefP22_6x_0)</f>
        <v>-42.86</v>
      </c>
      <c r="Q191" s="1"/>
      <c r="R191" s="5">
        <f t="shared" ref="R191:R193" si="67">IF(P$12=0,0,P191/P$12)</f>
        <v>-1.1053689495244308E-5</v>
      </c>
      <c r="S191" s="1"/>
      <c r="T191" s="1">
        <f>SUM(OSRRefT22_6x_0)</f>
        <v>224660.69</v>
      </c>
      <c r="U191" s="1"/>
      <c r="V191" s="5">
        <f t="shared" ref="V191:V193" si="68">IF(T$12=0,0,T191/T$12)</f>
        <v>2.9219918089170887E-2</v>
      </c>
      <c r="W191" s="1"/>
      <c r="X191" s="1">
        <f t="shared" ref="X191:X193" si="69">+P191-T191</f>
        <v>-224703.55</v>
      </c>
      <c r="Y191" s="1"/>
      <c r="Z191" s="5">
        <f t="shared" ref="Z191:Z193" si="70">IF(T191=0,0,X191/T191)</f>
        <v>-1.0001907765884632</v>
      </c>
    </row>
    <row r="192" spans="1:26" s="24" customFormat="1" hidden="1" outlineLevel="2" x14ac:dyDescent="0.25">
      <c r="A192" s="25"/>
      <c r="B192" s="11" t="str">
        <f>CONCATENATE("          ", "6382", " - ", "DISCOUNTS/MARK DOWNS")</f>
        <v xml:space="preserve">          6382 - DISCOUNTS/MARK DOWNS</v>
      </c>
      <c r="C192" s="11"/>
      <c r="D192" s="6"/>
      <c r="E192" s="2"/>
      <c r="F192" s="7">
        <f t="shared" si="63"/>
        <v>0</v>
      </c>
      <c r="G192" s="2"/>
      <c r="H192" s="6">
        <v>37376.85</v>
      </c>
      <c r="I192" s="2"/>
      <c r="J192" s="7">
        <f t="shared" si="64"/>
        <v>1.7197169600554899E-2</v>
      </c>
      <c r="K192" s="2"/>
      <c r="L192" s="6">
        <f t="shared" si="65"/>
        <v>-37376.85</v>
      </c>
      <c r="M192" s="2"/>
      <c r="N192" s="7">
        <f t="shared" si="66"/>
        <v>-1</v>
      </c>
      <c r="O192" s="11"/>
      <c r="P192" s="6">
        <v>0</v>
      </c>
      <c r="Q192" s="2"/>
      <c r="R192" s="7">
        <f t="shared" si="67"/>
        <v>0</v>
      </c>
      <c r="S192" s="2"/>
      <c r="T192" s="6">
        <v>227567.69</v>
      </c>
      <c r="U192" s="2"/>
      <c r="V192" s="7">
        <f t="shared" si="68"/>
        <v>2.9598009609699997E-2</v>
      </c>
      <c r="W192" s="2"/>
      <c r="X192" s="6">
        <f t="shared" si="69"/>
        <v>-227567.69</v>
      </c>
      <c r="Y192" s="2"/>
      <c r="Z192" s="7">
        <f t="shared" si="70"/>
        <v>-1</v>
      </c>
    </row>
    <row r="193" spans="1:26" s="24" customFormat="1" hidden="1" outlineLevel="2" x14ac:dyDescent="0.25">
      <c r="A193" s="25"/>
      <c r="B193" s="11" t="str">
        <f>CONCATENATE("          ", "9175", " - ", "EARNED DISCOUNTS")</f>
        <v xml:space="preserve">          9175 - EARNED DISCOUNTS</v>
      </c>
      <c r="C193" s="11"/>
      <c r="D193" s="6">
        <v>-42.86</v>
      </c>
      <c r="E193" s="2"/>
      <c r="F193" s="7">
        <f t="shared" si="63"/>
        <v>-3.6358277246420889E-5</v>
      </c>
      <c r="G193" s="2"/>
      <c r="H193" s="6">
        <v>-420.5</v>
      </c>
      <c r="I193" s="2"/>
      <c r="J193" s="7">
        <f t="shared" si="64"/>
        <v>-1.9347296032258833E-4</v>
      </c>
      <c r="K193" s="2"/>
      <c r="L193" s="6">
        <f t="shared" si="65"/>
        <v>377.64</v>
      </c>
      <c r="M193" s="2"/>
      <c r="N193" s="7">
        <f t="shared" si="66"/>
        <v>-0.89807372175980971</v>
      </c>
      <c r="O193" s="11"/>
      <c r="P193" s="6">
        <v>-42.86</v>
      </c>
      <c r="Q193" s="2"/>
      <c r="R193" s="7">
        <f t="shared" si="67"/>
        <v>-1.1053689495244308E-5</v>
      </c>
      <c r="S193" s="2"/>
      <c r="T193" s="6">
        <v>-2907</v>
      </c>
      <c r="U193" s="2"/>
      <c r="V193" s="7">
        <f t="shared" si="68"/>
        <v>-3.780915205291133E-4</v>
      </c>
      <c r="W193" s="2"/>
      <c r="X193" s="6">
        <f t="shared" si="69"/>
        <v>2864.14</v>
      </c>
      <c r="Y193" s="2"/>
      <c r="Z193" s="7">
        <f t="shared" si="70"/>
        <v>-0.98525627794977633</v>
      </c>
    </row>
    <row r="194" spans="1:26" s="26" customFormat="1" outlineLevel="1" collapsed="1" x14ac:dyDescent="0.25">
      <c r="A194" s="27"/>
      <c r="B194" s="13" t="str">
        <f>CONCATENATE("     ","Donations                                         ")</f>
        <v xml:space="preserve">     Donations                                         </v>
      </c>
      <c r="C194" s="13"/>
      <c r="D194" s="1">
        <f>SUM(OSRRefD22_7x_0)</f>
        <v>0</v>
      </c>
      <c r="E194" s="1"/>
      <c r="F194" s="5">
        <f t="shared" ref="F194:F202" si="71">IF(D$12=0,0,D194/D$12)</f>
        <v>0</v>
      </c>
      <c r="G194" s="1"/>
      <c r="H194" s="1">
        <f>SUM(OSRRefH22_7x_0)</f>
        <v>0</v>
      </c>
      <c r="I194" s="1"/>
      <c r="J194" s="5">
        <f t="shared" ref="J194:J202" si="72">IF(H$12=0,0,H194/H$12)</f>
        <v>0</v>
      </c>
      <c r="K194" s="1"/>
      <c r="L194" s="1">
        <f t="shared" ref="L194:L202" si="73">+D194-H194</f>
        <v>0</v>
      </c>
      <c r="M194" s="1"/>
      <c r="N194" s="5">
        <f t="shared" ref="N194:N202" si="74">IF(H194=0,0,L194/H194)</f>
        <v>0</v>
      </c>
      <c r="O194" s="13"/>
      <c r="P194" s="1">
        <f>SUM(OSRRefP22_7x_0)</f>
        <v>0</v>
      </c>
      <c r="Q194" s="1"/>
      <c r="R194" s="5">
        <f t="shared" ref="R194:R202" si="75">IF(P$12=0,0,P194/P$12)</f>
        <v>0</v>
      </c>
      <c r="S194" s="1"/>
      <c r="T194" s="1">
        <f>SUM(OSRRefT22_7x_0)</f>
        <v>9798.2199999999993</v>
      </c>
      <c r="U194" s="1"/>
      <c r="V194" s="5">
        <f t="shared" ref="V194:V202" si="76">IF(T$12=0,0,T194/T$12)</f>
        <v>1.2743804259644886E-3</v>
      </c>
      <c r="W194" s="1"/>
      <c r="X194" s="1">
        <f t="shared" ref="X194:X202" si="77">+P194-T194</f>
        <v>-9798.2199999999993</v>
      </c>
      <c r="Y194" s="1"/>
      <c r="Z194" s="5">
        <f t="shared" ref="Z194:Z202" si="78">IF(T194=0,0,X194/T194)</f>
        <v>-1</v>
      </c>
    </row>
    <row r="195" spans="1:26" s="24" customFormat="1" hidden="1" outlineLevel="2" x14ac:dyDescent="0.25">
      <c r="A195" s="25"/>
      <c r="B195" s="11" t="str">
        <f>CONCATENATE("          ", "6399", " - ", "DONATION-ON CAMPUS")</f>
        <v xml:space="preserve">          6399 - DONATION-ON CAMPUS</v>
      </c>
      <c r="C195" s="11"/>
      <c r="D195" s="6"/>
      <c r="E195" s="2"/>
      <c r="F195" s="7">
        <f t="shared" si="71"/>
        <v>0</v>
      </c>
      <c r="G195" s="2"/>
      <c r="H195" s="6"/>
      <c r="I195" s="2"/>
      <c r="J195" s="7">
        <f t="shared" si="72"/>
        <v>0</v>
      </c>
      <c r="K195" s="2"/>
      <c r="L195" s="6">
        <f t="shared" si="73"/>
        <v>0</v>
      </c>
      <c r="M195" s="2"/>
      <c r="N195" s="7">
        <f t="shared" si="74"/>
        <v>0</v>
      </c>
      <c r="O195" s="11"/>
      <c r="P195" s="6"/>
      <c r="Q195" s="2"/>
      <c r="R195" s="7">
        <f t="shared" si="75"/>
        <v>0</v>
      </c>
      <c r="S195" s="2"/>
      <c r="T195" s="6">
        <v>9798.2199999999993</v>
      </c>
      <c r="U195" s="2"/>
      <c r="V195" s="7">
        <f t="shared" si="76"/>
        <v>1.2743804259644886E-3</v>
      </c>
      <c r="W195" s="2"/>
      <c r="X195" s="6">
        <f t="shared" si="77"/>
        <v>-9798.2199999999993</v>
      </c>
      <c r="Y195" s="2"/>
      <c r="Z195" s="7">
        <f t="shared" si="78"/>
        <v>-1</v>
      </c>
    </row>
    <row r="196" spans="1:26" s="26" customFormat="1" outlineLevel="1" collapsed="1" x14ac:dyDescent="0.25">
      <c r="A196" s="27"/>
      <c r="B196" s="13" t="str">
        <f>CONCATENATE("     ","Employees' Appreciation                           ")</f>
        <v xml:space="preserve">     Employees' Appreciation                           </v>
      </c>
      <c r="C196" s="13"/>
      <c r="D196" s="1">
        <f>SUM(OSRRefD22_8x_0)</f>
        <v>78.33</v>
      </c>
      <c r="E196" s="1"/>
      <c r="F196" s="5">
        <f t="shared" si="71"/>
        <v>6.6447593483717882E-5</v>
      </c>
      <c r="G196" s="1"/>
      <c r="H196" s="1">
        <f>SUM(OSRRefH22_8x_0)</f>
        <v>0</v>
      </c>
      <c r="I196" s="1"/>
      <c r="J196" s="5">
        <f t="shared" si="72"/>
        <v>0</v>
      </c>
      <c r="K196" s="1"/>
      <c r="L196" s="1">
        <f t="shared" si="73"/>
        <v>78.33</v>
      </c>
      <c r="M196" s="1"/>
      <c r="N196" s="5">
        <f t="shared" si="74"/>
        <v>0</v>
      </c>
      <c r="O196" s="13"/>
      <c r="P196" s="1">
        <f>SUM(OSRRefP22_8x_0)</f>
        <v>186.03</v>
      </c>
      <c r="Q196" s="1"/>
      <c r="R196" s="5">
        <f t="shared" si="75"/>
        <v>4.7977551488574396E-5</v>
      </c>
      <c r="S196" s="1"/>
      <c r="T196" s="1">
        <f>SUM(OSRRefT22_8x_0)</f>
        <v>1194.04</v>
      </c>
      <c r="U196" s="1"/>
      <c r="V196" s="5">
        <f t="shared" si="76"/>
        <v>1.5529975891729703E-4</v>
      </c>
      <c r="W196" s="1"/>
      <c r="X196" s="1">
        <f t="shared" si="77"/>
        <v>-1008.01</v>
      </c>
      <c r="Y196" s="1"/>
      <c r="Z196" s="5">
        <f t="shared" si="78"/>
        <v>-0.84420119928980608</v>
      </c>
    </row>
    <row r="197" spans="1:26" s="24" customFormat="1" hidden="1" outlineLevel="2" x14ac:dyDescent="0.25">
      <c r="A197" s="25"/>
      <c r="B197" s="11" t="str">
        <f>CONCATENATE("          ", "6277", " - ", "EMPLOYEE APPRECIATION")</f>
        <v xml:space="preserve">          6277 - EMPLOYEE APPRECIATION</v>
      </c>
      <c r="C197" s="11"/>
      <c r="D197" s="6">
        <v>78.33</v>
      </c>
      <c r="E197" s="2"/>
      <c r="F197" s="7">
        <f t="shared" si="71"/>
        <v>6.6447593483717882E-5</v>
      </c>
      <c r="G197" s="2"/>
      <c r="H197" s="6"/>
      <c r="I197" s="2"/>
      <c r="J197" s="7">
        <f t="shared" si="72"/>
        <v>0</v>
      </c>
      <c r="K197" s="2"/>
      <c r="L197" s="6">
        <f t="shared" si="73"/>
        <v>78.33</v>
      </c>
      <c r="M197" s="2"/>
      <c r="N197" s="7">
        <f t="shared" si="74"/>
        <v>0</v>
      </c>
      <c r="O197" s="11"/>
      <c r="P197" s="6">
        <v>186.03</v>
      </c>
      <c r="Q197" s="2"/>
      <c r="R197" s="7">
        <f t="shared" si="75"/>
        <v>4.7977551488574396E-5</v>
      </c>
      <c r="S197" s="2"/>
      <c r="T197" s="6">
        <v>1194.04</v>
      </c>
      <c r="U197" s="2"/>
      <c r="V197" s="7">
        <f t="shared" si="76"/>
        <v>1.5529975891729703E-4</v>
      </c>
      <c r="W197" s="2"/>
      <c r="X197" s="6">
        <f t="shared" si="77"/>
        <v>-1008.01</v>
      </c>
      <c r="Y197" s="2"/>
      <c r="Z197" s="7">
        <f t="shared" si="78"/>
        <v>-0.84420119928980608</v>
      </c>
    </row>
    <row r="198" spans="1:26" s="26" customFormat="1" outlineLevel="1" collapsed="1" x14ac:dyDescent="0.25">
      <c r="A198" s="27"/>
      <c r="B198" s="13" t="str">
        <f>CONCATENATE("     ","Equipment Rental                                  ")</f>
        <v xml:space="preserve">     Equipment Rental                                  </v>
      </c>
      <c r="C198" s="13"/>
      <c r="D198" s="1">
        <f>SUM(OSRRefD22_9x_0)</f>
        <v>1388.16</v>
      </c>
      <c r="E198" s="1"/>
      <c r="F198" s="5">
        <f t="shared" si="71"/>
        <v>1.1775806379466082E-3</v>
      </c>
      <c r="G198" s="1"/>
      <c r="H198" s="1">
        <f>SUM(OSRRefH22_9x_0)</f>
        <v>1388.16</v>
      </c>
      <c r="I198" s="1"/>
      <c r="J198" s="5">
        <f t="shared" si="72"/>
        <v>6.3869542116861886E-4</v>
      </c>
      <c r="K198" s="1"/>
      <c r="L198" s="1">
        <f t="shared" si="73"/>
        <v>0</v>
      </c>
      <c r="M198" s="1"/>
      <c r="N198" s="5">
        <f t="shared" si="74"/>
        <v>0</v>
      </c>
      <c r="O198" s="13"/>
      <c r="P198" s="1">
        <f>SUM(OSRRefP22_9x_0)</f>
        <v>10364.9</v>
      </c>
      <c r="Q198" s="1"/>
      <c r="R198" s="5">
        <f t="shared" si="75"/>
        <v>2.6731308037624296E-3</v>
      </c>
      <c r="S198" s="1"/>
      <c r="T198" s="1">
        <f>SUM(OSRRefT22_9x_0)</f>
        <v>12478.3</v>
      </c>
      <c r="U198" s="1"/>
      <c r="V198" s="5">
        <f t="shared" si="76"/>
        <v>1.6229581770273252E-3</v>
      </c>
      <c r="W198" s="1"/>
      <c r="X198" s="1">
        <f t="shared" si="77"/>
        <v>-2113.3999999999996</v>
      </c>
      <c r="Y198" s="1"/>
      <c r="Z198" s="5">
        <f t="shared" si="78"/>
        <v>-0.1693660194096952</v>
      </c>
    </row>
    <row r="199" spans="1:26" s="24" customFormat="1" hidden="1" outlineLevel="2" x14ac:dyDescent="0.25">
      <c r="A199" s="25"/>
      <c r="B199" s="11" t="str">
        <f>CONCATENATE("          ", "6351", " - ", "EQUIPMENT RENTAL")</f>
        <v xml:space="preserve">          6351 - EQUIPMENT RENTAL</v>
      </c>
      <c r="C199" s="11"/>
      <c r="D199" s="6">
        <v>1388.16</v>
      </c>
      <c r="E199" s="2"/>
      <c r="F199" s="7">
        <f t="shared" si="71"/>
        <v>1.1775806379466082E-3</v>
      </c>
      <c r="G199" s="2"/>
      <c r="H199" s="6">
        <v>1388.16</v>
      </c>
      <c r="I199" s="2"/>
      <c r="J199" s="7">
        <f t="shared" si="72"/>
        <v>6.3869542116861886E-4</v>
      </c>
      <c r="K199" s="2"/>
      <c r="L199" s="6">
        <f t="shared" si="73"/>
        <v>0</v>
      </c>
      <c r="M199" s="2"/>
      <c r="N199" s="7">
        <f t="shared" si="74"/>
        <v>0</v>
      </c>
      <c r="O199" s="11"/>
      <c r="P199" s="6">
        <v>10364.9</v>
      </c>
      <c r="Q199" s="2"/>
      <c r="R199" s="7">
        <f t="shared" si="75"/>
        <v>2.6731308037624296E-3</v>
      </c>
      <c r="S199" s="2"/>
      <c r="T199" s="6">
        <v>12478.3</v>
      </c>
      <c r="U199" s="2"/>
      <c r="V199" s="7">
        <f t="shared" si="76"/>
        <v>1.6229581770273252E-3</v>
      </c>
      <c r="W199" s="2"/>
      <c r="X199" s="6">
        <f t="shared" si="77"/>
        <v>-2113.3999999999996</v>
      </c>
      <c r="Y199" s="2"/>
      <c r="Z199" s="7">
        <f t="shared" si="78"/>
        <v>-0.1693660194096952</v>
      </c>
    </row>
    <row r="200" spans="1:26" s="26" customFormat="1" outlineLevel="1" collapsed="1" x14ac:dyDescent="0.25">
      <c r="A200" s="27"/>
      <c r="B200" s="13" t="str">
        <f>CONCATENATE("     ","Freight out/Postage                               ")</f>
        <v xml:space="preserve">     Freight out/Postage                               </v>
      </c>
      <c r="C200" s="13"/>
      <c r="D200" s="1">
        <f>SUM(OSRRefD22_10x_0)</f>
        <v>-21770.530000000002</v>
      </c>
      <c r="E200" s="1"/>
      <c r="F200" s="5">
        <f t="shared" si="71"/>
        <v>-1.8468011328546977E-2</v>
      </c>
      <c r="G200" s="1"/>
      <c r="H200" s="1">
        <f>SUM(OSRRefH22_10x_0)</f>
        <v>-13215.979999999998</v>
      </c>
      <c r="I200" s="1"/>
      <c r="J200" s="5">
        <f t="shared" si="72"/>
        <v>-6.0807010087137233E-3</v>
      </c>
      <c r="K200" s="1"/>
      <c r="L200" s="1">
        <f t="shared" si="73"/>
        <v>-8554.5500000000047</v>
      </c>
      <c r="M200" s="1"/>
      <c r="N200" s="5">
        <f t="shared" si="74"/>
        <v>0.64728835848722577</v>
      </c>
      <c r="O200" s="13"/>
      <c r="P200" s="1">
        <f>SUM(OSRRefP22_10x_0)</f>
        <v>-36819.389999999985</v>
      </c>
      <c r="Q200" s="1"/>
      <c r="R200" s="5">
        <f t="shared" si="75"/>
        <v>-9.495802717319252E-3</v>
      </c>
      <c r="S200" s="1"/>
      <c r="T200" s="1">
        <f>SUM(OSRRefT22_10x_0)</f>
        <v>-6657.6999999999971</v>
      </c>
      <c r="U200" s="1"/>
      <c r="V200" s="5">
        <f t="shared" si="76"/>
        <v>-8.6591672384818592E-4</v>
      </c>
      <c r="W200" s="1"/>
      <c r="X200" s="1">
        <f t="shared" si="77"/>
        <v>-30161.689999999988</v>
      </c>
      <c r="Y200" s="1"/>
      <c r="Z200" s="5">
        <f t="shared" si="78"/>
        <v>4.5303468164681497</v>
      </c>
    </row>
    <row r="201" spans="1:26" s="24" customFormat="1" hidden="1" outlineLevel="2" x14ac:dyDescent="0.25">
      <c r="A201" s="25"/>
      <c r="B201" s="11" t="str">
        <f>CONCATENATE("          ", "6305", " - ", "FREIGHT OUT")</f>
        <v xml:space="preserve">          6305 - FREIGHT OUT</v>
      </c>
      <c r="C201" s="11"/>
      <c r="D201" s="6">
        <v>18715.689999999999</v>
      </c>
      <c r="E201" s="2"/>
      <c r="F201" s="7">
        <f t="shared" si="71"/>
        <v>1.5876580631779443E-2</v>
      </c>
      <c r="G201" s="2"/>
      <c r="H201" s="6">
        <v>2307.9899999999998</v>
      </c>
      <c r="I201" s="2"/>
      <c r="J201" s="7">
        <f t="shared" si="72"/>
        <v>1.0619111954695139E-3</v>
      </c>
      <c r="K201" s="2"/>
      <c r="L201" s="6">
        <f t="shared" si="73"/>
        <v>16407.699999999997</v>
      </c>
      <c r="M201" s="2"/>
      <c r="N201" s="7">
        <f t="shared" si="74"/>
        <v>7.1090862612056371</v>
      </c>
      <c r="O201" s="11"/>
      <c r="P201" s="6">
        <v>135489.20000000001</v>
      </c>
      <c r="Q201" s="2"/>
      <c r="R201" s="7">
        <f t="shared" si="75"/>
        <v>3.4942966559940628E-2</v>
      </c>
      <c r="S201" s="2"/>
      <c r="T201" s="6">
        <v>37020.11</v>
      </c>
      <c r="U201" s="2"/>
      <c r="V201" s="7">
        <f t="shared" si="76"/>
        <v>4.8149259305314872E-3</v>
      </c>
      <c r="W201" s="2"/>
      <c r="X201" s="6">
        <f t="shared" si="77"/>
        <v>98469.090000000011</v>
      </c>
      <c r="Y201" s="2"/>
      <c r="Z201" s="7">
        <f t="shared" si="78"/>
        <v>2.6598810754479123</v>
      </c>
    </row>
    <row r="202" spans="1:26" s="24" customFormat="1" hidden="1" outlineLevel="2" x14ac:dyDescent="0.25">
      <c r="A202" s="25"/>
      <c r="B202" s="11" t="str">
        <f>CONCATENATE("          ", "6307", " - ", "POSTAGE")</f>
        <v xml:space="preserve">          6307 - POSTAGE</v>
      </c>
      <c r="C202" s="11"/>
      <c r="D202" s="6">
        <v>-40486.22</v>
      </c>
      <c r="E202" s="2"/>
      <c r="F202" s="7">
        <f t="shared" si="71"/>
        <v>-3.4344591960326416E-2</v>
      </c>
      <c r="G202" s="2"/>
      <c r="H202" s="6">
        <v>-15523.969999999998</v>
      </c>
      <c r="I202" s="2"/>
      <c r="J202" s="7">
        <f t="shared" si="72"/>
        <v>-7.1426122041832367E-3</v>
      </c>
      <c r="K202" s="2"/>
      <c r="L202" s="6">
        <f t="shared" si="73"/>
        <v>-24962.250000000004</v>
      </c>
      <c r="M202" s="2"/>
      <c r="N202" s="7">
        <f t="shared" si="74"/>
        <v>1.6079810770054315</v>
      </c>
      <c r="O202" s="11"/>
      <c r="P202" s="6">
        <v>-172308.59</v>
      </c>
      <c r="Q202" s="2"/>
      <c r="R202" s="7">
        <f t="shared" si="75"/>
        <v>-4.4438769277259878E-2</v>
      </c>
      <c r="S202" s="2"/>
      <c r="T202" s="6">
        <v>-43677.81</v>
      </c>
      <c r="U202" s="2"/>
      <c r="V202" s="7">
        <f t="shared" si="76"/>
        <v>-5.680842654379673E-3</v>
      </c>
      <c r="W202" s="2"/>
      <c r="X202" s="6">
        <f t="shared" si="77"/>
        <v>-128630.78</v>
      </c>
      <c r="Y202" s="2"/>
      <c r="Z202" s="7">
        <f t="shared" si="78"/>
        <v>2.9449915185765954</v>
      </c>
    </row>
    <row r="203" spans="1:26" s="26" customFormat="1" outlineLevel="1" collapsed="1" x14ac:dyDescent="0.25">
      <c r="A203" s="27"/>
      <c r="B203" s="13" t="str">
        <f>CONCATENATE("     ","General                                           ")</f>
        <v xml:space="preserve">     General                                           </v>
      </c>
      <c r="C203" s="13"/>
      <c r="D203" s="1">
        <f>SUM(OSRRefD22_11x_0)</f>
        <v>223.63</v>
      </c>
      <c r="E203" s="1"/>
      <c r="F203" s="5">
        <f t="shared" ref="F203:F217" si="79">IF(D$12=0,0,D203/D$12)</f>
        <v>1.8970605554402946E-4</v>
      </c>
      <c r="G203" s="1"/>
      <c r="H203" s="1">
        <f>SUM(OSRRefH22_11x_0)</f>
        <v>316.16000000000003</v>
      </c>
      <c r="I203" s="1"/>
      <c r="J203" s="5">
        <f t="shared" ref="J203:J217" si="80">IF(H$12=0,0,H203/H$12)</f>
        <v>1.4546590044135443E-4</v>
      </c>
      <c r="K203" s="1"/>
      <c r="L203" s="1">
        <f t="shared" ref="L203:L217" si="81">+D203-H203</f>
        <v>-92.53000000000003</v>
      </c>
      <c r="M203" s="1"/>
      <c r="N203" s="5">
        <f t="shared" ref="N203:N217" si="82">IF(H203=0,0,L203/H203)</f>
        <v>-0.29266826923076927</v>
      </c>
      <c r="O203" s="13"/>
      <c r="P203" s="1">
        <f>SUM(OSRRefP22_11x_0)</f>
        <v>2514</v>
      </c>
      <c r="Q203" s="1"/>
      <c r="R203" s="5">
        <f t="shared" ref="R203:R217" si="83">IF(P$12=0,0,P203/P$12)</f>
        <v>6.4836620137760593E-4</v>
      </c>
      <c r="S203" s="1"/>
      <c r="T203" s="1">
        <f>SUM(OSRRefT22_11x_0)</f>
        <v>-1031.5899999999999</v>
      </c>
      <c r="U203" s="1"/>
      <c r="V203" s="5">
        <f t="shared" ref="V203:V217" si="84">IF(T$12=0,0,T203/T$12)</f>
        <v>-1.3417111512302303E-4</v>
      </c>
      <c r="W203" s="1"/>
      <c r="X203" s="1">
        <f t="shared" ref="X203:X217" si="85">+P203-T203</f>
        <v>3545.59</v>
      </c>
      <c r="Y203" s="1"/>
      <c r="Z203" s="5">
        <f t="shared" ref="Z203:Z217" si="86">IF(T203=0,0,X203/T203)</f>
        <v>-3.4370147054546867</v>
      </c>
    </row>
    <row r="204" spans="1:26" s="24" customFormat="1" hidden="1" outlineLevel="2" x14ac:dyDescent="0.25">
      <c r="A204" s="25"/>
      <c r="B204" s="11" t="str">
        <f>CONCATENATE("          ", "6279", " - ", "GENERAL EXPENSE")</f>
        <v xml:space="preserve">          6279 - GENERAL EXPENSE</v>
      </c>
      <c r="C204" s="11"/>
      <c r="D204" s="6">
        <v>223.63</v>
      </c>
      <c r="E204" s="2"/>
      <c r="F204" s="7">
        <f t="shared" si="79"/>
        <v>1.8970605554402946E-4</v>
      </c>
      <c r="G204" s="2"/>
      <c r="H204" s="6">
        <v>316.16000000000003</v>
      </c>
      <c r="I204" s="2"/>
      <c r="J204" s="7">
        <f t="shared" si="80"/>
        <v>1.4546590044135443E-4</v>
      </c>
      <c r="K204" s="2"/>
      <c r="L204" s="6">
        <f t="shared" si="81"/>
        <v>-92.53000000000003</v>
      </c>
      <c r="M204" s="2"/>
      <c r="N204" s="7">
        <f t="shared" si="82"/>
        <v>-0.29266826923076927</v>
      </c>
      <c r="O204" s="11"/>
      <c r="P204" s="6">
        <v>2514</v>
      </c>
      <c r="Q204" s="2"/>
      <c r="R204" s="7">
        <f t="shared" si="83"/>
        <v>6.4836620137760593E-4</v>
      </c>
      <c r="S204" s="2"/>
      <c r="T204" s="6">
        <v>-1031.5899999999999</v>
      </c>
      <c r="U204" s="2"/>
      <c r="V204" s="7">
        <f t="shared" si="84"/>
        <v>-1.3417111512302303E-4</v>
      </c>
      <c r="W204" s="2"/>
      <c r="X204" s="6">
        <f t="shared" si="85"/>
        <v>3545.59</v>
      </c>
      <c r="Y204" s="2"/>
      <c r="Z204" s="7">
        <f t="shared" si="86"/>
        <v>-3.4370147054546867</v>
      </c>
    </row>
    <row r="205" spans="1:26" s="26" customFormat="1" outlineLevel="1" collapsed="1" x14ac:dyDescent="0.25">
      <c r="A205" s="27"/>
      <c r="B205" s="13" t="str">
        <f>CONCATENATE("     ","Insurance                                         ")</f>
        <v xml:space="preserve">     Insurance                                         </v>
      </c>
      <c r="C205" s="13"/>
      <c r="D205" s="1">
        <f>SUM(OSRRefD22_12x_0)</f>
        <v>4044.74</v>
      </c>
      <c r="E205" s="1"/>
      <c r="F205" s="5">
        <f t="shared" si="79"/>
        <v>3.4311660828205415E-3</v>
      </c>
      <c r="G205" s="1"/>
      <c r="H205" s="1">
        <f>SUM(OSRRefH22_12x_0)</f>
        <v>4044.74</v>
      </c>
      <c r="I205" s="1"/>
      <c r="J205" s="5">
        <f t="shared" si="80"/>
        <v>1.8609936302858166E-3</v>
      </c>
      <c r="K205" s="1"/>
      <c r="L205" s="1">
        <f t="shared" si="81"/>
        <v>0</v>
      </c>
      <c r="M205" s="1"/>
      <c r="N205" s="5">
        <f t="shared" si="82"/>
        <v>0</v>
      </c>
      <c r="O205" s="13"/>
      <c r="P205" s="1">
        <f>SUM(OSRRefP22_12x_0)</f>
        <v>28313.18</v>
      </c>
      <c r="Q205" s="1"/>
      <c r="R205" s="5">
        <f t="shared" si="83"/>
        <v>7.3020322058553718E-3</v>
      </c>
      <c r="S205" s="1"/>
      <c r="T205" s="1">
        <f>SUM(OSRRefT22_12x_0)</f>
        <v>28313.18</v>
      </c>
      <c r="U205" s="1"/>
      <c r="V205" s="5">
        <f t="shared" si="84"/>
        <v>3.6824813475110013E-3</v>
      </c>
      <c r="W205" s="1"/>
      <c r="X205" s="1">
        <f t="shared" si="85"/>
        <v>0</v>
      </c>
      <c r="Y205" s="1"/>
      <c r="Z205" s="5">
        <f t="shared" si="86"/>
        <v>0</v>
      </c>
    </row>
    <row r="206" spans="1:26" s="24" customFormat="1" hidden="1" outlineLevel="2" x14ac:dyDescent="0.25">
      <c r="A206" s="25"/>
      <c r="B206" s="11" t="str">
        <f>CONCATENATE("          ", "6314", " - ", "LIABILITY INSURANCE")</f>
        <v xml:space="preserve">          6314 - LIABILITY INSURANCE</v>
      </c>
      <c r="C206" s="11"/>
      <c r="D206" s="6">
        <v>4044.74</v>
      </c>
      <c r="E206" s="2"/>
      <c r="F206" s="7">
        <f t="shared" si="79"/>
        <v>3.4311660828205415E-3</v>
      </c>
      <c r="G206" s="2"/>
      <c r="H206" s="6">
        <v>4044.74</v>
      </c>
      <c r="I206" s="2"/>
      <c r="J206" s="7">
        <f t="shared" si="80"/>
        <v>1.8609936302858166E-3</v>
      </c>
      <c r="K206" s="2"/>
      <c r="L206" s="6">
        <f t="shared" si="81"/>
        <v>0</v>
      </c>
      <c r="M206" s="2"/>
      <c r="N206" s="7">
        <f t="shared" si="82"/>
        <v>0</v>
      </c>
      <c r="O206" s="11"/>
      <c r="P206" s="6">
        <v>28313.18</v>
      </c>
      <c r="Q206" s="2"/>
      <c r="R206" s="7">
        <f t="shared" si="83"/>
        <v>7.3020322058553718E-3</v>
      </c>
      <c r="S206" s="2"/>
      <c r="T206" s="6">
        <v>28313.18</v>
      </c>
      <c r="U206" s="2"/>
      <c r="V206" s="7">
        <f t="shared" si="84"/>
        <v>3.6824813475110013E-3</v>
      </c>
      <c r="W206" s="2"/>
      <c r="X206" s="6">
        <f t="shared" si="85"/>
        <v>0</v>
      </c>
      <c r="Y206" s="2"/>
      <c r="Z206" s="7">
        <f t="shared" si="86"/>
        <v>0</v>
      </c>
    </row>
    <row r="207" spans="1:26" s="26" customFormat="1" outlineLevel="1" collapsed="1" x14ac:dyDescent="0.25">
      <c r="A207" s="27"/>
      <c r="B207" s="13" t="str">
        <f>CONCATENATE("     ","Inventory Adjustment                              ")</f>
        <v xml:space="preserve">     Inventory Adjustment                              </v>
      </c>
      <c r="C207" s="13"/>
      <c r="D207" s="1">
        <f>SUM(OSRRefD22_13x_0)</f>
        <v>2100</v>
      </c>
      <c r="E207" s="1"/>
      <c r="F207" s="5">
        <f t="shared" si="79"/>
        <v>1.7814368226197821E-3</v>
      </c>
      <c r="G207" s="1"/>
      <c r="H207" s="1">
        <f>SUM(OSRRefH22_13x_0)</f>
        <v>4250</v>
      </c>
      <c r="I207" s="1"/>
      <c r="J207" s="5">
        <f t="shared" si="80"/>
        <v>1.9554342006444718E-3</v>
      </c>
      <c r="K207" s="1"/>
      <c r="L207" s="1">
        <f t="shared" si="81"/>
        <v>-2150</v>
      </c>
      <c r="M207" s="1"/>
      <c r="N207" s="5">
        <f t="shared" si="82"/>
        <v>-0.50588235294117645</v>
      </c>
      <c r="O207" s="13"/>
      <c r="P207" s="1">
        <f>SUM(OSRRefP22_13x_0)</f>
        <v>19700</v>
      </c>
      <c r="Q207" s="1"/>
      <c r="R207" s="5">
        <f t="shared" si="83"/>
        <v>5.0806738930544298E-3</v>
      </c>
      <c r="S207" s="1"/>
      <c r="T207" s="1">
        <f>SUM(OSRRefT22_13x_0)</f>
        <v>35450</v>
      </c>
      <c r="U207" s="1"/>
      <c r="V207" s="5">
        <f t="shared" si="84"/>
        <v>4.6107135888397207E-3</v>
      </c>
      <c r="W207" s="1"/>
      <c r="X207" s="1">
        <f t="shared" si="85"/>
        <v>-15750</v>
      </c>
      <c r="Y207" s="1"/>
      <c r="Z207" s="5">
        <f t="shared" si="86"/>
        <v>-0.44428772919605075</v>
      </c>
    </row>
    <row r="208" spans="1:26" s="24" customFormat="1" hidden="1" outlineLevel="2" x14ac:dyDescent="0.25">
      <c r="A208" s="25"/>
      <c r="B208" s="11" t="str">
        <f>CONCATENATE("          ", "6408", " - ", "INVENTORY ADJUSTMENT")</f>
        <v xml:space="preserve">          6408 - INVENTORY ADJUSTMENT</v>
      </c>
      <c r="C208" s="11"/>
      <c r="D208" s="6">
        <v>2100</v>
      </c>
      <c r="E208" s="2"/>
      <c r="F208" s="7">
        <f t="shared" si="79"/>
        <v>1.7814368226197821E-3</v>
      </c>
      <c r="G208" s="2"/>
      <c r="H208" s="6">
        <v>4250</v>
      </c>
      <c r="I208" s="2"/>
      <c r="J208" s="7">
        <f t="shared" si="80"/>
        <v>1.9554342006444718E-3</v>
      </c>
      <c r="K208" s="2"/>
      <c r="L208" s="6">
        <f t="shared" si="81"/>
        <v>-2150</v>
      </c>
      <c r="M208" s="2"/>
      <c r="N208" s="7">
        <f t="shared" si="82"/>
        <v>-0.50588235294117645</v>
      </c>
      <c r="O208" s="11"/>
      <c r="P208" s="6">
        <v>19700</v>
      </c>
      <c r="Q208" s="2"/>
      <c r="R208" s="7">
        <f t="shared" si="83"/>
        <v>5.0806738930544298E-3</v>
      </c>
      <c r="S208" s="2"/>
      <c r="T208" s="6">
        <v>35450</v>
      </c>
      <c r="U208" s="2"/>
      <c r="V208" s="7">
        <f t="shared" si="84"/>
        <v>4.6107135888397207E-3</v>
      </c>
      <c r="W208" s="2"/>
      <c r="X208" s="6">
        <f t="shared" si="85"/>
        <v>-15750</v>
      </c>
      <c r="Y208" s="2"/>
      <c r="Z208" s="7">
        <f t="shared" si="86"/>
        <v>-0.44428772919605075</v>
      </c>
    </row>
    <row r="209" spans="1:26" s="26" customFormat="1" outlineLevel="1" collapsed="1" x14ac:dyDescent="0.25">
      <c r="A209" s="27"/>
      <c r="B209" s="13" t="str">
        <f>CONCATENATE("     ","Professional Services                             ")</f>
        <v xml:space="preserve">     Professional Services                             </v>
      </c>
      <c r="C209" s="13"/>
      <c r="D209" s="1">
        <f>SUM(OSRRefD22_14x_0)</f>
        <v>0</v>
      </c>
      <c r="E209" s="1"/>
      <c r="F209" s="5">
        <f t="shared" si="79"/>
        <v>0</v>
      </c>
      <c r="G209" s="1"/>
      <c r="H209" s="1">
        <f>SUM(OSRRefH22_14x_0)</f>
        <v>0</v>
      </c>
      <c r="I209" s="1"/>
      <c r="J209" s="5">
        <f t="shared" si="80"/>
        <v>0</v>
      </c>
      <c r="K209" s="1"/>
      <c r="L209" s="1">
        <f t="shared" si="81"/>
        <v>0</v>
      </c>
      <c r="M209" s="1"/>
      <c r="N209" s="5">
        <f t="shared" si="82"/>
        <v>0</v>
      </c>
      <c r="O209" s="13"/>
      <c r="P209" s="1">
        <f>SUM(OSRRefP22_14x_0)</f>
        <v>0</v>
      </c>
      <c r="Q209" s="1"/>
      <c r="R209" s="5">
        <f t="shared" si="83"/>
        <v>0</v>
      </c>
      <c r="S209" s="1"/>
      <c r="T209" s="1">
        <f>SUM(OSRRefT22_14x_0)</f>
        <v>6199.56</v>
      </c>
      <c r="U209" s="1"/>
      <c r="V209" s="5">
        <f t="shared" si="84"/>
        <v>8.0632991641261436E-4</v>
      </c>
      <c r="W209" s="1"/>
      <c r="X209" s="1">
        <f t="shared" si="85"/>
        <v>-6199.56</v>
      </c>
      <c r="Y209" s="1"/>
      <c r="Z209" s="5">
        <f t="shared" si="86"/>
        <v>-1</v>
      </c>
    </row>
    <row r="210" spans="1:26" s="24" customFormat="1" hidden="1" outlineLevel="2" x14ac:dyDescent="0.25">
      <c r="A210" s="25"/>
      <c r="B210" s="11" t="str">
        <f>CONCATENATE("          ", "6336", " - ", "PROFESSIONAL SERVICES")</f>
        <v xml:space="preserve">          6336 - PROFESSIONAL SERVICES</v>
      </c>
      <c r="C210" s="11"/>
      <c r="D210" s="6"/>
      <c r="E210" s="2"/>
      <c r="F210" s="7">
        <f t="shared" si="79"/>
        <v>0</v>
      </c>
      <c r="G210" s="2"/>
      <c r="H210" s="6"/>
      <c r="I210" s="2"/>
      <c r="J210" s="7">
        <f t="shared" si="80"/>
        <v>0</v>
      </c>
      <c r="K210" s="2"/>
      <c r="L210" s="6">
        <f t="shared" si="81"/>
        <v>0</v>
      </c>
      <c r="M210" s="2"/>
      <c r="N210" s="7">
        <f t="shared" si="82"/>
        <v>0</v>
      </c>
      <c r="O210" s="11"/>
      <c r="P210" s="6"/>
      <c r="Q210" s="2"/>
      <c r="R210" s="7">
        <f t="shared" si="83"/>
        <v>0</v>
      </c>
      <c r="S210" s="2"/>
      <c r="T210" s="6">
        <v>6199.56</v>
      </c>
      <c r="U210" s="2"/>
      <c r="V210" s="7">
        <f t="shared" si="84"/>
        <v>8.0632991641261436E-4</v>
      </c>
      <c r="W210" s="2"/>
      <c r="X210" s="6">
        <f t="shared" si="85"/>
        <v>-6199.56</v>
      </c>
      <c r="Y210" s="2"/>
      <c r="Z210" s="7">
        <f t="shared" si="86"/>
        <v>-1</v>
      </c>
    </row>
    <row r="211" spans="1:26" s="26" customFormat="1" outlineLevel="1" collapsed="1" x14ac:dyDescent="0.25">
      <c r="A211" s="27"/>
      <c r="B211" s="13" t="str">
        <f>CONCATENATE("     ","Rent                                              ")</f>
        <v xml:space="preserve">     Rent                                              </v>
      </c>
      <c r="C211" s="13"/>
      <c r="D211" s="1">
        <f>SUM(OSRRefD22_15x_0)</f>
        <v>6100</v>
      </c>
      <c r="E211" s="1"/>
      <c r="F211" s="5">
        <f t="shared" si="79"/>
        <v>5.1746498180860337E-3</v>
      </c>
      <c r="G211" s="1"/>
      <c r="H211" s="1">
        <f>SUM(OSRRefH22_15x_0)</f>
        <v>7700</v>
      </c>
      <c r="I211" s="1"/>
      <c r="J211" s="5">
        <f t="shared" si="80"/>
        <v>3.5427866694029255E-3</v>
      </c>
      <c r="K211" s="1"/>
      <c r="L211" s="1">
        <f t="shared" si="81"/>
        <v>-1600</v>
      </c>
      <c r="M211" s="1"/>
      <c r="N211" s="5">
        <f t="shared" si="82"/>
        <v>-0.20779220779220781</v>
      </c>
      <c r="O211" s="13"/>
      <c r="P211" s="1">
        <f>SUM(OSRRefP22_15x_0)</f>
        <v>42700</v>
      </c>
      <c r="Q211" s="1"/>
      <c r="R211" s="5">
        <f t="shared" si="83"/>
        <v>1.1012425138752495E-2</v>
      </c>
      <c r="S211" s="1"/>
      <c r="T211" s="1">
        <f>SUM(OSRRefT22_15x_0)</f>
        <v>44300</v>
      </c>
      <c r="U211" s="1"/>
      <c r="V211" s="5">
        <f t="shared" si="84"/>
        <v>5.7617662055176192E-3</v>
      </c>
      <c r="W211" s="1"/>
      <c r="X211" s="1">
        <f t="shared" si="85"/>
        <v>-1600</v>
      </c>
      <c r="Y211" s="1"/>
      <c r="Z211" s="5">
        <f t="shared" si="86"/>
        <v>-3.6117381489841983E-2</v>
      </c>
    </row>
    <row r="212" spans="1:26" s="24" customFormat="1" hidden="1" outlineLevel="2" x14ac:dyDescent="0.25">
      <c r="A212" s="25"/>
      <c r="B212" s="11" t="str">
        <f>CONCATENATE("          ", "6273", " - ", "RENT")</f>
        <v xml:space="preserve">          6273 - RENT</v>
      </c>
      <c r="C212" s="11"/>
      <c r="D212" s="6">
        <v>6100</v>
      </c>
      <c r="E212" s="2"/>
      <c r="F212" s="7">
        <f t="shared" si="79"/>
        <v>5.1746498180860337E-3</v>
      </c>
      <c r="G212" s="2"/>
      <c r="H212" s="6">
        <v>7700</v>
      </c>
      <c r="I212" s="2"/>
      <c r="J212" s="7">
        <f t="shared" si="80"/>
        <v>3.5427866694029255E-3</v>
      </c>
      <c r="K212" s="2"/>
      <c r="L212" s="6">
        <f t="shared" si="81"/>
        <v>-1600</v>
      </c>
      <c r="M212" s="2"/>
      <c r="N212" s="7">
        <f t="shared" si="82"/>
        <v>-0.20779220779220781</v>
      </c>
      <c r="O212" s="11"/>
      <c r="P212" s="6">
        <v>42700</v>
      </c>
      <c r="Q212" s="2"/>
      <c r="R212" s="7">
        <f t="shared" si="83"/>
        <v>1.1012425138752495E-2</v>
      </c>
      <c r="S212" s="2"/>
      <c r="T212" s="6">
        <v>44300</v>
      </c>
      <c r="U212" s="2"/>
      <c r="V212" s="7">
        <f t="shared" si="84"/>
        <v>5.7617662055176192E-3</v>
      </c>
      <c r="W212" s="2"/>
      <c r="X212" s="6">
        <f t="shared" si="85"/>
        <v>-1600</v>
      </c>
      <c r="Y212" s="2"/>
      <c r="Z212" s="7">
        <f t="shared" si="86"/>
        <v>-3.6117381489841983E-2</v>
      </c>
    </row>
    <row r="213" spans="1:26" s="26" customFormat="1" outlineLevel="1" collapsed="1" x14ac:dyDescent="0.25">
      <c r="A213" s="27"/>
      <c r="B213" s="13" t="str">
        <f>CONCATENATE("     ","Repair and Maintenance                            ")</f>
        <v xml:space="preserve">     Repair and Maintenance                            </v>
      </c>
      <c r="C213" s="13"/>
      <c r="D213" s="1">
        <f>SUM(OSRRefD22_16x_0)</f>
        <v>3697</v>
      </c>
      <c r="E213" s="1"/>
      <c r="F213" s="5">
        <f t="shared" si="79"/>
        <v>3.1361771110596831E-3</v>
      </c>
      <c r="G213" s="1"/>
      <c r="H213" s="1">
        <f>SUM(OSRRefH22_16x_0)</f>
        <v>19358.940000000002</v>
      </c>
      <c r="I213" s="1"/>
      <c r="J213" s="5">
        <f t="shared" si="80"/>
        <v>8.9070902033468943E-3</v>
      </c>
      <c r="K213" s="1"/>
      <c r="L213" s="1">
        <f t="shared" si="81"/>
        <v>-15661.940000000002</v>
      </c>
      <c r="M213" s="1"/>
      <c r="N213" s="5">
        <f t="shared" si="82"/>
        <v>-0.80902880013058565</v>
      </c>
      <c r="O213" s="13"/>
      <c r="P213" s="1">
        <f>SUM(OSRRefP22_16x_0)</f>
        <v>112827.31999999999</v>
      </c>
      <c r="Q213" s="1"/>
      <c r="R213" s="5">
        <f t="shared" si="83"/>
        <v>2.909841721559888E-2</v>
      </c>
      <c r="S213" s="1"/>
      <c r="T213" s="1">
        <f>SUM(OSRRefT22_16x_0)</f>
        <v>101513.78</v>
      </c>
      <c r="U213" s="1"/>
      <c r="V213" s="5">
        <f t="shared" si="84"/>
        <v>1.3203130180549671E-2</v>
      </c>
      <c r="W213" s="1"/>
      <c r="X213" s="1">
        <f t="shared" si="85"/>
        <v>11313.539999999994</v>
      </c>
      <c r="Y213" s="1"/>
      <c r="Z213" s="5">
        <f t="shared" si="86"/>
        <v>0.11144831765697222</v>
      </c>
    </row>
    <row r="214" spans="1:26" s="24" customFormat="1" hidden="1" outlineLevel="2" x14ac:dyDescent="0.25">
      <c r="A214" s="25"/>
      <c r="B214" s="11" t="str">
        <f>CONCATENATE("          ", "6371", " - ", "COMPUTER SOFTWARE MAINTENANCE")</f>
        <v xml:space="preserve">          6371 - COMPUTER SOFTWARE MAINTENANCE</v>
      </c>
      <c r="C214" s="11"/>
      <c r="D214" s="6"/>
      <c r="E214" s="2"/>
      <c r="F214" s="7">
        <f t="shared" si="79"/>
        <v>0</v>
      </c>
      <c r="G214" s="2"/>
      <c r="H214" s="6">
        <v>601</v>
      </c>
      <c r="I214" s="2"/>
      <c r="J214" s="7">
        <f t="shared" si="80"/>
        <v>2.7652140107937122E-4</v>
      </c>
      <c r="K214" s="2"/>
      <c r="L214" s="6">
        <f t="shared" si="81"/>
        <v>-601</v>
      </c>
      <c r="M214" s="2"/>
      <c r="N214" s="7">
        <f t="shared" si="82"/>
        <v>-1</v>
      </c>
      <c r="O214" s="11"/>
      <c r="P214" s="6">
        <v>58436.47</v>
      </c>
      <c r="Q214" s="2"/>
      <c r="R214" s="7">
        <f t="shared" si="83"/>
        <v>1.5070895813769462E-2</v>
      </c>
      <c r="S214" s="2"/>
      <c r="T214" s="6">
        <v>14554.4</v>
      </c>
      <c r="U214" s="2"/>
      <c r="V214" s="7">
        <f t="shared" si="84"/>
        <v>1.8929808140312786E-3</v>
      </c>
      <c r="W214" s="2"/>
      <c r="X214" s="6">
        <f t="shared" si="85"/>
        <v>43882.07</v>
      </c>
      <c r="Y214" s="2"/>
      <c r="Z214" s="7">
        <f t="shared" si="86"/>
        <v>3.0150380640905845</v>
      </c>
    </row>
    <row r="215" spans="1:26" s="24" customFormat="1" hidden="1" outlineLevel="2" x14ac:dyDescent="0.25">
      <c r="A215" s="25"/>
      <c r="B215" s="11" t="str">
        <f>CONCATENATE("          ", "6372", " - ", "COMPUTER HARDWARE MAINTENANCE")</f>
        <v xml:space="preserve">          6372 - COMPUTER HARDWARE MAINTENANCE</v>
      </c>
      <c r="C215" s="11"/>
      <c r="D215" s="6"/>
      <c r="E215" s="2"/>
      <c r="F215" s="7">
        <f t="shared" si="79"/>
        <v>0</v>
      </c>
      <c r="G215" s="2"/>
      <c r="H215" s="6">
        <v>52.32</v>
      </c>
      <c r="I215" s="2"/>
      <c r="J215" s="7">
        <f t="shared" si="80"/>
        <v>2.4072545265345593E-5</v>
      </c>
      <c r="K215" s="2"/>
      <c r="L215" s="6">
        <f t="shared" si="81"/>
        <v>-52.32</v>
      </c>
      <c r="M215" s="2"/>
      <c r="N215" s="7">
        <f t="shared" si="82"/>
        <v>-1</v>
      </c>
      <c r="O215" s="11"/>
      <c r="P215" s="6">
        <v>0</v>
      </c>
      <c r="Q215" s="2"/>
      <c r="R215" s="7">
        <f t="shared" si="83"/>
        <v>0</v>
      </c>
      <c r="S215" s="2"/>
      <c r="T215" s="6">
        <v>52.32</v>
      </c>
      <c r="U215" s="2"/>
      <c r="V215" s="7">
        <f t="shared" si="84"/>
        <v>6.8048669948686647E-6</v>
      </c>
      <c r="W215" s="2"/>
      <c r="X215" s="6">
        <f t="shared" si="85"/>
        <v>-52.32</v>
      </c>
      <c r="Y215" s="2"/>
      <c r="Z215" s="7">
        <f t="shared" si="86"/>
        <v>-1</v>
      </c>
    </row>
    <row r="216" spans="1:26" s="24" customFormat="1" hidden="1" outlineLevel="2" x14ac:dyDescent="0.25">
      <c r="A216" s="25"/>
      <c r="B216" s="11" t="str">
        <f>CONCATENATE("          ", "6373", " - ", "MAINTENANCE CONTRACTS")</f>
        <v xml:space="preserve">          6373 - MAINTENANCE CONTRACTS</v>
      </c>
      <c r="C216" s="11"/>
      <c r="D216" s="6">
        <v>1122</v>
      </c>
      <c r="E216" s="2"/>
      <c r="F216" s="7">
        <f t="shared" si="79"/>
        <v>9.5179624522828362E-4</v>
      </c>
      <c r="G216" s="2"/>
      <c r="H216" s="6">
        <v>12841.11</v>
      </c>
      <c r="I216" s="2"/>
      <c r="J216" s="7">
        <f t="shared" si="80"/>
        <v>5.9082225101735851E-3</v>
      </c>
      <c r="K216" s="2"/>
      <c r="L216" s="6">
        <f t="shared" si="81"/>
        <v>-11719.11</v>
      </c>
      <c r="M216" s="2"/>
      <c r="N216" s="7">
        <f t="shared" si="82"/>
        <v>-0.91262437593011825</v>
      </c>
      <c r="O216" s="11"/>
      <c r="P216" s="6">
        <v>40054.18</v>
      </c>
      <c r="Q216" s="2"/>
      <c r="R216" s="7">
        <f t="shared" si="83"/>
        <v>1.0330062265670197E-2</v>
      </c>
      <c r="S216" s="2"/>
      <c r="T216" s="6">
        <v>52539.5</v>
      </c>
      <c r="U216" s="2"/>
      <c r="V216" s="7">
        <f t="shared" si="84"/>
        <v>6.8334157010111283E-3</v>
      </c>
      <c r="W216" s="2"/>
      <c r="X216" s="6">
        <f t="shared" si="85"/>
        <v>-12485.32</v>
      </c>
      <c r="Y216" s="2"/>
      <c r="Z216" s="7">
        <f t="shared" si="86"/>
        <v>-0.23763682562643343</v>
      </c>
    </row>
    <row r="217" spans="1:26" s="24" customFormat="1" hidden="1" outlineLevel="2" x14ac:dyDescent="0.25">
      <c r="A217" s="25"/>
      <c r="B217" s="11" t="str">
        <f>CONCATENATE("          ", "6375", " - ", "OUTSIDE REPAIRS &amp; MAINTENANCE")</f>
        <v xml:space="preserve">          6375 - OUTSIDE REPAIRS &amp; MAINTENANCE</v>
      </c>
      <c r="C217" s="11"/>
      <c r="D217" s="6">
        <v>2575</v>
      </c>
      <c r="E217" s="2"/>
      <c r="F217" s="7">
        <f t="shared" si="79"/>
        <v>2.1843808658313997E-3</v>
      </c>
      <c r="G217" s="2"/>
      <c r="H217" s="6">
        <v>5864.51</v>
      </c>
      <c r="I217" s="2"/>
      <c r="J217" s="7">
        <f t="shared" si="80"/>
        <v>2.6982737468285913E-3</v>
      </c>
      <c r="K217" s="2"/>
      <c r="L217" s="6">
        <f t="shared" si="81"/>
        <v>-3289.51</v>
      </c>
      <c r="M217" s="2"/>
      <c r="N217" s="7">
        <f t="shared" si="82"/>
        <v>-0.56091813297274629</v>
      </c>
      <c r="O217" s="11"/>
      <c r="P217" s="6">
        <v>14336.67</v>
      </c>
      <c r="Q217" s="2"/>
      <c r="R217" s="7">
        <f t="shared" si="83"/>
        <v>3.6974591361592212E-3</v>
      </c>
      <c r="S217" s="2"/>
      <c r="T217" s="6">
        <v>34367.56</v>
      </c>
      <c r="U217" s="2"/>
      <c r="V217" s="7">
        <f t="shared" si="84"/>
        <v>4.4699287985123948E-3</v>
      </c>
      <c r="W217" s="2"/>
      <c r="X217" s="6">
        <f t="shared" si="85"/>
        <v>-20030.89</v>
      </c>
      <c r="Y217" s="2"/>
      <c r="Z217" s="7">
        <f t="shared" si="86"/>
        <v>-0.58284294840832462</v>
      </c>
    </row>
    <row r="218" spans="1:26" s="26" customFormat="1" outlineLevel="1" collapsed="1" x14ac:dyDescent="0.25">
      <c r="A218" s="27"/>
      <c r="B218" s="13" t="str">
        <f>CONCATENATE("     ","Royalty &amp; Commissions                             ")</f>
        <v xml:space="preserve">     Royalty &amp; Commissions                             </v>
      </c>
      <c r="C218" s="13"/>
      <c r="D218" s="1">
        <f>SUM(OSRRefD22_17x_0)</f>
        <v>7789.59</v>
      </c>
      <c r="E218" s="1"/>
      <c r="F218" s="5">
        <f t="shared" ref="F218:F221" si="87">IF(D$12=0,0,D218/D$12)</f>
        <v>6.6079345043384904E-3</v>
      </c>
      <c r="G218" s="1"/>
      <c r="H218" s="1">
        <f>SUM(OSRRefH22_17x_0)</f>
        <v>8601.39</v>
      </c>
      <c r="I218" s="1"/>
      <c r="J218" s="5">
        <f t="shared" ref="J218:J221" si="88">IF(H$12=0,0,H218/H$12)</f>
        <v>3.9575181597838478E-3</v>
      </c>
      <c r="K218" s="1"/>
      <c r="L218" s="1">
        <f t="shared" ref="L218:L221" si="89">+D218-H218</f>
        <v>-811.79999999999927</v>
      </c>
      <c r="M218" s="1"/>
      <c r="N218" s="5">
        <f t="shared" ref="N218:N221" si="90">IF(H218=0,0,L218/H218)</f>
        <v>-9.4380094380094301E-2</v>
      </c>
      <c r="O218" s="13"/>
      <c r="P218" s="1">
        <f>SUM(OSRRefP22_17x_0)</f>
        <v>36365.65</v>
      </c>
      <c r="Q218" s="1"/>
      <c r="R218" s="5">
        <f t="shared" ref="R218:R221" si="91">IF(P$12=0,0,P218/P$12)</f>
        <v>9.3787821603530386E-3</v>
      </c>
      <c r="S218" s="1"/>
      <c r="T218" s="1">
        <f>SUM(OSRRefT22_17x_0)</f>
        <v>72092.160000000003</v>
      </c>
      <c r="U218" s="1"/>
      <c r="V218" s="5">
        <f t="shared" ref="V218:V221" si="92">IF(T$12=0,0,T218/T$12)</f>
        <v>9.3764824192047215E-3</v>
      </c>
      <c r="W218" s="1"/>
      <c r="X218" s="1">
        <f t="shared" ref="X218:X221" si="93">+P218-T218</f>
        <v>-35726.51</v>
      </c>
      <c r="Y218" s="1"/>
      <c r="Z218" s="5">
        <f t="shared" ref="Z218:Z221" si="94">IF(T218=0,0,X218/T218)</f>
        <v>-0.49556720175952557</v>
      </c>
    </row>
    <row r="219" spans="1:26" s="24" customFormat="1" hidden="1" outlineLevel="2" x14ac:dyDescent="0.25">
      <c r="A219" s="25"/>
      <c r="B219" s="11" t="str">
        <f>CONCATENATE("          ", "6253", " - ", "ROYALTY DUE ATHLETICS-LRG")</f>
        <v xml:space="preserve">          6253 - ROYALTY DUE ATHLETICS-LRG</v>
      </c>
      <c r="C219" s="11"/>
      <c r="D219" s="6">
        <v>7785.78</v>
      </c>
      <c r="E219" s="2"/>
      <c r="F219" s="7">
        <f t="shared" si="87"/>
        <v>6.6047024689603086E-3</v>
      </c>
      <c r="G219" s="2"/>
      <c r="H219" s="6"/>
      <c r="I219" s="2"/>
      <c r="J219" s="7">
        <f t="shared" si="88"/>
        <v>0</v>
      </c>
      <c r="K219" s="2"/>
      <c r="L219" s="6">
        <f t="shared" si="89"/>
        <v>7785.78</v>
      </c>
      <c r="M219" s="2"/>
      <c r="N219" s="7">
        <f t="shared" si="90"/>
        <v>0</v>
      </c>
      <c r="O219" s="11"/>
      <c r="P219" s="6">
        <v>26197.58</v>
      </c>
      <c r="Q219" s="2"/>
      <c r="R219" s="7">
        <f t="shared" si="91"/>
        <v>6.7564142521423804E-3</v>
      </c>
      <c r="S219" s="2"/>
      <c r="T219" s="6">
        <v>4366.95</v>
      </c>
      <c r="U219" s="2"/>
      <c r="V219" s="7">
        <f t="shared" si="92"/>
        <v>5.6797618354819789E-4</v>
      </c>
      <c r="W219" s="2"/>
      <c r="X219" s="6">
        <f t="shared" si="93"/>
        <v>21830.63</v>
      </c>
      <c r="Y219" s="2"/>
      <c r="Z219" s="7">
        <f t="shared" si="94"/>
        <v>4.9990565497658555</v>
      </c>
    </row>
    <row r="220" spans="1:26" s="24" customFormat="1" hidden="1" outlineLevel="2" x14ac:dyDescent="0.25">
      <c r="A220" s="25"/>
      <c r="B220" s="11" t="str">
        <f>CONCATENATE("          ", "6254", " - ", "ROYALTY &amp; COMMISSIONS")</f>
        <v xml:space="preserve">          6254 - ROYALTY &amp; COMMISSIONS</v>
      </c>
      <c r="C220" s="11"/>
      <c r="D220" s="6"/>
      <c r="E220" s="2"/>
      <c r="F220" s="7">
        <f t="shared" si="87"/>
        <v>0</v>
      </c>
      <c r="G220" s="2"/>
      <c r="H220" s="6">
        <v>760.81</v>
      </c>
      <c r="I220" s="2"/>
      <c r="J220" s="7">
        <f t="shared" si="88"/>
        <v>3.500503280452519E-4</v>
      </c>
      <c r="K220" s="2"/>
      <c r="L220" s="6">
        <f t="shared" si="89"/>
        <v>-760.81</v>
      </c>
      <c r="M220" s="2"/>
      <c r="N220" s="7">
        <f t="shared" si="90"/>
        <v>-1</v>
      </c>
      <c r="O220" s="11"/>
      <c r="P220" s="6"/>
      <c r="Q220" s="2"/>
      <c r="R220" s="7">
        <f t="shared" si="91"/>
        <v>0</v>
      </c>
      <c r="S220" s="2"/>
      <c r="T220" s="6">
        <v>3324.65</v>
      </c>
      <c r="U220" s="2"/>
      <c r="V220" s="7">
        <f t="shared" si="92"/>
        <v>4.324120996653308E-4</v>
      </c>
      <c r="W220" s="2"/>
      <c r="X220" s="6">
        <f t="shared" si="93"/>
        <v>-3324.65</v>
      </c>
      <c r="Y220" s="2"/>
      <c r="Z220" s="7">
        <f t="shared" si="94"/>
        <v>-1</v>
      </c>
    </row>
    <row r="221" spans="1:26" s="24" customFormat="1" hidden="1" outlineLevel="2" x14ac:dyDescent="0.25">
      <c r="A221" s="25"/>
      <c r="B221" s="11" t="str">
        <f>CONCATENATE("          ", "6259", " - ", "ROYALTY &amp; COMMISSIONS")</f>
        <v xml:space="preserve">          6259 - ROYALTY &amp; COMMISSIONS</v>
      </c>
      <c r="C221" s="11"/>
      <c r="D221" s="6">
        <v>3.81</v>
      </c>
      <c r="E221" s="2"/>
      <c r="F221" s="7">
        <f t="shared" si="87"/>
        <v>3.2320353781816051E-6</v>
      </c>
      <c r="G221" s="2"/>
      <c r="H221" s="6">
        <v>7840.58</v>
      </c>
      <c r="I221" s="2"/>
      <c r="J221" s="7">
        <f t="shared" si="88"/>
        <v>3.607467831738596E-3</v>
      </c>
      <c r="K221" s="2"/>
      <c r="L221" s="6">
        <f t="shared" si="89"/>
        <v>-7836.7699999999995</v>
      </c>
      <c r="M221" s="2"/>
      <c r="N221" s="7">
        <f t="shared" si="90"/>
        <v>-0.99951406656140229</v>
      </c>
      <c r="O221" s="11"/>
      <c r="P221" s="6">
        <v>10168.07</v>
      </c>
      <c r="Q221" s="2"/>
      <c r="R221" s="7">
        <f t="shared" si="91"/>
        <v>2.6223679082106577E-3</v>
      </c>
      <c r="S221" s="2"/>
      <c r="T221" s="6">
        <v>64400.56</v>
      </c>
      <c r="U221" s="2"/>
      <c r="V221" s="7">
        <f t="shared" si="92"/>
        <v>8.3760941359911911E-3</v>
      </c>
      <c r="W221" s="2"/>
      <c r="X221" s="6">
        <f t="shared" si="93"/>
        <v>-54232.49</v>
      </c>
      <c r="Y221" s="2"/>
      <c r="Z221" s="7">
        <f t="shared" si="94"/>
        <v>-0.84211208722408626</v>
      </c>
    </row>
    <row r="222" spans="1:26" s="26" customFormat="1" outlineLevel="1" collapsed="1" x14ac:dyDescent="0.25">
      <c r="A222" s="27"/>
      <c r="B222" s="13" t="str">
        <f>CONCATENATE("     ","Services                                          ")</f>
        <v xml:space="preserve">     Services                                          </v>
      </c>
      <c r="C222" s="13"/>
      <c r="D222" s="1">
        <f>SUM(OSRRefD22_18x_0)</f>
        <v>5545.57</v>
      </c>
      <c r="E222" s="1"/>
      <c r="F222" s="5">
        <f t="shared" ref="F222:F226" si="95">IF(D$12=0,0,D222/D$12)</f>
        <v>4.7043250478169454E-3</v>
      </c>
      <c r="G222" s="1"/>
      <c r="H222" s="1">
        <f>SUM(OSRRefH22_18x_0)</f>
        <v>4858.3</v>
      </c>
      <c r="I222" s="1"/>
      <c r="J222" s="5">
        <f t="shared" ref="J222:J226" si="96">IF(H$12=0,0,H222/H$12)</f>
        <v>2.2353143475273029E-3</v>
      </c>
      <c r="K222" s="1"/>
      <c r="L222" s="1">
        <f t="shared" ref="L222:L226" si="97">+D222-H222</f>
        <v>687.26999999999953</v>
      </c>
      <c r="M222" s="1"/>
      <c r="N222" s="5">
        <f t="shared" ref="N222:N226" si="98">IF(H222=0,0,L222/H222)</f>
        <v>0.14146306321141131</v>
      </c>
      <c r="O222" s="13"/>
      <c r="P222" s="1">
        <f>SUM(OSRRefP22_18x_0)</f>
        <v>24729.32</v>
      </c>
      <c r="Q222" s="1"/>
      <c r="R222" s="5">
        <f t="shared" ref="R222:R226" si="99">IF(P$12=0,0,P222/P$12)</f>
        <v>6.3777467267506997E-3</v>
      </c>
      <c r="S222" s="1"/>
      <c r="T222" s="1">
        <f>SUM(OSRRefT22_18x_0)</f>
        <v>32250.18</v>
      </c>
      <c r="U222" s="1"/>
      <c r="V222" s="5">
        <f t="shared" ref="V222:V226" si="100">IF(T$12=0,0,T222/T$12)</f>
        <v>4.1945371838794637E-3</v>
      </c>
      <c r="W222" s="1"/>
      <c r="X222" s="1">
        <f t="shared" ref="X222:X226" si="101">+P222-T222</f>
        <v>-7520.8600000000006</v>
      </c>
      <c r="Y222" s="1"/>
      <c r="Z222" s="5">
        <f t="shared" ref="Z222:Z226" si="102">IF(T222=0,0,X222/T222)</f>
        <v>-0.23320365963848885</v>
      </c>
    </row>
    <row r="223" spans="1:26" s="24" customFormat="1" hidden="1" outlineLevel="2" x14ac:dyDescent="0.25">
      <c r="A223" s="25"/>
      <c r="B223" s="11" t="str">
        <f>CONCATENATE("          ", "6282", " - ", "JANITORIAL/EXTERMINATOR EXPENS")</f>
        <v xml:space="preserve">          6282 - JANITORIAL/EXTERMINATOR EXPENS</v>
      </c>
      <c r="C223" s="11"/>
      <c r="D223" s="6">
        <v>1613</v>
      </c>
      <c r="E223" s="2"/>
      <c r="F223" s="7">
        <f t="shared" si="95"/>
        <v>1.3683131404217661E-3</v>
      </c>
      <c r="G223" s="2"/>
      <c r="H223" s="6">
        <v>287.52</v>
      </c>
      <c r="I223" s="2"/>
      <c r="J223" s="7">
        <f t="shared" si="96"/>
        <v>1.3228857443983494E-4</v>
      </c>
      <c r="K223" s="2"/>
      <c r="L223" s="6">
        <f t="shared" si="97"/>
        <v>1325.48</v>
      </c>
      <c r="M223" s="2"/>
      <c r="N223" s="7">
        <f t="shared" si="98"/>
        <v>4.6100445186421819</v>
      </c>
      <c r="O223" s="11"/>
      <c r="P223" s="6">
        <v>6953.12</v>
      </c>
      <c r="Q223" s="2"/>
      <c r="R223" s="7">
        <f t="shared" si="99"/>
        <v>1.7932251400647014E-3</v>
      </c>
      <c r="S223" s="2"/>
      <c r="T223" s="6">
        <v>1886.52</v>
      </c>
      <c r="U223" s="2"/>
      <c r="V223" s="7">
        <f t="shared" si="100"/>
        <v>2.4536539914295935E-4</v>
      </c>
      <c r="W223" s="2"/>
      <c r="X223" s="6">
        <f t="shared" si="101"/>
        <v>5066.6000000000004</v>
      </c>
      <c r="Y223" s="2"/>
      <c r="Z223" s="7">
        <f t="shared" si="102"/>
        <v>2.6856858130314021</v>
      </c>
    </row>
    <row r="224" spans="1:26" s="24" customFormat="1" hidden="1" outlineLevel="2" x14ac:dyDescent="0.25">
      <c r="A224" s="25"/>
      <c r="B224" s="11" t="str">
        <f>CONCATENATE("          ", "6283", " - ", "PLANT SERVICE")</f>
        <v xml:space="preserve">          6283 - PLANT SERVICE</v>
      </c>
      <c r="C224" s="11"/>
      <c r="D224" s="6"/>
      <c r="E224" s="2"/>
      <c r="F224" s="7">
        <f t="shared" si="95"/>
        <v>0</v>
      </c>
      <c r="G224" s="2"/>
      <c r="H224" s="6"/>
      <c r="I224" s="2"/>
      <c r="J224" s="7">
        <f t="shared" si="96"/>
        <v>0</v>
      </c>
      <c r="K224" s="2"/>
      <c r="L224" s="6">
        <f t="shared" si="97"/>
        <v>0</v>
      </c>
      <c r="M224" s="2"/>
      <c r="N224" s="7">
        <f t="shared" si="98"/>
        <v>0</v>
      </c>
      <c r="O224" s="11"/>
      <c r="P224" s="6">
        <v>171.31</v>
      </c>
      <c r="Q224" s="2"/>
      <c r="R224" s="7">
        <f t="shared" si="99"/>
        <v>4.4181230691327636E-5</v>
      </c>
      <c r="S224" s="2"/>
      <c r="T224" s="6">
        <v>541.98</v>
      </c>
      <c r="U224" s="2"/>
      <c r="V224" s="7">
        <f t="shared" si="100"/>
        <v>7.0491242620009925E-5</v>
      </c>
      <c r="W224" s="2"/>
      <c r="X224" s="6">
        <f t="shared" si="101"/>
        <v>-370.67</v>
      </c>
      <c r="Y224" s="2"/>
      <c r="Z224" s="7">
        <f t="shared" si="102"/>
        <v>-0.68391822576478833</v>
      </c>
    </row>
    <row r="225" spans="1:26" s="24" customFormat="1" hidden="1" outlineLevel="2" x14ac:dyDescent="0.25">
      <c r="A225" s="25"/>
      <c r="B225" s="11" t="str">
        <f>CONCATENATE("          ", "6284", " - ", "TRASH REMOVAL EXPENSE")</f>
        <v xml:space="preserve">          6284 - TRASH REMOVAL EXPENSE</v>
      </c>
      <c r="C225" s="11"/>
      <c r="D225" s="6">
        <v>142.57</v>
      </c>
      <c r="E225" s="2"/>
      <c r="F225" s="7">
        <f t="shared" si="95"/>
        <v>1.2094259419090588E-4</v>
      </c>
      <c r="G225" s="2"/>
      <c r="H225" s="6">
        <v>134.82</v>
      </c>
      <c r="I225" s="2"/>
      <c r="J225" s="7">
        <f t="shared" si="96"/>
        <v>6.2030973866091218E-5</v>
      </c>
      <c r="K225" s="2"/>
      <c r="L225" s="6">
        <f t="shared" si="97"/>
        <v>7.75</v>
      </c>
      <c r="M225" s="2"/>
      <c r="N225" s="7">
        <f t="shared" si="98"/>
        <v>5.7484052811155616E-2</v>
      </c>
      <c r="O225" s="11"/>
      <c r="P225" s="6">
        <v>1013.01</v>
      </c>
      <c r="Q225" s="2"/>
      <c r="R225" s="7">
        <f t="shared" si="99"/>
        <v>2.6125753606106943E-4</v>
      </c>
      <c r="S225" s="2"/>
      <c r="T225" s="6">
        <v>943.74</v>
      </c>
      <c r="U225" s="2"/>
      <c r="V225" s="7">
        <f t="shared" si="100"/>
        <v>1.2274512954390968E-4</v>
      </c>
      <c r="W225" s="2"/>
      <c r="X225" s="6">
        <f t="shared" si="101"/>
        <v>69.269999999999982</v>
      </c>
      <c r="Y225" s="2"/>
      <c r="Z225" s="7">
        <f t="shared" si="102"/>
        <v>7.3399453239239604E-2</v>
      </c>
    </row>
    <row r="226" spans="1:26" s="24" customFormat="1" hidden="1" outlineLevel="2" x14ac:dyDescent="0.25">
      <c r="A226" s="25"/>
      <c r="B226" s="11" t="str">
        <f>CONCATENATE("          ", "6285", " - ", "JANITORIAL SERVICES")</f>
        <v xml:space="preserve">          6285 - JANITORIAL SERVICES</v>
      </c>
      <c r="C226" s="11"/>
      <c r="D226" s="6">
        <v>3790</v>
      </c>
      <c r="E226" s="2"/>
      <c r="F226" s="7">
        <f t="shared" si="95"/>
        <v>3.2150693132042738E-3</v>
      </c>
      <c r="G226" s="2"/>
      <c r="H226" s="6">
        <v>4435.96</v>
      </c>
      <c r="I226" s="2"/>
      <c r="J226" s="7">
        <f t="shared" si="96"/>
        <v>2.040994799221377E-3</v>
      </c>
      <c r="K226" s="2"/>
      <c r="L226" s="6">
        <f t="shared" si="97"/>
        <v>-645.96</v>
      </c>
      <c r="M226" s="2"/>
      <c r="N226" s="7">
        <f t="shared" si="98"/>
        <v>-0.14561898664550627</v>
      </c>
      <c r="O226" s="11"/>
      <c r="P226" s="6">
        <v>16591.88</v>
      </c>
      <c r="Q226" s="2"/>
      <c r="R226" s="7">
        <f t="shared" si="99"/>
        <v>4.2790828199336011E-3</v>
      </c>
      <c r="S226" s="2"/>
      <c r="T226" s="6">
        <v>28877.94</v>
      </c>
      <c r="U226" s="2"/>
      <c r="V226" s="7">
        <f t="shared" si="100"/>
        <v>3.7559354125725843E-3</v>
      </c>
      <c r="W226" s="2"/>
      <c r="X226" s="6">
        <f t="shared" si="101"/>
        <v>-12286.059999999998</v>
      </c>
      <c r="Y226" s="2"/>
      <c r="Z226" s="7">
        <f t="shared" si="102"/>
        <v>-0.425447937075844</v>
      </c>
    </row>
    <row r="227" spans="1:26" s="26" customFormat="1" outlineLevel="1" collapsed="1" x14ac:dyDescent="0.25">
      <c r="A227" s="27"/>
      <c r="B227" s="13" t="str">
        <f>CONCATENATE("     ","Subscriptions &amp; Dues                              ")</f>
        <v xml:space="preserve">     Subscriptions &amp; Dues                              </v>
      </c>
      <c r="C227" s="13"/>
      <c r="D227" s="1">
        <f>SUM(OSRRefD22_19x_0)</f>
        <v>2389.69</v>
      </c>
      <c r="E227" s="1"/>
      <c r="F227" s="5">
        <f t="shared" ref="F227:F229" si="103">IF(D$12=0,0,D227/D$12)</f>
        <v>2.0271817907839369E-3</v>
      </c>
      <c r="G227" s="1"/>
      <c r="H227" s="1">
        <f>SUM(OSRRefH22_19x_0)</f>
        <v>333.1</v>
      </c>
      <c r="I227" s="1"/>
      <c r="J227" s="5">
        <f t="shared" ref="J227:J229" si="104">IF(H$12=0,0,H227/H$12)</f>
        <v>1.5326003111404085E-4</v>
      </c>
      <c r="K227" s="1"/>
      <c r="L227" s="1">
        <f t="shared" ref="L227:L229" si="105">+D227-H227</f>
        <v>2056.59</v>
      </c>
      <c r="M227" s="1"/>
      <c r="N227" s="5">
        <f t="shared" ref="N227:N229" si="106">IF(H227=0,0,L227/H227)</f>
        <v>6.1740918643050131</v>
      </c>
      <c r="O227" s="13"/>
      <c r="P227" s="1">
        <f>SUM(OSRRefP22_19x_0)</f>
        <v>3845.13</v>
      </c>
      <c r="Q227" s="1"/>
      <c r="R227" s="5">
        <f t="shared" ref="R227:R229" si="107">IF(P$12=0,0,P227/P$12)</f>
        <v>9.9166759423352188E-4</v>
      </c>
      <c r="S227" s="1"/>
      <c r="T227" s="1">
        <f>SUM(OSRRefT22_19x_0)</f>
        <v>2800.86</v>
      </c>
      <c r="U227" s="1"/>
      <c r="V227" s="5">
        <f t="shared" ref="V227:V229" si="108">IF(T$12=0,0,T227/T$12)</f>
        <v>3.642866928755323E-4</v>
      </c>
      <c r="W227" s="1"/>
      <c r="X227" s="1">
        <f t="shared" ref="X227:X229" si="109">+P227-T227</f>
        <v>1044.27</v>
      </c>
      <c r="Y227" s="1"/>
      <c r="Z227" s="5">
        <f t="shared" ref="Z227:Z229" si="110">IF(T227=0,0,X227/T227)</f>
        <v>0.37283905657548039</v>
      </c>
    </row>
    <row r="228" spans="1:26" s="24" customFormat="1" hidden="1" outlineLevel="2" x14ac:dyDescent="0.25">
      <c r="A228" s="25"/>
      <c r="B228" s="11" t="str">
        <f>CONCATENATE("          ", "6258", " - ", "MEMBERSHIP DUES")</f>
        <v xml:space="preserve">          6258 - MEMBERSHIP DUES</v>
      </c>
      <c r="C228" s="11"/>
      <c r="D228" s="6">
        <v>462.61</v>
      </c>
      <c r="E228" s="2"/>
      <c r="F228" s="7">
        <f t="shared" si="103"/>
        <v>3.9243356595816068E-4</v>
      </c>
      <c r="G228" s="2"/>
      <c r="H228" s="6">
        <v>258.10000000000002</v>
      </c>
      <c r="I228" s="2"/>
      <c r="J228" s="7">
        <f t="shared" si="104"/>
        <v>1.1875236874972664E-4</v>
      </c>
      <c r="K228" s="2"/>
      <c r="L228" s="6">
        <f t="shared" si="105"/>
        <v>204.51</v>
      </c>
      <c r="M228" s="2"/>
      <c r="N228" s="7">
        <f t="shared" si="106"/>
        <v>0.79236729949631912</v>
      </c>
      <c r="O228" s="11"/>
      <c r="P228" s="6">
        <v>1692.32</v>
      </c>
      <c r="Q228" s="2"/>
      <c r="R228" s="7">
        <f t="shared" si="107"/>
        <v>4.3645309861390215E-4</v>
      </c>
      <c r="S228" s="2"/>
      <c r="T228" s="6">
        <v>1935.5</v>
      </c>
      <c r="U228" s="2"/>
      <c r="V228" s="7">
        <f t="shared" si="108"/>
        <v>2.5173585757966933E-4</v>
      </c>
      <c r="W228" s="2"/>
      <c r="X228" s="6">
        <f t="shared" si="109"/>
        <v>-243.18000000000006</v>
      </c>
      <c r="Y228" s="2"/>
      <c r="Z228" s="7">
        <f t="shared" si="110"/>
        <v>-0.12564195298372516</v>
      </c>
    </row>
    <row r="229" spans="1:26" s="24" customFormat="1" hidden="1" outlineLevel="2" x14ac:dyDescent="0.25">
      <c r="A229" s="25"/>
      <c r="B229" s="11" t="str">
        <f>CONCATENATE("          ", "6275", " - ", "SUBSCRIPTIONS")</f>
        <v xml:space="preserve">          6275 - SUBSCRIPTIONS</v>
      </c>
      <c r="C229" s="11"/>
      <c r="D229" s="6">
        <v>1927.08</v>
      </c>
      <c r="E229" s="2"/>
      <c r="F229" s="7">
        <f t="shared" si="103"/>
        <v>1.6347482248257762E-3</v>
      </c>
      <c r="G229" s="2"/>
      <c r="H229" s="6">
        <v>75</v>
      </c>
      <c r="I229" s="2"/>
      <c r="J229" s="7">
        <f t="shared" si="104"/>
        <v>3.4507662364314208E-5</v>
      </c>
      <c r="K229" s="2"/>
      <c r="L229" s="6">
        <f t="shared" si="105"/>
        <v>1852.08</v>
      </c>
      <c r="M229" s="2"/>
      <c r="N229" s="7">
        <f t="shared" si="106"/>
        <v>24.694399999999998</v>
      </c>
      <c r="O229" s="11"/>
      <c r="P229" s="6">
        <v>2152.81</v>
      </c>
      <c r="Q229" s="2"/>
      <c r="R229" s="7">
        <f t="shared" si="107"/>
        <v>5.5521449561961962E-4</v>
      </c>
      <c r="S229" s="2"/>
      <c r="T229" s="6">
        <v>865.36</v>
      </c>
      <c r="U229" s="2"/>
      <c r="V229" s="7">
        <f t="shared" si="108"/>
        <v>1.1255083529586291E-4</v>
      </c>
      <c r="W229" s="2"/>
      <c r="X229" s="6">
        <f t="shared" si="109"/>
        <v>1287.4499999999998</v>
      </c>
      <c r="Y229" s="2"/>
      <c r="Z229" s="7">
        <f t="shared" si="110"/>
        <v>1.487762318572617</v>
      </c>
    </row>
    <row r="230" spans="1:26" s="26" customFormat="1" outlineLevel="1" collapsed="1" x14ac:dyDescent="0.25">
      <c r="A230" s="27"/>
      <c r="B230" s="13" t="str">
        <f>CONCATENATE("     ","Supplies                                          ")</f>
        <v xml:space="preserve">     Supplies                                          </v>
      </c>
      <c r="C230" s="13"/>
      <c r="D230" s="1">
        <f>SUM(OSRRefD22_20x_0)</f>
        <v>13676.5</v>
      </c>
      <c r="E230" s="1"/>
      <c r="F230" s="5">
        <f t="shared" ref="F230:F237" si="111">IF(D$12=0,0,D230/D$12)</f>
        <v>1.1601819383123548E-2</v>
      </c>
      <c r="G230" s="1"/>
      <c r="H230" s="1">
        <f>SUM(OSRRefH22_20x_0)</f>
        <v>11105.029999999999</v>
      </c>
      <c r="I230" s="1"/>
      <c r="J230" s="5">
        <f t="shared" ref="J230:J237" si="112">IF(H$12=0,0,H230/H$12)</f>
        <v>5.1094483438077357E-3</v>
      </c>
      <c r="K230" s="1"/>
      <c r="L230" s="1">
        <f t="shared" ref="L230:L237" si="113">+D230-H230</f>
        <v>2571.4700000000012</v>
      </c>
      <c r="M230" s="1"/>
      <c r="N230" s="5">
        <f t="shared" ref="N230:N237" si="114">IF(H230=0,0,L230/H230)</f>
        <v>0.23155903225835511</v>
      </c>
      <c r="O230" s="13"/>
      <c r="P230" s="1">
        <f>SUM(OSRRefP22_20x_0)</f>
        <v>91002.6</v>
      </c>
      <c r="Q230" s="1"/>
      <c r="R230" s="5">
        <f t="shared" ref="R230:R237" si="115">IF(P$12=0,0,P230/P$12)</f>
        <v>2.3469773300511428E-2</v>
      </c>
      <c r="S230" s="1"/>
      <c r="T230" s="1">
        <f>SUM(OSRRefT22_20x_0)</f>
        <v>61873.34</v>
      </c>
      <c r="U230" s="1"/>
      <c r="V230" s="5">
        <f t="shared" ref="V230:V237" si="116">IF(T$12=0,0,T230/T$12)</f>
        <v>8.0473977298984537E-3</v>
      </c>
      <c r="W230" s="1"/>
      <c r="X230" s="1">
        <f t="shared" ref="X230:X237" si="117">+P230-T230</f>
        <v>29129.260000000009</v>
      </c>
      <c r="Y230" s="1"/>
      <c r="Z230" s="5">
        <f t="shared" ref="Z230:Z237" si="118">IF(T230=0,0,X230/T230)</f>
        <v>0.47078854964028144</v>
      </c>
    </row>
    <row r="231" spans="1:26" s="24" customFormat="1" hidden="1" outlineLevel="2" x14ac:dyDescent="0.25">
      <c r="A231" s="25"/>
      <c r="B231" s="11" t="str">
        <f>CONCATENATE("          ", "6234", " - ", "EXPENDABLE SUPPLIES &amp; EQUIPMEN")</f>
        <v xml:space="preserve">          6234 - EXPENDABLE SUPPLIES &amp; EQUIPMEN</v>
      </c>
      <c r="C231" s="11"/>
      <c r="D231" s="6">
        <v>396.5</v>
      </c>
      <c r="E231" s="2"/>
      <c r="F231" s="7">
        <f t="shared" si="111"/>
        <v>3.363522381755922E-4</v>
      </c>
      <c r="G231" s="2"/>
      <c r="H231" s="6">
        <v>1338.2</v>
      </c>
      <c r="I231" s="2"/>
      <c r="J231" s="7">
        <f t="shared" si="112"/>
        <v>6.1570871701233706E-4</v>
      </c>
      <c r="K231" s="2"/>
      <c r="L231" s="6">
        <f t="shared" si="113"/>
        <v>-941.7</v>
      </c>
      <c r="M231" s="2"/>
      <c r="N231" s="7">
        <f t="shared" si="114"/>
        <v>-0.70370647137946496</v>
      </c>
      <c r="O231" s="11"/>
      <c r="P231" s="6">
        <v>-52.84</v>
      </c>
      <c r="Q231" s="2"/>
      <c r="R231" s="7">
        <f t="shared" si="115"/>
        <v>-1.3627553731421122E-5</v>
      </c>
      <c r="S231" s="2"/>
      <c r="T231" s="6">
        <v>3160.95</v>
      </c>
      <c r="U231" s="2"/>
      <c r="V231" s="7">
        <f t="shared" si="116"/>
        <v>4.1112087781785368E-4</v>
      </c>
      <c r="W231" s="2"/>
      <c r="X231" s="6">
        <f t="shared" si="117"/>
        <v>-3213.79</v>
      </c>
      <c r="Y231" s="2"/>
      <c r="Z231" s="7">
        <f t="shared" si="118"/>
        <v>-1.016716493459245</v>
      </c>
    </row>
    <row r="232" spans="1:26" s="24" customFormat="1" hidden="1" outlineLevel="2" x14ac:dyDescent="0.25">
      <c r="A232" s="25"/>
      <c r="B232" s="11" t="str">
        <f>CONCATENATE("          ", "6235", " - ", "COVID-19 EXPENSES")</f>
        <v xml:space="preserve">          6235 - COVID-19 EXPENSES</v>
      </c>
      <c r="C232" s="11"/>
      <c r="D232" s="6">
        <v>2921.2</v>
      </c>
      <c r="E232" s="2"/>
      <c r="F232" s="7">
        <f t="shared" si="111"/>
        <v>2.4780634505890036E-3</v>
      </c>
      <c r="G232" s="2"/>
      <c r="H232" s="6"/>
      <c r="I232" s="2"/>
      <c r="J232" s="7">
        <f t="shared" si="112"/>
        <v>0</v>
      </c>
      <c r="K232" s="2"/>
      <c r="L232" s="6">
        <f t="shared" si="113"/>
        <v>2921.2</v>
      </c>
      <c r="M232" s="2"/>
      <c r="N232" s="7">
        <f t="shared" si="114"/>
        <v>0</v>
      </c>
      <c r="O232" s="11"/>
      <c r="P232" s="6">
        <v>34299.03</v>
      </c>
      <c r="Q232" s="2"/>
      <c r="R232" s="7">
        <f t="shared" si="115"/>
        <v>8.8457962577711009E-3</v>
      </c>
      <c r="S232" s="2"/>
      <c r="T232" s="6"/>
      <c r="U232" s="2"/>
      <c r="V232" s="7">
        <f t="shared" si="116"/>
        <v>0</v>
      </c>
      <c r="W232" s="2"/>
      <c r="X232" s="6">
        <f t="shared" si="117"/>
        <v>34299.03</v>
      </c>
      <c r="Y232" s="2"/>
      <c r="Z232" s="7">
        <f t="shared" si="118"/>
        <v>0</v>
      </c>
    </row>
    <row r="233" spans="1:26" s="24" customFormat="1" hidden="1" outlineLevel="2" x14ac:dyDescent="0.25">
      <c r="A233" s="25"/>
      <c r="B233" s="11" t="str">
        <f>CONCATENATE("          ", "6237", " - ", "JANITORIAL SUPPLIES")</f>
        <v xml:space="preserve">          6237 - JANITORIAL SUPPLIES</v>
      </c>
      <c r="C233" s="11"/>
      <c r="D233" s="6">
        <v>329.77</v>
      </c>
      <c r="E233" s="2"/>
      <c r="F233" s="7">
        <f t="shared" si="111"/>
        <v>2.7974496237872647E-4</v>
      </c>
      <c r="G233" s="2"/>
      <c r="H233" s="6">
        <v>792.65</v>
      </c>
      <c r="I233" s="2"/>
      <c r="J233" s="7">
        <f t="shared" si="112"/>
        <v>3.6469998097431541E-4</v>
      </c>
      <c r="K233" s="2"/>
      <c r="L233" s="6">
        <f t="shared" si="113"/>
        <v>-462.88</v>
      </c>
      <c r="M233" s="2"/>
      <c r="N233" s="7">
        <f t="shared" si="114"/>
        <v>-0.58396518009209619</v>
      </c>
      <c r="O233" s="11"/>
      <c r="P233" s="6">
        <v>2263.65</v>
      </c>
      <c r="Q233" s="2"/>
      <c r="R233" s="7">
        <f t="shared" si="115"/>
        <v>5.8380037857932293E-4</v>
      </c>
      <c r="S233" s="2"/>
      <c r="T233" s="6">
        <v>3782.13</v>
      </c>
      <c r="U233" s="2"/>
      <c r="V233" s="7">
        <f t="shared" si="116"/>
        <v>4.9191306588881162E-4</v>
      </c>
      <c r="W233" s="2"/>
      <c r="X233" s="6">
        <f t="shared" si="117"/>
        <v>-1518.48</v>
      </c>
      <c r="Y233" s="2"/>
      <c r="Z233" s="7">
        <f t="shared" si="118"/>
        <v>-0.40148805038430724</v>
      </c>
    </row>
    <row r="234" spans="1:26" s="24" customFormat="1" hidden="1" outlineLevel="2" x14ac:dyDescent="0.25">
      <c r="A234" s="25"/>
      <c r="B234" s="11" t="str">
        <f>CONCATENATE("          ", "6241", " - ", "OFFICE EXPENSE")</f>
        <v xml:space="preserve">          6241 - OFFICE EXPENSE</v>
      </c>
      <c r="C234" s="11"/>
      <c r="D234" s="6">
        <v>444.2</v>
      </c>
      <c r="E234" s="2"/>
      <c r="F234" s="7">
        <f t="shared" si="111"/>
        <v>3.7681630314652728E-4</v>
      </c>
      <c r="G234" s="2"/>
      <c r="H234" s="6">
        <v>4018.69</v>
      </c>
      <c r="I234" s="2"/>
      <c r="J234" s="7">
        <f t="shared" si="112"/>
        <v>1.8490079688912784E-3</v>
      </c>
      <c r="K234" s="2"/>
      <c r="L234" s="6">
        <f t="shared" si="113"/>
        <v>-3574.4900000000002</v>
      </c>
      <c r="M234" s="2"/>
      <c r="N234" s="7">
        <f t="shared" si="114"/>
        <v>-0.88946646792860362</v>
      </c>
      <c r="O234" s="11"/>
      <c r="P234" s="6">
        <v>9231.8700000000008</v>
      </c>
      <c r="Q234" s="2"/>
      <c r="R234" s="7">
        <f t="shared" si="115"/>
        <v>2.3809198422879395E-3</v>
      </c>
      <c r="S234" s="2"/>
      <c r="T234" s="6">
        <v>21513.52</v>
      </c>
      <c r="U234" s="2"/>
      <c r="V234" s="7">
        <f t="shared" si="116"/>
        <v>2.7981009593166461E-3</v>
      </c>
      <c r="W234" s="2"/>
      <c r="X234" s="6">
        <f t="shared" si="117"/>
        <v>-12281.65</v>
      </c>
      <c r="Y234" s="2"/>
      <c r="Z234" s="7">
        <f t="shared" si="118"/>
        <v>-0.57088054395561483</v>
      </c>
    </row>
    <row r="235" spans="1:26" s="24" customFormat="1" hidden="1" outlineLevel="2" x14ac:dyDescent="0.25">
      <c r="A235" s="25"/>
      <c r="B235" s="11" t="str">
        <f>CONCATENATE("          ", "6243", " - ", "PAPER SUPPLIES")</f>
        <v xml:space="preserve">          6243 - PAPER SUPPLIES</v>
      </c>
      <c r="C235" s="11"/>
      <c r="D235" s="6">
        <v>1080</v>
      </c>
      <c r="E235" s="2"/>
      <c r="F235" s="7">
        <f t="shared" si="111"/>
        <v>9.1616750877588802E-4</v>
      </c>
      <c r="G235" s="2"/>
      <c r="H235" s="6">
        <v>2294.33</v>
      </c>
      <c r="I235" s="2"/>
      <c r="J235" s="7">
        <f t="shared" si="112"/>
        <v>1.0556261998975604E-3</v>
      </c>
      <c r="K235" s="2"/>
      <c r="L235" s="6">
        <f t="shared" si="113"/>
        <v>-1214.33</v>
      </c>
      <c r="M235" s="2"/>
      <c r="N235" s="7">
        <f t="shared" si="114"/>
        <v>-0.52927434152889952</v>
      </c>
      <c r="O235" s="11"/>
      <c r="P235" s="6">
        <v>6173.4</v>
      </c>
      <c r="Q235" s="2"/>
      <c r="R235" s="7">
        <f t="shared" si="115"/>
        <v>1.5921336147909754E-3</v>
      </c>
      <c r="S235" s="2"/>
      <c r="T235" s="6">
        <v>11852.83</v>
      </c>
      <c r="U235" s="2"/>
      <c r="V235" s="7">
        <f t="shared" si="116"/>
        <v>1.5416080210777744E-3</v>
      </c>
      <c r="W235" s="2"/>
      <c r="X235" s="6">
        <f t="shared" si="117"/>
        <v>-5679.43</v>
      </c>
      <c r="Y235" s="2"/>
      <c r="Z235" s="7">
        <f t="shared" si="118"/>
        <v>-0.47916236038144477</v>
      </c>
    </row>
    <row r="236" spans="1:26" s="24" customFormat="1" hidden="1" outlineLevel="2" x14ac:dyDescent="0.25">
      <c r="A236" s="25"/>
      <c r="B236" s="11" t="str">
        <f>CONCATENATE("          ", "6245", " - ", "PRINTING")</f>
        <v xml:space="preserve">          6245 - PRINTING</v>
      </c>
      <c r="C236" s="11"/>
      <c r="D236" s="6"/>
      <c r="E236" s="2"/>
      <c r="F236" s="7">
        <f t="shared" si="111"/>
        <v>0</v>
      </c>
      <c r="G236" s="2"/>
      <c r="H236" s="6">
        <v>926.39</v>
      </c>
      <c r="I236" s="2"/>
      <c r="J236" s="7">
        <f t="shared" si="112"/>
        <v>4.2623404450236056E-4</v>
      </c>
      <c r="K236" s="2"/>
      <c r="L236" s="6">
        <f t="shared" si="113"/>
        <v>-926.39</v>
      </c>
      <c r="M236" s="2"/>
      <c r="N236" s="7">
        <f t="shared" si="114"/>
        <v>-1</v>
      </c>
      <c r="O236" s="11"/>
      <c r="P236" s="6">
        <v>508.27</v>
      </c>
      <c r="Q236" s="2"/>
      <c r="R236" s="7">
        <f t="shared" si="115"/>
        <v>1.3108396546308504E-4</v>
      </c>
      <c r="S236" s="2"/>
      <c r="T236" s="6">
        <v>6520.2</v>
      </c>
      <c r="U236" s="2"/>
      <c r="V236" s="7">
        <f t="shared" si="116"/>
        <v>8.4803313799584608E-4</v>
      </c>
      <c r="W236" s="2"/>
      <c r="X236" s="6">
        <f t="shared" si="117"/>
        <v>-6011.93</v>
      </c>
      <c r="Y236" s="2"/>
      <c r="Z236" s="7">
        <f t="shared" si="118"/>
        <v>-0.92204686972792249</v>
      </c>
    </row>
    <row r="237" spans="1:26" s="24" customFormat="1" hidden="1" outlineLevel="2" x14ac:dyDescent="0.25">
      <c r="A237" s="25"/>
      <c r="B237" s="11" t="str">
        <f>CONCATENATE("          ", "6247", " - ", "STORE SUPPLIES")</f>
        <v xml:space="preserve">          6247 - STORE SUPPLIES</v>
      </c>
      <c r="C237" s="11"/>
      <c r="D237" s="6">
        <v>8504.83</v>
      </c>
      <c r="E237" s="2"/>
      <c r="F237" s="7">
        <f t="shared" si="111"/>
        <v>7.2146749200578102E-3</v>
      </c>
      <c r="G237" s="2"/>
      <c r="H237" s="6">
        <v>1734.77</v>
      </c>
      <c r="I237" s="2"/>
      <c r="J237" s="7">
        <f t="shared" si="112"/>
        <v>7.9817143252988482E-4</v>
      </c>
      <c r="K237" s="2"/>
      <c r="L237" s="6">
        <f t="shared" si="113"/>
        <v>6770.0599999999995</v>
      </c>
      <c r="M237" s="2"/>
      <c r="N237" s="7">
        <f t="shared" si="114"/>
        <v>3.9025692166684918</v>
      </c>
      <c r="O237" s="11"/>
      <c r="P237" s="6">
        <v>38579.219999999994</v>
      </c>
      <c r="Q237" s="2"/>
      <c r="R237" s="7">
        <f t="shared" si="115"/>
        <v>9.949666795350422E-3</v>
      </c>
      <c r="S237" s="2"/>
      <c r="T237" s="6">
        <v>15043.710000000001</v>
      </c>
      <c r="U237" s="2"/>
      <c r="V237" s="7">
        <f t="shared" si="116"/>
        <v>1.9566216678015232E-3</v>
      </c>
      <c r="W237" s="2"/>
      <c r="X237" s="6">
        <f t="shared" si="117"/>
        <v>23535.509999999995</v>
      </c>
      <c r="Y237" s="2"/>
      <c r="Z237" s="7">
        <f t="shared" si="118"/>
        <v>1.5644751195017714</v>
      </c>
    </row>
    <row r="238" spans="1:26" s="26" customFormat="1" outlineLevel="1" collapsed="1" x14ac:dyDescent="0.25">
      <c r="A238" s="27"/>
      <c r="B238" s="13" t="str">
        <f>CONCATENATE("     ","Telephone/Data Lines                              ")</f>
        <v xml:space="preserve">     Telephone/Data Lines                              </v>
      </c>
      <c r="C238" s="13"/>
      <c r="D238" s="1">
        <f>SUM(OSRRefD22_21x_0)</f>
        <v>2161.81</v>
      </c>
      <c r="E238" s="1"/>
      <c r="F238" s="5">
        <f t="shared" ref="F238:F240" si="119">IF(D$12=0,0,D238/D$12)</f>
        <v>1.8338704464322243E-3</v>
      </c>
      <c r="G238" s="1"/>
      <c r="H238" s="1">
        <f>SUM(OSRRefH22_21x_0)</f>
        <v>2592.6799999999998</v>
      </c>
      <c r="I238" s="1"/>
      <c r="J238" s="5">
        <f t="shared" ref="J238:J240" si="120">IF(H$12=0,0,H238/H$12)</f>
        <v>1.1928976807828021E-3</v>
      </c>
      <c r="K238" s="1"/>
      <c r="L238" s="1">
        <f t="shared" ref="L238:L240" si="121">+D238-H238</f>
        <v>-430.86999999999989</v>
      </c>
      <c r="M238" s="1"/>
      <c r="N238" s="5">
        <f t="shared" ref="N238:N240" si="122">IF(H238=0,0,L238/H238)</f>
        <v>-0.16618711140595829</v>
      </c>
      <c r="O238" s="13"/>
      <c r="P238" s="1">
        <f>SUM(OSRRefP22_21x_0)</f>
        <v>17190</v>
      </c>
      <c r="Q238" s="1"/>
      <c r="R238" s="5">
        <f t="shared" ref="R238:R240" si="123">IF(P$12=0,0,P238/P$12)</f>
        <v>4.4333393005891193E-3</v>
      </c>
      <c r="S238" s="1"/>
      <c r="T238" s="1">
        <f>SUM(OSRRefT22_21x_0)</f>
        <v>18647.939999999999</v>
      </c>
      <c r="U238" s="1"/>
      <c r="V238" s="5">
        <f t="shared" ref="V238:V240" si="124">IF(T$12=0,0,T238/T$12)</f>
        <v>2.4253966251584704E-3</v>
      </c>
      <c r="W238" s="1"/>
      <c r="X238" s="1">
        <f t="shared" ref="X238:X240" si="125">+P238-T238</f>
        <v>-1457.9399999999987</v>
      </c>
      <c r="Y238" s="1"/>
      <c r="Z238" s="5">
        <f t="shared" ref="Z238:Z240" si="126">IF(T238=0,0,X238/T238)</f>
        <v>-7.8182362234112651E-2</v>
      </c>
    </row>
    <row r="239" spans="1:26" s="24" customFormat="1" hidden="1" outlineLevel="2" x14ac:dyDescent="0.25">
      <c r="A239" s="25"/>
      <c r="B239" s="11" t="str">
        <f>CONCATENATE("          ", "6303", " - ", "DATA PHONE LINES")</f>
        <v xml:space="preserve">          6303 - DATA PHONE LINES</v>
      </c>
      <c r="C239" s="11"/>
      <c r="D239" s="6">
        <v>295</v>
      </c>
      <c r="E239" s="2"/>
      <c r="F239" s="7">
        <f t="shared" si="119"/>
        <v>2.5024945841563609E-4</v>
      </c>
      <c r="G239" s="2"/>
      <c r="H239" s="6">
        <v>295</v>
      </c>
      <c r="I239" s="2"/>
      <c r="J239" s="7">
        <f t="shared" si="120"/>
        <v>1.3573013863296923E-4</v>
      </c>
      <c r="K239" s="2"/>
      <c r="L239" s="6">
        <f t="shared" si="121"/>
        <v>0</v>
      </c>
      <c r="M239" s="2"/>
      <c r="N239" s="7">
        <f t="shared" si="122"/>
        <v>0</v>
      </c>
      <c r="O239" s="11"/>
      <c r="P239" s="6">
        <v>2360</v>
      </c>
      <c r="Q239" s="2"/>
      <c r="R239" s="7">
        <f t="shared" si="123"/>
        <v>6.0864925825423631E-4</v>
      </c>
      <c r="S239" s="2"/>
      <c r="T239" s="6">
        <v>2065</v>
      </c>
      <c r="U239" s="2"/>
      <c r="V239" s="7">
        <f t="shared" si="124"/>
        <v>2.6857894389150982E-4</v>
      </c>
      <c r="W239" s="2"/>
      <c r="X239" s="6">
        <f t="shared" si="125"/>
        <v>295</v>
      </c>
      <c r="Y239" s="2"/>
      <c r="Z239" s="7">
        <f t="shared" si="126"/>
        <v>0.14285714285714285</v>
      </c>
    </row>
    <row r="240" spans="1:26" s="24" customFormat="1" hidden="1" outlineLevel="2" x14ac:dyDescent="0.25">
      <c r="A240" s="25"/>
      <c r="B240" s="11" t="str">
        <f>CONCATENATE("          ", "6309", " - ", "TELEPHONE")</f>
        <v xml:space="preserve">          6309 - TELEPHONE</v>
      </c>
      <c r="C240" s="11"/>
      <c r="D240" s="6">
        <v>1866.81</v>
      </c>
      <c r="E240" s="2"/>
      <c r="F240" s="7">
        <f t="shared" si="119"/>
        <v>1.5836209880165882E-3</v>
      </c>
      <c r="G240" s="2"/>
      <c r="H240" s="6">
        <v>2297.6799999999998</v>
      </c>
      <c r="I240" s="2"/>
      <c r="J240" s="7">
        <f t="shared" si="120"/>
        <v>1.057167542149833E-3</v>
      </c>
      <c r="K240" s="2"/>
      <c r="L240" s="6">
        <f t="shared" si="121"/>
        <v>-430.86999999999989</v>
      </c>
      <c r="M240" s="2"/>
      <c r="N240" s="7">
        <f t="shared" si="122"/>
        <v>-0.18752393718881652</v>
      </c>
      <c r="O240" s="11"/>
      <c r="P240" s="6">
        <v>14830</v>
      </c>
      <c r="Q240" s="2"/>
      <c r="R240" s="7">
        <f t="shared" si="123"/>
        <v>3.8246900423348834E-3</v>
      </c>
      <c r="S240" s="2"/>
      <c r="T240" s="6">
        <v>16582.939999999999</v>
      </c>
      <c r="U240" s="2"/>
      <c r="V240" s="7">
        <f t="shared" si="124"/>
        <v>2.1568176812669605E-3</v>
      </c>
      <c r="W240" s="2"/>
      <c r="X240" s="6">
        <f t="shared" si="125"/>
        <v>-1752.9399999999987</v>
      </c>
      <c r="Y240" s="2"/>
      <c r="Z240" s="7">
        <f t="shared" si="126"/>
        <v>-0.10570743185466502</v>
      </c>
    </row>
    <row r="241" spans="1:26" s="26" customFormat="1" outlineLevel="1" collapsed="1" x14ac:dyDescent="0.25">
      <c r="A241" s="27"/>
      <c r="B241" s="13" t="str">
        <f>CONCATENATE("     ","Training                                          ")</f>
        <v xml:space="preserve">     Training                                          </v>
      </c>
      <c r="C241" s="13"/>
      <c r="D241" s="1">
        <f>SUM(OSRRefD22_22x_0)</f>
        <v>0</v>
      </c>
      <c r="E241" s="1"/>
      <c r="F241" s="5">
        <f t="shared" ref="F241:F246" si="127">IF(D$12=0,0,D241/D$12)</f>
        <v>0</v>
      </c>
      <c r="G241" s="1"/>
      <c r="H241" s="1">
        <f>SUM(OSRRefH22_22x_0)</f>
        <v>2056.09</v>
      </c>
      <c r="I241" s="1"/>
      <c r="J241" s="5">
        <f t="shared" ref="J241:J246" si="128">IF(H$12=0,0,H241/H$12)</f>
        <v>9.4601146014190415E-4</v>
      </c>
      <c r="K241" s="1"/>
      <c r="L241" s="1">
        <f t="shared" ref="L241:L246" si="129">+D241-H241</f>
        <v>-2056.09</v>
      </c>
      <c r="M241" s="1"/>
      <c r="N241" s="5">
        <f t="shared" ref="N241:N246" si="130">IF(H241=0,0,L241/H241)</f>
        <v>-1</v>
      </c>
      <c r="O241" s="13"/>
      <c r="P241" s="1">
        <f>SUM(OSRRefP22_22x_0)</f>
        <v>145.63</v>
      </c>
      <c r="Q241" s="1"/>
      <c r="R241" s="5">
        <f t="shared" ref="R241:R246" si="131">IF(P$12=0,0,P241/P$12)</f>
        <v>3.755830147439171E-5</v>
      </c>
      <c r="S241" s="1"/>
      <c r="T241" s="1">
        <f>SUM(OSRRefT22_22x_0)</f>
        <v>9619.89</v>
      </c>
      <c r="U241" s="1"/>
      <c r="V241" s="5">
        <f t="shared" ref="V241:V246" si="132">IF(T$12=0,0,T241/T$12)</f>
        <v>1.2511863905823226E-3</v>
      </c>
      <c r="W241" s="1"/>
      <c r="X241" s="1">
        <f t="shared" ref="X241:X246" si="133">+P241-T241</f>
        <v>-9474.26</v>
      </c>
      <c r="Y241" s="1"/>
      <c r="Z241" s="5">
        <f t="shared" ref="Z241:Z246" si="134">IF(T241=0,0,X241/T241)</f>
        <v>-0.9848615732612328</v>
      </c>
    </row>
    <row r="242" spans="1:26" s="24" customFormat="1" hidden="1" outlineLevel="2" x14ac:dyDescent="0.25">
      <c r="A242" s="25"/>
      <c r="B242" s="11" t="str">
        <f>CONCATENATE("          ", "6376", " - ", "TRAINING")</f>
        <v xml:space="preserve">          6376 - TRAINING</v>
      </c>
      <c r="C242" s="11"/>
      <c r="D242" s="6"/>
      <c r="E242" s="2"/>
      <c r="F242" s="7">
        <f t="shared" si="127"/>
        <v>0</v>
      </c>
      <c r="G242" s="2"/>
      <c r="H242" s="6">
        <v>2056.09</v>
      </c>
      <c r="I242" s="2"/>
      <c r="J242" s="7">
        <f t="shared" si="128"/>
        <v>9.4601146014190415E-4</v>
      </c>
      <c r="K242" s="2"/>
      <c r="L242" s="6">
        <f t="shared" si="129"/>
        <v>-2056.09</v>
      </c>
      <c r="M242" s="2"/>
      <c r="N242" s="7">
        <f t="shared" si="130"/>
        <v>-1</v>
      </c>
      <c r="O242" s="11"/>
      <c r="P242" s="6">
        <v>145.63</v>
      </c>
      <c r="Q242" s="2"/>
      <c r="R242" s="7">
        <f t="shared" si="131"/>
        <v>3.755830147439171E-5</v>
      </c>
      <c r="S242" s="2"/>
      <c r="T242" s="6">
        <v>9619.89</v>
      </c>
      <c r="U242" s="2"/>
      <c r="V242" s="7">
        <f t="shared" si="132"/>
        <v>1.2511863905823226E-3</v>
      </c>
      <c r="W242" s="2"/>
      <c r="X242" s="6">
        <f t="shared" si="133"/>
        <v>-9474.26</v>
      </c>
      <c r="Y242" s="2"/>
      <c r="Z242" s="7">
        <f t="shared" si="134"/>
        <v>-0.9848615732612328</v>
      </c>
    </row>
    <row r="243" spans="1:26" s="26" customFormat="1" outlineLevel="1" collapsed="1" x14ac:dyDescent="0.25">
      <c r="A243" s="27"/>
      <c r="B243" s="13" t="str">
        <f>CONCATENATE("     ","Travel                                            ")</f>
        <v xml:space="preserve">     Travel                                            </v>
      </c>
      <c r="C243" s="13"/>
      <c r="D243" s="1">
        <f>SUM(OSRRefD22_23x_0)</f>
        <v>129.38</v>
      </c>
      <c r="E243" s="1"/>
      <c r="F243" s="5">
        <f t="shared" si="127"/>
        <v>1.0975347433835591E-4</v>
      </c>
      <c r="G243" s="1"/>
      <c r="H243" s="1">
        <f>SUM(OSRRefH22_23x_0)</f>
        <v>-472.06</v>
      </c>
      <c r="I243" s="1"/>
      <c r="J243" s="5">
        <f t="shared" si="128"/>
        <v>-2.171958279426422E-4</v>
      </c>
      <c r="K243" s="1"/>
      <c r="L243" s="1">
        <f t="shared" si="129"/>
        <v>601.44000000000005</v>
      </c>
      <c r="M243" s="1"/>
      <c r="N243" s="5">
        <f t="shared" si="130"/>
        <v>-1.2740753294072789</v>
      </c>
      <c r="O243" s="13"/>
      <c r="P243" s="1">
        <f>SUM(OSRRefP22_23x_0)</f>
        <v>810.31000000000006</v>
      </c>
      <c r="Q243" s="1"/>
      <c r="R243" s="5">
        <f t="shared" si="131"/>
        <v>2.0898075443050434E-4</v>
      </c>
      <c r="S243" s="1"/>
      <c r="T243" s="1">
        <f>SUM(OSRRefT22_23x_0)</f>
        <v>970.04</v>
      </c>
      <c r="U243" s="1"/>
      <c r="V243" s="5">
        <f t="shared" si="132"/>
        <v>1.2616577178330274E-4</v>
      </c>
      <c r="W243" s="1"/>
      <c r="X243" s="1">
        <f t="shared" si="133"/>
        <v>-159.7299999999999</v>
      </c>
      <c r="Y243" s="1"/>
      <c r="Z243" s="5">
        <f t="shared" si="134"/>
        <v>-0.16466331285307814</v>
      </c>
    </row>
    <row r="244" spans="1:26" s="24" customFormat="1" hidden="1" outlineLevel="2" x14ac:dyDescent="0.25">
      <c r="A244" s="25"/>
      <c r="B244" s="11" t="str">
        <f>CONCATENATE("          ", "6292", " - ", "TRAVEL/CONFERENCE")</f>
        <v xml:space="preserve">          6292 - TRAVEL/CONFERENCE</v>
      </c>
      <c r="C244" s="11"/>
      <c r="D244" s="6"/>
      <c r="E244" s="2"/>
      <c r="F244" s="7">
        <f t="shared" si="127"/>
        <v>0</v>
      </c>
      <c r="G244" s="2"/>
      <c r="H244" s="6"/>
      <c r="I244" s="2"/>
      <c r="J244" s="7">
        <f t="shared" si="128"/>
        <v>0</v>
      </c>
      <c r="K244" s="2"/>
      <c r="L244" s="6">
        <f t="shared" si="129"/>
        <v>0</v>
      </c>
      <c r="M244" s="2"/>
      <c r="N244" s="7">
        <f t="shared" si="130"/>
        <v>0</v>
      </c>
      <c r="O244" s="11"/>
      <c r="P244" s="6">
        <v>299.16000000000003</v>
      </c>
      <c r="Q244" s="2"/>
      <c r="R244" s="7">
        <f t="shared" si="131"/>
        <v>7.7154030550566675E-5</v>
      </c>
      <c r="S244" s="2"/>
      <c r="T244" s="6">
        <v>365.6</v>
      </c>
      <c r="U244" s="2"/>
      <c r="V244" s="7">
        <f t="shared" si="132"/>
        <v>4.7550829000840675E-5</v>
      </c>
      <c r="W244" s="2"/>
      <c r="X244" s="6">
        <f t="shared" si="133"/>
        <v>-66.44</v>
      </c>
      <c r="Y244" s="2"/>
      <c r="Z244" s="7">
        <f t="shared" si="134"/>
        <v>-0.18172866520787745</v>
      </c>
    </row>
    <row r="245" spans="1:26" s="24" customFormat="1" hidden="1" outlineLevel="2" x14ac:dyDescent="0.25">
      <c r="A245" s="25"/>
      <c r="B245" s="11" t="str">
        <f>CONCATENATE("          ", "6294", " - ", "TRAVEL OPERATIONAL")</f>
        <v xml:space="preserve">          6294 - TRAVEL OPERATIONAL</v>
      </c>
      <c r="C245" s="11"/>
      <c r="D245" s="6">
        <v>129.38</v>
      </c>
      <c r="E245" s="2"/>
      <c r="F245" s="7">
        <f t="shared" si="127"/>
        <v>1.0975347433835591E-4</v>
      </c>
      <c r="G245" s="2"/>
      <c r="H245" s="6">
        <v>-506.75</v>
      </c>
      <c r="I245" s="2"/>
      <c r="J245" s="7">
        <f t="shared" si="128"/>
        <v>-2.3315677204154968E-4</v>
      </c>
      <c r="K245" s="2"/>
      <c r="L245" s="6">
        <f t="shared" si="129"/>
        <v>636.13</v>
      </c>
      <c r="M245" s="2"/>
      <c r="N245" s="7">
        <f t="shared" si="130"/>
        <v>-1.2553132708436112</v>
      </c>
      <c r="O245" s="11"/>
      <c r="P245" s="6">
        <v>451.26</v>
      </c>
      <c r="Q245" s="2"/>
      <c r="R245" s="7">
        <f t="shared" si="131"/>
        <v>1.1638095944059604E-4</v>
      </c>
      <c r="S245" s="2"/>
      <c r="T245" s="6">
        <v>312.19</v>
      </c>
      <c r="U245" s="2"/>
      <c r="V245" s="7">
        <f t="shared" si="132"/>
        <v>4.0604193943578909E-5</v>
      </c>
      <c r="W245" s="2"/>
      <c r="X245" s="6">
        <f t="shared" si="133"/>
        <v>139.07</v>
      </c>
      <c r="Y245" s="2"/>
      <c r="Z245" s="7">
        <f t="shared" si="134"/>
        <v>0.44546590217495752</v>
      </c>
    </row>
    <row r="246" spans="1:26" s="24" customFormat="1" hidden="1" outlineLevel="2" x14ac:dyDescent="0.25">
      <c r="A246" s="25"/>
      <c r="B246" s="11" t="str">
        <f>CONCATENATE("          ", "6298", " - ", "VEHICLE MILEAGE")</f>
        <v xml:space="preserve">          6298 - VEHICLE MILEAGE</v>
      </c>
      <c r="C246" s="11"/>
      <c r="D246" s="6"/>
      <c r="E246" s="2"/>
      <c r="F246" s="7">
        <f t="shared" si="127"/>
        <v>0</v>
      </c>
      <c r="G246" s="2"/>
      <c r="H246" s="6">
        <v>34.69</v>
      </c>
      <c r="I246" s="2"/>
      <c r="J246" s="7">
        <f t="shared" si="128"/>
        <v>1.5960944098907463E-5</v>
      </c>
      <c r="K246" s="2"/>
      <c r="L246" s="6">
        <f t="shared" si="129"/>
        <v>-34.69</v>
      </c>
      <c r="M246" s="2"/>
      <c r="N246" s="7">
        <f t="shared" si="130"/>
        <v>-1</v>
      </c>
      <c r="O246" s="11"/>
      <c r="P246" s="6">
        <v>59.89</v>
      </c>
      <c r="Q246" s="2"/>
      <c r="R246" s="7">
        <f t="shared" si="131"/>
        <v>1.5445764439341616E-5</v>
      </c>
      <c r="S246" s="2"/>
      <c r="T246" s="6">
        <v>292.25</v>
      </c>
      <c r="U246" s="2"/>
      <c r="V246" s="7">
        <f t="shared" si="132"/>
        <v>3.8010748838883165E-5</v>
      </c>
      <c r="W246" s="2"/>
      <c r="X246" s="6">
        <f t="shared" si="133"/>
        <v>-232.36</v>
      </c>
      <c r="Y246" s="2"/>
      <c r="Z246" s="7">
        <f t="shared" si="134"/>
        <v>-0.7950727117194184</v>
      </c>
    </row>
    <row r="247" spans="1:26" s="26" customFormat="1" outlineLevel="1" collapsed="1" x14ac:dyDescent="0.25">
      <c r="A247" s="27"/>
      <c r="B247" s="13" t="str">
        <f>CONCATENATE("     ","Utilities                                         ")</f>
        <v xml:space="preserve">     Utilities                                         </v>
      </c>
      <c r="C247" s="13"/>
      <c r="D247" s="1">
        <f>SUM(OSRRefD22_24x_0)</f>
        <v>6165.61</v>
      </c>
      <c r="E247" s="1"/>
      <c r="F247" s="5">
        <f t="shared" ref="F247:F248" si="135">IF(D$12=0,0,D247/D$12)</f>
        <v>5.2303069942441693E-3</v>
      </c>
      <c r="G247" s="1"/>
      <c r="H247" s="1">
        <f>SUM(OSRRefH22_24x_0)</f>
        <v>6298.14</v>
      </c>
      <c r="I247" s="1"/>
      <c r="J247" s="5">
        <f t="shared" ref="J247:J248" si="136">IF(H$12=0,0,H247/H$12)</f>
        <v>2.8977878485757589E-3</v>
      </c>
      <c r="K247" s="1"/>
      <c r="L247" s="1">
        <f t="shared" ref="L247:L248" si="137">+D247-H247</f>
        <v>-132.53000000000065</v>
      </c>
      <c r="M247" s="1"/>
      <c r="N247" s="5">
        <f t="shared" ref="N247:N248" si="138">IF(H247=0,0,L247/H247)</f>
        <v>-2.1042720549241625E-2</v>
      </c>
      <c r="O247" s="13"/>
      <c r="P247" s="1">
        <f>SUM(OSRRefP22_24x_0)</f>
        <v>42927.03</v>
      </c>
      <c r="Q247" s="1"/>
      <c r="R247" s="5">
        <f t="shared" ref="R247:R248" si="139">IF(P$12=0,0,P247/P$12)</f>
        <v>1.1070976681592097E-2</v>
      </c>
      <c r="S247" s="1"/>
      <c r="T247" s="1">
        <f>SUM(OSRRefT22_24x_0)</f>
        <v>38332.82</v>
      </c>
      <c r="U247" s="1"/>
      <c r="V247" s="5">
        <f t="shared" ref="V247:V248" si="140">IF(T$12=0,0,T247/T$12)</f>
        <v>4.9856601995076728E-3</v>
      </c>
      <c r="W247" s="1"/>
      <c r="X247" s="1">
        <f t="shared" ref="X247:X248" si="141">+P247-T247</f>
        <v>4594.2099999999991</v>
      </c>
      <c r="Y247" s="1"/>
      <c r="Z247" s="5">
        <f t="shared" ref="Z247:Z248" si="142">IF(T247=0,0,X247/T247)</f>
        <v>0.1198505614770841</v>
      </c>
    </row>
    <row r="248" spans="1:26" s="24" customFormat="1" hidden="1" outlineLevel="2" x14ac:dyDescent="0.25">
      <c r="A248" s="25"/>
      <c r="B248" s="11" t="str">
        <f>CONCATENATE("          ", "6274", " - ", "UTILITIES")</f>
        <v xml:space="preserve">          6274 - UTILITIES</v>
      </c>
      <c r="C248" s="11"/>
      <c r="D248" s="6">
        <v>6165.61</v>
      </c>
      <c r="E248" s="2"/>
      <c r="F248" s="7">
        <f t="shared" si="135"/>
        <v>5.2303069942441693E-3</v>
      </c>
      <c r="G248" s="2"/>
      <c r="H248" s="6">
        <v>6298.14</v>
      </c>
      <c r="I248" s="2"/>
      <c r="J248" s="7">
        <f t="shared" si="136"/>
        <v>2.8977878485757589E-3</v>
      </c>
      <c r="K248" s="2"/>
      <c r="L248" s="6">
        <f t="shared" si="137"/>
        <v>-132.53000000000065</v>
      </c>
      <c r="M248" s="2"/>
      <c r="N248" s="7">
        <f t="shared" si="138"/>
        <v>-2.1042720549241625E-2</v>
      </c>
      <c r="O248" s="11"/>
      <c r="P248" s="6">
        <v>42927.03</v>
      </c>
      <c r="Q248" s="2"/>
      <c r="R248" s="7">
        <f t="shared" si="139"/>
        <v>1.1070976681592097E-2</v>
      </c>
      <c r="S248" s="2"/>
      <c r="T248" s="6">
        <v>38332.82</v>
      </c>
      <c r="U248" s="2"/>
      <c r="V248" s="7">
        <f t="shared" si="140"/>
        <v>4.9856601995076728E-3</v>
      </c>
      <c r="W248" s="2"/>
      <c r="X248" s="6">
        <f t="shared" si="141"/>
        <v>4594.2099999999991</v>
      </c>
      <c r="Y248" s="2"/>
      <c r="Z248" s="7">
        <f t="shared" si="142"/>
        <v>0.1198505614770841</v>
      </c>
    </row>
    <row r="249" spans="1:26" s="61" customFormat="1" x14ac:dyDescent="0.25">
      <c r="A249" s="37"/>
      <c r="B249" s="37"/>
      <c r="C249" s="37"/>
      <c r="D249" s="1"/>
      <c r="E249" s="1"/>
      <c r="F249" s="5"/>
      <c r="G249" s="1"/>
      <c r="H249" s="1"/>
      <c r="I249" s="1"/>
      <c r="J249" s="5"/>
      <c r="K249" s="1"/>
      <c r="L249" s="1"/>
      <c r="M249" s="1"/>
      <c r="N249" s="5"/>
      <c r="O249" s="37"/>
      <c r="P249" s="1"/>
      <c r="Q249" s="1"/>
      <c r="R249" s="5"/>
      <c r="S249" s="1"/>
      <c r="T249" s="1"/>
      <c r="U249" s="1"/>
      <c r="V249" s="5"/>
      <c r="W249" s="1"/>
      <c r="X249" s="1"/>
      <c r="Y249" s="1"/>
      <c r="Z249" s="5"/>
    </row>
    <row r="250" spans="1:26" s="23" customFormat="1" collapsed="1" x14ac:dyDescent="0.25">
      <c r="A250" s="10"/>
      <c r="B250" s="29" t="s">
        <v>0</v>
      </c>
      <c r="C250" s="10"/>
      <c r="D250" s="4">
        <f>SUM(OSRRefD25x_0)</f>
        <v>31989.34</v>
      </c>
      <c r="E250" s="4"/>
      <c r="F250" s="12">
        <f t="shared" ref="F250:F259" si="143">IF(D$12=0,0,D250/D$12)</f>
        <v>2.7136661051097098E-2</v>
      </c>
      <c r="G250" s="4"/>
      <c r="H250" s="4">
        <f>SUM(OSRRefH25x_0)</f>
        <v>43280.39</v>
      </c>
      <c r="I250" s="4"/>
      <c r="J250" s="12">
        <f t="shared" ref="J250:J259" si="144">IF(H$12=0,0,H250/H$12)</f>
        <v>1.991340113487788E-2</v>
      </c>
      <c r="K250" s="4"/>
      <c r="L250" s="4">
        <f t="shared" ref="L250:L259" si="145">+D250-H250</f>
        <v>-11291.05</v>
      </c>
      <c r="M250" s="4"/>
      <c r="N250" s="12">
        <f t="shared" ref="N250:N259" si="146">IF(H250=0,0,L250/H250)</f>
        <v>-0.26088142921078111</v>
      </c>
      <c r="O250" s="10"/>
      <c r="P250" s="4">
        <f>SUM(OSRRefP25x_0)</f>
        <v>576378.61</v>
      </c>
      <c r="Q250" s="4"/>
      <c r="R250" s="12">
        <f t="shared" ref="R250:R259" si="147">IF(P$12=0,0,P250/P$12)</f>
        <v>0.1486493277330965</v>
      </c>
      <c r="S250" s="4"/>
      <c r="T250" s="4">
        <f>SUM(OSRRefT25x_0)</f>
        <v>466746.72</v>
      </c>
      <c r="U250" s="4"/>
      <c r="V250" s="12">
        <f t="shared" ref="V250:V259" si="148">IF(T$12=0,0,T250/T$12)</f>
        <v>6.0706218461223357E-2</v>
      </c>
      <c r="W250" s="4"/>
      <c r="X250" s="4">
        <f t="shared" ref="X250:X259" si="149">+P250-T250</f>
        <v>109631.89000000001</v>
      </c>
      <c r="Y250" s="4"/>
      <c r="Z250" s="12">
        <f t="shared" ref="Z250:Z259" si="150">IF(T250=0,0,X250/T250)</f>
        <v>0.23488518569557387</v>
      </c>
    </row>
    <row r="251" spans="1:26" s="24" customFormat="1" hidden="1" outlineLevel="1" x14ac:dyDescent="0.25">
      <c r="A251" s="44"/>
      <c r="B251" s="11" t="str">
        <f>CONCATENATE("          ", "4098", " - ", "TAXABLE SALES-GRAD RENTALS")</f>
        <v xml:space="preserve">          4098 - TAXABLE SALES-GRAD RENTALS</v>
      </c>
      <c r="C251" s="11"/>
      <c r="D251" s="2">
        <f t="shared" ref="D251:D253" si="151">0</f>
        <v>0</v>
      </c>
      <c r="E251" s="2"/>
      <c r="F251" s="19">
        <f t="shared" si="143"/>
        <v>0</v>
      </c>
      <c r="G251" s="2"/>
      <c r="H251" s="2">
        <f>--320</f>
        <v>320</v>
      </c>
      <c r="I251" s="2"/>
      <c r="J251" s="19">
        <f t="shared" si="144"/>
        <v>1.4723269275440729E-4</v>
      </c>
      <c r="K251" s="2"/>
      <c r="L251" s="2">
        <f t="shared" si="145"/>
        <v>-320</v>
      </c>
      <c r="M251" s="2"/>
      <c r="N251" s="19">
        <f t="shared" si="146"/>
        <v>-1</v>
      </c>
      <c r="O251" s="11"/>
      <c r="P251" s="2">
        <f t="shared" ref="P251:P253" si="152">0</f>
        <v>0</v>
      </c>
      <c r="Q251" s="2"/>
      <c r="R251" s="19">
        <f t="shared" si="147"/>
        <v>0</v>
      </c>
      <c r="S251" s="2"/>
      <c r="T251" s="2">
        <f>--1946.85</f>
        <v>1946.85</v>
      </c>
      <c r="U251" s="2"/>
      <c r="V251" s="19">
        <f t="shared" si="148"/>
        <v>2.5321206630275344E-4</v>
      </c>
      <c r="W251" s="2"/>
      <c r="X251" s="2">
        <f t="shared" si="149"/>
        <v>-1946.85</v>
      </c>
      <c r="Y251" s="2"/>
      <c r="Z251" s="19">
        <f t="shared" si="150"/>
        <v>-1</v>
      </c>
    </row>
    <row r="252" spans="1:26" s="24" customFormat="1" hidden="1" outlineLevel="1" x14ac:dyDescent="0.25">
      <c r="A252" s="44"/>
      <c r="B252" s="11" t="str">
        <f>CONCATENATE("          ", "4197", " - ", "NON-TAXABLE SALES-RETURNED CHE")</f>
        <v xml:space="preserve">          4197 - NON-TAXABLE SALES-RETURNED CHE</v>
      </c>
      <c r="C252" s="11"/>
      <c r="D252" s="2">
        <f t="shared" si="151"/>
        <v>0</v>
      </c>
      <c r="E252" s="2"/>
      <c r="F252" s="19">
        <f t="shared" si="143"/>
        <v>0</v>
      </c>
      <c r="G252" s="2"/>
      <c r="H252" s="2">
        <f>0</f>
        <v>0</v>
      </c>
      <c r="I252" s="2"/>
      <c r="J252" s="19">
        <f t="shared" si="144"/>
        <v>0</v>
      </c>
      <c r="K252" s="2"/>
      <c r="L252" s="2">
        <f t="shared" si="145"/>
        <v>0</v>
      </c>
      <c r="M252" s="2"/>
      <c r="N252" s="19">
        <f t="shared" si="146"/>
        <v>0</v>
      </c>
      <c r="O252" s="11"/>
      <c r="P252" s="2">
        <f t="shared" si="152"/>
        <v>0</v>
      </c>
      <c r="Q252" s="2"/>
      <c r="R252" s="19">
        <f t="shared" si="147"/>
        <v>0</v>
      </c>
      <c r="S252" s="2"/>
      <c r="T252" s="2">
        <f>--30</f>
        <v>30</v>
      </c>
      <c r="U252" s="2"/>
      <c r="V252" s="19">
        <f t="shared" si="148"/>
        <v>3.9018732768742345E-6</v>
      </c>
      <c r="W252" s="2"/>
      <c r="X252" s="2">
        <f t="shared" si="149"/>
        <v>-30</v>
      </c>
      <c r="Y252" s="2"/>
      <c r="Z252" s="19">
        <f t="shared" si="150"/>
        <v>-1</v>
      </c>
    </row>
    <row r="253" spans="1:26" s="24" customFormat="1" hidden="1" outlineLevel="1" x14ac:dyDescent="0.25">
      <c r="A253" s="44"/>
      <c r="B253" s="11" t="str">
        <f>CONCATENATE("          ", "4198", " - ", "NON-TAXABLE SALES-GRAD RENTALS")</f>
        <v xml:space="preserve">          4198 - NON-TAXABLE SALES-GRAD RENTALS</v>
      </c>
      <c r="C253" s="11"/>
      <c r="D253" s="2">
        <f t="shared" si="151"/>
        <v>0</v>
      </c>
      <c r="E253" s="2"/>
      <c r="F253" s="19">
        <f t="shared" si="143"/>
        <v>0</v>
      </c>
      <c r="G253" s="2"/>
      <c r="H253" s="2">
        <f>--3237.1</f>
        <v>3237.1</v>
      </c>
      <c r="I253" s="2"/>
      <c r="J253" s="19">
        <f t="shared" si="144"/>
        <v>1.4893967178602871E-3</v>
      </c>
      <c r="K253" s="2"/>
      <c r="L253" s="2">
        <f t="shared" si="145"/>
        <v>-3237.1</v>
      </c>
      <c r="M253" s="2"/>
      <c r="N253" s="19">
        <f t="shared" si="146"/>
        <v>-1</v>
      </c>
      <c r="O253" s="11"/>
      <c r="P253" s="2">
        <f t="shared" si="152"/>
        <v>0</v>
      </c>
      <c r="Q253" s="2"/>
      <c r="R253" s="19">
        <f t="shared" si="147"/>
        <v>0</v>
      </c>
      <c r="S253" s="2"/>
      <c r="T253" s="2">
        <f>--3732.1</f>
        <v>3732.1</v>
      </c>
      <c r="U253" s="2"/>
      <c r="V253" s="19">
        <f t="shared" si="148"/>
        <v>4.8540604188741099E-4</v>
      </c>
      <c r="W253" s="2"/>
      <c r="X253" s="2">
        <f t="shared" si="149"/>
        <v>-3732.1</v>
      </c>
      <c r="Y253" s="2"/>
      <c r="Z253" s="19">
        <f t="shared" si="150"/>
        <v>-1</v>
      </c>
    </row>
    <row r="254" spans="1:26" s="24" customFormat="1" hidden="1" outlineLevel="1" x14ac:dyDescent="0.25">
      <c r="A254" s="44"/>
      <c r="B254" s="11" t="str">
        <f>CONCATENATE("          ", "9150", " - ", "MISC. INCOME")</f>
        <v xml:space="preserve">          9150 - MISC. INCOME</v>
      </c>
      <c r="C254" s="11"/>
      <c r="D254" s="2">
        <f>--29871.01</f>
        <v>29871.01</v>
      </c>
      <c r="E254" s="2"/>
      <c r="F254" s="19">
        <f t="shared" si="143"/>
        <v>2.533967482992559E-2</v>
      </c>
      <c r="G254" s="2"/>
      <c r="H254" s="2">
        <f>--40793.32</f>
        <v>40793.32</v>
      </c>
      <c r="I254" s="2"/>
      <c r="J254" s="19">
        <f t="shared" si="144"/>
        <v>1.8769094843725683E-2</v>
      </c>
      <c r="K254" s="2"/>
      <c r="L254" s="2">
        <f t="shared" si="145"/>
        <v>-10922.310000000001</v>
      </c>
      <c r="M254" s="2"/>
      <c r="N254" s="19">
        <f t="shared" si="146"/>
        <v>-0.26774751356349524</v>
      </c>
      <c r="O254" s="11"/>
      <c r="P254" s="2">
        <f>--248483.12</f>
        <v>248483.12</v>
      </c>
      <c r="Q254" s="2"/>
      <c r="R254" s="19">
        <f t="shared" si="147"/>
        <v>6.4084350286736605E-2</v>
      </c>
      <c r="S254" s="2"/>
      <c r="T254" s="2">
        <f>--286352.98</f>
        <v>286352.98</v>
      </c>
      <c r="U254" s="2"/>
      <c r="V254" s="19">
        <f t="shared" si="148"/>
        <v>3.7243768013843402E-2</v>
      </c>
      <c r="W254" s="2"/>
      <c r="X254" s="2">
        <f t="shared" si="149"/>
        <v>-37869.859999999986</v>
      </c>
      <c r="Y254" s="2"/>
      <c r="Z254" s="19">
        <f t="shared" si="150"/>
        <v>-0.13224887689312675</v>
      </c>
    </row>
    <row r="255" spans="1:26" s="24" customFormat="1" hidden="1" outlineLevel="1" x14ac:dyDescent="0.25">
      <c r="A255" s="44"/>
      <c r="B255" s="11" t="str">
        <f>CONCATENATE("          ", "9151", " - ", "MISC. INCOME")</f>
        <v xml:space="preserve">          9151 - MISC. INCOME</v>
      </c>
      <c r="C255" s="11"/>
      <c r="D255" s="2">
        <f>--1972</f>
        <v>1972</v>
      </c>
      <c r="E255" s="2"/>
      <c r="F255" s="19">
        <f t="shared" si="143"/>
        <v>1.6728540067648622E-3</v>
      </c>
      <c r="G255" s="2"/>
      <c r="H255" s="2">
        <f>-1539.13</f>
        <v>-1539.13</v>
      </c>
      <c r="I255" s="2"/>
      <c r="J255" s="19">
        <f t="shared" si="144"/>
        <v>-7.0815704499715916E-4</v>
      </c>
      <c r="K255" s="2"/>
      <c r="L255" s="2">
        <f t="shared" si="145"/>
        <v>3511.13</v>
      </c>
      <c r="M255" s="2"/>
      <c r="N255" s="19">
        <f t="shared" si="146"/>
        <v>-2.2812432997862429</v>
      </c>
      <c r="O255" s="11"/>
      <c r="P255" s="2">
        <f>--149257.39</f>
        <v>149257.39000000001</v>
      </c>
      <c r="Q255" s="2"/>
      <c r="R255" s="19">
        <f t="shared" si="147"/>
        <v>3.8493813437484439E-2</v>
      </c>
      <c r="S255" s="2"/>
      <c r="T255" s="2">
        <f>--85953.38</f>
        <v>85953.38</v>
      </c>
      <c r="U255" s="2"/>
      <c r="V255" s="19">
        <f t="shared" si="148"/>
        <v>1.1179306549300544E-2</v>
      </c>
      <c r="W255" s="2"/>
      <c r="X255" s="2">
        <f t="shared" si="149"/>
        <v>63304.010000000009</v>
      </c>
      <c r="Y255" s="2"/>
      <c r="Z255" s="19">
        <f t="shared" si="150"/>
        <v>0.73649238691951391</v>
      </c>
    </row>
    <row r="256" spans="1:26" s="24" customFormat="1" hidden="1" outlineLevel="1" x14ac:dyDescent="0.25">
      <c r="A256" s="44"/>
      <c r="B256" s="11" t="str">
        <f>CONCATENATE("          ", "9152", " - ", "MISC. INCOME")</f>
        <v xml:space="preserve">          9152 - MISC. INCOME</v>
      </c>
      <c r="C256" s="11"/>
      <c r="D256" s="2">
        <f>--146.33</f>
        <v>146.33000000000001</v>
      </c>
      <c r="E256" s="2"/>
      <c r="F256" s="19">
        <f t="shared" si="143"/>
        <v>1.2413221440664416E-4</v>
      </c>
      <c r="G256" s="2"/>
      <c r="H256" s="2">
        <f>--469.1</f>
        <v>469.1</v>
      </c>
      <c r="I256" s="2"/>
      <c r="J256" s="19">
        <f t="shared" si="144"/>
        <v>2.1583392553466396E-4</v>
      </c>
      <c r="K256" s="2"/>
      <c r="L256" s="2">
        <f t="shared" si="145"/>
        <v>-322.77</v>
      </c>
      <c r="M256" s="2"/>
      <c r="N256" s="19">
        <f t="shared" si="146"/>
        <v>-0.68806224685568107</v>
      </c>
      <c r="O256" s="11"/>
      <c r="P256" s="2">
        <f>--3232.26</f>
        <v>3232.26</v>
      </c>
      <c r="Q256" s="2"/>
      <c r="R256" s="19">
        <f t="shared" si="147"/>
        <v>8.3360705571391437E-4</v>
      </c>
      <c r="S256" s="2"/>
      <c r="T256" s="2">
        <f>--4699.86</f>
        <v>4699.8599999999997</v>
      </c>
      <c r="U256" s="2"/>
      <c r="V256" s="19">
        <f t="shared" si="148"/>
        <v>6.1127527130167122E-4</v>
      </c>
      <c r="W256" s="2"/>
      <c r="X256" s="2">
        <f t="shared" si="149"/>
        <v>-1467.5999999999995</v>
      </c>
      <c r="Y256" s="2"/>
      <c r="Z256" s="19">
        <f t="shared" si="150"/>
        <v>-0.31226462064827454</v>
      </c>
    </row>
    <row r="257" spans="1:26" s="24" customFormat="1" hidden="1" outlineLevel="1" x14ac:dyDescent="0.25">
      <c r="A257" s="44"/>
      <c r="B257" s="11" t="str">
        <f>CONCATENATE("          ", "9153", " - ", "MISC. INCOME")</f>
        <v xml:space="preserve">          9153 - MISC. INCOME</v>
      </c>
      <c r="C257" s="11"/>
      <c r="D257" s="2">
        <f t="shared" ref="D257:D259" si="153">0</f>
        <v>0</v>
      </c>
      <c r="E257" s="2"/>
      <c r="F257" s="19">
        <f t="shared" si="143"/>
        <v>0</v>
      </c>
      <c r="G257" s="2"/>
      <c r="H257" s="2">
        <f t="shared" ref="H257:H259" si="154">0</f>
        <v>0</v>
      </c>
      <c r="I257" s="2"/>
      <c r="J257" s="19">
        <f t="shared" si="144"/>
        <v>0</v>
      </c>
      <c r="K257" s="2"/>
      <c r="L257" s="2">
        <f t="shared" si="145"/>
        <v>0</v>
      </c>
      <c r="M257" s="2"/>
      <c r="N257" s="19">
        <f t="shared" si="146"/>
        <v>0</v>
      </c>
      <c r="O257" s="11"/>
      <c r="P257" s="2">
        <f t="shared" ref="P257:P258" si="155">0</f>
        <v>0</v>
      </c>
      <c r="Q257" s="2"/>
      <c r="R257" s="19">
        <f t="shared" si="147"/>
        <v>0</v>
      </c>
      <c r="S257" s="2"/>
      <c r="T257" s="2">
        <f>--450</f>
        <v>450</v>
      </c>
      <c r="U257" s="2"/>
      <c r="V257" s="19">
        <f t="shared" si="148"/>
        <v>5.8528099153113514E-5</v>
      </c>
      <c r="W257" s="2"/>
      <c r="X257" s="2">
        <f t="shared" si="149"/>
        <v>-450</v>
      </c>
      <c r="Y257" s="2"/>
      <c r="Z257" s="19">
        <f t="shared" si="150"/>
        <v>-1</v>
      </c>
    </row>
    <row r="258" spans="1:26" s="24" customFormat="1" hidden="1" outlineLevel="1" x14ac:dyDescent="0.25">
      <c r="A258" s="44"/>
      <c r="B258" s="11" t="str">
        <f>CONCATENATE("          ", "9160", " - ", "MISC. INCOME")</f>
        <v xml:space="preserve">          9160 - MISC. INCOME</v>
      </c>
      <c r="C258" s="11"/>
      <c r="D258" s="2">
        <f t="shared" si="153"/>
        <v>0</v>
      </c>
      <c r="E258" s="2"/>
      <c r="F258" s="19">
        <f t="shared" si="143"/>
        <v>0</v>
      </c>
      <c r="G258" s="2"/>
      <c r="H258" s="2">
        <f t="shared" si="154"/>
        <v>0</v>
      </c>
      <c r="I258" s="2"/>
      <c r="J258" s="19">
        <f t="shared" si="144"/>
        <v>0</v>
      </c>
      <c r="K258" s="2"/>
      <c r="L258" s="2">
        <f t="shared" si="145"/>
        <v>0</v>
      </c>
      <c r="M258" s="2"/>
      <c r="N258" s="19">
        <f t="shared" si="146"/>
        <v>0</v>
      </c>
      <c r="O258" s="11"/>
      <c r="P258" s="2">
        <f t="shared" si="155"/>
        <v>0</v>
      </c>
      <c r="Q258" s="2"/>
      <c r="R258" s="19">
        <f t="shared" si="147"/>
        <v>0</v>
      </c>
      <c r="S258" s="2"/>
      <c r="T258" s="2">
        <f>--22475</f>
        <v>22475</v>
      </c>
      <c r="U258" s="2"/>
      <c r="V258" s="19">
        <f t="shared" si="148"/>
        <v>2.9231533965916141E-3</v>
      </c>
      <c r="W258" s="2"/>
      <c r="X258" s="2">
        <f t="shared" si="149"/>
        <v>-22475</v>
      </c>
      <c r="Y258" s="2"/>
      <c r="Z258" s="19">
        <f t="shared" si="150"/>
        <v>-1</v>
      </c>
    </row>
    <row r="259" spans="1:26" s="24" customFormat="1" hidden="1" outlineLevel="1" x14ac:dyDescent="0.25">
      <c r="A259" s="44"/>
      <c r="B259" s="11" t="str">
        <f>CONCATENATE("          ", "9163", " - ", "MISC. INCOME")</f>
        <v xml:space="preserve">          9163 - MISC. INCOME</v>
      </c>
      <c r="C259" s="11"/>
      <c r="D259" s="2">
        <f t="shared" si="153"/>
        <v>0</v>
      </c>
      <c r="E259" s="2"/>
      <c r="F259" s="19">
        <f t="shared" si="143"/>
        <v>0</v>
      </c>
      <c r="G259" s="2"/>
      <c r="H259" s="2">
        <f t="shared" si="154"/>
        <v>0</v>
      </c>
      <c r="I259" s="2"/>
      <c r="J259" s="19">
        <f t="shared" si="144"/>
        <v>0</v>
      </c>
      <c r="K259" s="2"/>
      <c r="L259" s="2">
        <f t="shared" si="145"/>
        <v>0</v>
      </c>
      <c r="M259" s="2"/>
      <c r="N259" s="19">
        <f t="shared" si="146"/>
        <v>0</v>
      </c>
      <c r="O259" s="11"/>
      <c r="P259" s="2">
        <f>--175405.84</f>
        <v>175405.84</v>
      </c>
      <c r="Q259" s="2"/>
      <c r="R259" s="19">
        <f t="shared" si="147"/>
        <v>4.5237556953161548E-2</v>
      </c>
      <c r="S259" s="2"/>
      <c r="T259" s="2">
        <f>--61106.55</f>
        <v>61106.55</v>
      </c>
      <c r="U259" s="2"/>
      <c r="V259" s="19">
        <f t="shared" si="148"/>
        <v>7.9476671495659762E-3</v>
      </c>
      <c r="W259" s="2"/>
      <c r="X259" s="2">
        <f t="shared" si="149"/>
        <v>114299.29</v>
      </c>
      <c r="Y259" s="2"/>
      <c r="Z259" s="19">
        <f t="shared" si="150"/>
        <v>1.8704916248749108</v>
      </c>
    </row>
    <row r="260" spans="1:26" x14ac:dyDescent="0.25">
      <c r="A260" s="9"/>
      <c r="B260" s="10"/>
      <c r="C260" s="10"/>
      <c r="D260" s="3"/>
      <c r="E260" s="3"/>
      <c r="F260" s="8"/>
      <c r="G260" s="3"/>
      <c r="H260" s="3"/>
      <c r="I260" s="3"/>
      <c r="J260" s="8"/>
      <c r="K260" s="3"/>
      <c r="L260" s="3"/>
      <c r="M260" s="3"/>
      <c r="N260" s="8"/>
      <c r="O260" s="10"/>
      <c r="P260" s="3"/>
      <c r="Q260" s="3"/>
      <c r="R260" s="8"/>
      <c r="S260" s="3"/>
      <c r="T260" s="3"/>
      <c r="U260" s="3"/>
      <c r="V260" s="8"/>
      <c r="W260" s="3"/>
      <c r="X260" s="3"/>
      <c r="Y260" s="3"/>
      <c r="Z260" s="8"/>
    </row>
    <row r="261" spans="1:26" s="23" customFormat="1" x14ac:dyDescent="0.25">
      <c r="A261" s="10"/>
      <c r="B261" s="28" t="s">
        <v>3</v>
      </c>
      <c r="C261" s="28"/>
      <c r="D261" s="20">
        <f>+D159-D161+D250</f>
        <v>140249.45999999982</v>
      </c>
      <c r="E261" s="14"/>
      <c r="F261" s="22">
        <f>IF(D$12=0,0,D261/D$12)</f>
        <v>0.11897407256978092</v>
      </c>
      <c r="G261" s="14"/>
      <c r="H261" s="20">
        <f>+H159-H161+H250</f>
        <v>557193.27</v>
      </c>
      <c r="I261" s="14"/>
      <c r="J261" s="22">
        <f>IF(H$12=0,0,H261/H$12)</f>
        <v>0.25636582977104222</v>
      </c>
      <c r="K261" s="15"/>
      <c r="L261" s="20">
        <f>+D261-H261</f>
        <v>-416943.81000000017</v>
      </c>
      <c r="M261" s="15"/>
      <c r="N261" s="22">
        <f>IF(H261=0,0,L261/H261)</f>
        <v>-0.74829297561329156</v>
      </c>
      <c r="O261" s="29"/>
      <c r="P261" s="20">
        <f>+P159-P161+P250</f>
        <v>41204.789999999921</v>
      </c>
      <c r="Q261" s="14"/>
      <c r="R261" s="22">
        <f>IF(P$12=0,0,P261/P$12)</f>
        <v>1.0626807148314205E-2</v>
      </c>
      <c r="S261" s="14"/>
      <c r="T261" s="20">
        <f>+T159-T161+T250</f>
        <v>1035330.569999994</v>
      </c>
      <c r="U261" s="14"/>
      <c r="V261" s="22">
        <f>IF(T$12=0,0,T261/T$12)</f>
        <v>0.1346576227937982</v>
      </c>
      <c r="W261" s="15"/>
      <c r="X261" s="20">
        <f>+P261-T261</f>
        <v>-994125.77999999409</v>
      </c>
      <c r="Y261" s="15"/>
      <c r="Z261" s="22">
        <f>IF(T261=0,0,X261/T261)</f>
        <v>-0.96020132004795322</v>
      </c>
    </row>
    <row r="262" spans="1:26" x14ac:dyDescent="0.25">
      <c r="A262" s="9"/>
      <c r="B262" s="10"/>
      <c r="C262" s="9"/>
      <c r="D262" s="3"/>
      <c r="E262" s="3"/>
      <c r="F262" s="8"/>
      <c r="G262" s="3"/>
      <c r="H262" s="3"/>
      <c r="I262" s="3"/>
      <c r="J262" s="8"/>
      <c r="K262" s="3"/>
      <c r="L262" s="3"/>
      <c r="M262" s="3"/>
      <c r="N262" s="8"/>
      <c r="P262" s="3"/>
      <c r="Q262" s="3"/>
      <c r="R262" s="8"/>
      <c r="S262" s="3"/>
      <c r="T262" s="3"/>
      <c r="U262" s="3"/>
      <c r="V262" s="8"/>
      <c r="W262" s="3"/>
      <c r="X262" s="3"/>
      <c r="Y262" s="3"/>
      <c r="Z262" s="8"/>
    </row>
    <row r="263" spans="1:26" s="23" customFormat="1" x14ac:dyDescent="0.25">
      <c r="A263" s="51"/>
      <c r="B263" s="10" t="s">
        <v>13</v>
      </c>
      <c r="C263" s="10"/>
      <c r="D263" s="4">
        <v>204556.79999999999</v>
      </c>
      <c r="E263" s="4"/>
      <c r="F263" s="12">
        <f>IF(D$12=0,0,D263/D$12)</f>
        <v>0.17352619801774774</v>
      </c>
      <c r="G263" s="4"/>
      <c r="H263" s="4">
        <v>206131.23</v>
      </c>
      <c r="I263" s="4"/>
      <c r="J263" s="12">
        <f>IF(H$12=0,0,H263/H$12)</f>
        <v>9.4841425167743951E-2</v>
      </c>
      <c r="K263" s="4"/>
      <c r="L263" s="4">
        <f>+D263-H263</f>
        <v>-1574.4300000000221</v>
      </c>
      <c r="M263" s="4"/>
      <c r="N263" s="12">
        <f>IF(H263=0,0,L263/H263)</f>
        <v>-7.637998376083149E-3</v>
      </c>
      <c r="O263" s="10"/>
      <c r="P263" s="4">
        <v>703857.65</v>
      </c>
      <c r="Q263" s="4"/>
      <c r="R263" s="12">
        <f>IF(P$12=0,0,P263/P$12)</f>
        <v>0.18152645618180926</v>
      </c>
      <c r="S263" s="4"/>
      <c r="T263" s="4">
        <v>801813.61</v>
      </c>
      <c r="U263" s="4"/>
      <c r="V263" s="12">
        <f>IF(T$12=0,0,T263/T$12)</f>
        <v>0.10428583659643531</v>
      </c>
      <c r="W263" s="4"/>
      <c r="X263" s="4">
        <f>+P263-T263</f>
        <v>-97955.959999999963</v>
      </c>
      <c r="Y263" s="4"/>
      <c r="Z263" s="12">
        <f>IF(T263=0,0,X263/T263)</f>
        <v>-0.12216799363133779</v>
      </c>
    </row>
    <row r="264" spans="1:26" x14ac:dyDescent="0.25">
      <c r="A264" s="9"/>
      <c r="B264" s="10"/>
      <c r="C264" s="10"/>
      <c r="D264" s="3"/>
      <c r="E264" s="3"/>
      <c r="F264" s="8"/>
      <c r="G264" s="3"/>
      <c r="H264" s="3"/>
      <c r="I264" s="3"/>
      <c r="J264" s="8"/>
      <c r="K264" s="3"/>
      <c r="L264" s="3"/>
      <c r="M264" s="3"/>
      <c r="N264" s="8"/>
      <c r="O264" s="10"/>
      <c r="P264" s="3"/>
      <c r="Q264" s="3"/>
      <c r="R264" s="8"/>
      <c r="S264" s="3"/>
      <c r="T264" s="3"/>
      <c r="U264" s="3"/>
      <c r="V264" s="8"/>
      <c r="W264" s="3"/>
      <c r="X264" s="3"/>
      <c r="Y264" s="3"/>
      <c r="Z264" s="8"/>
    </row>
    <row r="265" spans="1:26" s="23" customFormat="1" ht="15.75" thickBot="1" x14ac:dyDescent="0.3">
      <c r="A265" s="10"/>
      <c r="B265" s="28" t="s">
        <v>4</v>
      </c>
      <c r="C265" s="28"/>
      <c r="D265" s="30">
        <f>+D261-D263</f>
        <v>-64307.340000000171</v>
      </c>
      <c r="E265" s="14"/>
      <c r="F265" s="36">
        <f>IF(D$12=0,0,D265/D$12)</f>
        <v>-5.4552125447966823E-2</v>
      </c>
      <c r="G265" s="14"/>
      <c r="H265" s="30">
        <f>+H261-H263</f>
        <v>351062.04000000004</v>
      </c>
      <c r="I265" s="14"/>
      <c r="J265" s="36">
        <f>IF(H$12=0,0,H265/H$12)</f>
        <v>0.16152440460329828</v>
      </c>
      <c r="K265" s="15"/>
      <c r="L265" s="30">
        <f>D265-H265</f>
        <v>-415369.38000000024</v>
      </c>
      <c r="M265" s="15"/>
      <c r="N265" s="36">
        <f>IF(H265=0,0,L265/H265)</f>
        <v>-1.1831794175183401</v>
      </c>
      <c r="O265" s="29"/>
      <c r="P265" s="30">
        <f>+P261-P263</f>
        <v>-662652.8600000001</v>
      </c>
      <c r="Q265" s="14"/>
      <c r="R265" s="36">
        <f>IF(P$12=0,0,P265/P$12)</f>
        <v>-0.17089964903349505</v>
      </c>
      <c r="S265" s="14"/>
      <c r="T265" s="30">
        <f>+T261-T263</f>
        <v>233516.95999999403</v>
      </c>
      <c r="U265" s="14"/>
      <c r="V265" s="36">
        <f>IF(T$12=0,0,T265/T$12)</f>
        <v>3.0371786197362874E-2</v>
      </c>
      <c r="W265" s="15"/>
      <c r="X265" s="30">
        <f>P265-T265</f>
        <v>-896169.81999999413</v>
      </c>
      <c r="Y265" s="15"/>
      <c r="Z265" s="36">
        <f>IF(T265=0,0,X265/T265)</f>
        <v>-3.8377076337411085</v>
      </c>
    </row>
    <row r="266" spans="1:26" ht="15.75" thickTop="1" x14ac:dyDescent="0.25">
      <c r="A266" s="9"/>
      <c r="B266" s="9"/>
      <c r="C266" s="9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x14ac:dyDescent="0.25">
      <c r="A267" s="9"/>
      <c r="B267" s="9"/>
      <c r="C267" s="9"/>
      <c r="D267" s="3"/>
      <c r="E267" s="3"/>
      <c r="F267" s="8"/>
      <c r="G267" s="3"/>
      <c r="H267" s="3"/>
      <c r="I267" s="3"/>
      <c r="J267" s="8"/>
      <c r="K267" s="3"/>
      <c r="L267" s="3"/>
      <c r="M267" s="3"/>
      <c r="N267" s="8"/>
      <c r="P267" s="3"/>
      <c r="Q267" s="3"/>
      <c r="R267" s="8"/>
      <c r="S267" s="3"/>
      <c r="T267" s="3"/>
      <c r="U267" s="3"/>
      <c r="V267" s="8"/>
      <c r="W267" s="3"/>
      <c r="X267" s="3"/>
      <c r="Y267" s="3"/>
      <c r="Z267" s="8"/>
    </row>
    <row r="268" spans="1:26" s="23" customFormat="1" ht="15.75" thickBot="1" x14ac:dyDescent="0.3">
      <c r="A268" s="10"/>
      <c r="B268" s="28" t="s">
        <v>5</v>
      </c>
      <c r="C268" s="28"/>
      <c r="D268" s="32">
        <f>SUM(D265:D267)</f>
        <v>-64307.340000000171</v>
      </c>
      <c r="E268" s="14"/>
      <c r="F268" s="31">
        <f>IF(D$12=0,0,D268/D$12)</f>
        <v>-5.4552125447966823E-2</v>
      </c>
      <c r="G268" s="14"/>
      <c r="H268" s="32">
        <f>SUM(H265:H267)</f>
        <v>351062.04000000004</v>
      </c>
      <c r="I268" s="14"/>
      <c r="J268" s="31">
        <f>IF(H$12=0,0,H268/H$12)</f>
        <v>0.16152440460329828</v>
      </c>
      <c r="K268" s="15"/>
      <c r="L268" s="32">
        <f>+D268-H268</f>
        <v>-415369.38000000024</v>
      </c>
      <c r="M268" s="15"/>
      <c r="N268" s="31">
        <f>IF(H268=0,0,L268/H268)</f>
        <v>-1.1831794175183401</v>
      </c>
      <c r="O268" s="29"/>
      <c r="P268" s="32">
        <f>SUM(P265:P267)</f>
        <v>-662652.8600000001</v>
      </c>
      <c r="Q268" s="14"/>
      <c r="R268" s="31">
        <f>IF(P$12=0,0,P268/P$12)</f>
        <v>-0.17089964903349505</v>
      </c>
      <c r="S268" s="14"/>
      <c r="T268" s="32">
        <f>SUM(T265:T267)</f>
        <v>233516.95999999403</v>
      </c>
      <c r="U268" s="14"/>
      <c r="V268" s="31">
        <f>IF(T$12=0,0,T268/T$12)</f>
        <v>3.0371786197362874E-2</v>
      </c>
      <c r="W268" s="15"/>
      <c r="X268" s="32">
        <f>+P268-T268</f>
        <v>-896169.81999999413</v>
      </c>
      <c r="Y268" s="15"/>
      <c r="Z268" s="31">
        <f>IF(T268=0,0,X268/T268)</f>
        <v>-3.8377076337411085</v>
      </c>
    </row>
    <row r="269" spans="1:26" ht="15.75" thickTop="1" x14ac:dyDescent="0.25">
      <c r="A269" s="9"/>
      <c r="C269" s="9"/>
      <c r="D269" s="18"/>
      <c r="E269" s="18"/>
      <c r="G269" s="18"/>
      <c r="H269" s="18"/>
      <c r="I269" s="18"/>
      <c r="J269" s="42"/>
      <c r="K269" s="18"/>
      <c r="L269" s="18"/>
      <c r="M269" s="18"/>
      <c r="P269" s="18"/>
      <c r="Q269" s="18"/>
      <c r="R269" s="42"/>
      <c r="S269" s="18"/>
      <c r="T269" s="18"/>
      <c r="U269" s="18"/>
      <c r="V269" s="42"/>
      <c r="W269" s="18"/>
      <c r="X269" s="18"/>
    </row>
    <row r="270" spans="1:26" x14ac:dyDescent="0.25">
      <c r="A270" s="9"/>
      <c r="B270" s="62">
        <v>44238.495806944447</v>
      </c>
      <c r="D270" s="18"/>
      <c r="E270" s="18"/>
      <c r="G270" s="18"/>
      <c r="H270" s="18"/>
      <c r="I270" s="18"/>
      <c r="J270" s="42"/>
      <c r="K270" s="18"/>
      <c r="L270" s="18"/>
      <c r="M270" s="18"/>
      <c r="P270" s="18"/>
      <c r="Q270" s="18"/>
      <c r="R270" s="42"/>
      <c r="S270" s="18"/>
      <c r="T270" s="18"/>
      <c r="U270" s="18"/>
      <c r="V270" s="42"/>
      <c r="W270" s="18"/>
      <c r="X270" s="18"/>
    </row>
    <row r="271" spans="1:26" x14ac:dyDescent="0.25">
      <c r="A271" s="9"/>
      <c r="B271" s="59" t="s">
        <v>313</v>
      </c>
      <c r="D271" s="18"/>
      <c r="E271" s="18"/>
      <c r="G271" s="18"/>
      <c r="H271" s="18"/>
      <c r="I271" s="18"/>
      <c r="J271" s="42"/>
      <c r="K271" s="18"/>
      <c r="L271" s="18"/>
      <c r="M271" s="18"/>
      <c r="P271" s="18"/>
      <c r="Q271" s="18"/>
      <c r="R271" s="42"/>
      <c r="S271" s="18"/>
      <c r="T271" s="18"/>
      <c r="U271" s="18"/>
      <c r="V271" s="42"/>
      <c r="W271" s="18"/>
      <c r="X271" s="18"/>
    </row>
    <row r="272" spans="1:26" x14ac:dyDescent="0.25">
      <c r="A272" s="9"/>
      <c r="B272" s="56"/>
      <c r="D272" s="18"/>
      <c r="E272" s="18"/>
      <c r="G272" s="18"/>
      <c r="H272" s="18"/>
      <c r="I272" s="18"/>
      <c r="J272" s="42"/>
      <c r="K272" s="18"/>
      <c r="L272" s="18"/>
      <c r="M272" s="18"/>
      <c r="P272" s="18"/>
      <c r="Q272" s="18"/>
      <c r="R272" s="42"/>
      <c r="S272" s="18"/>
      <c r="T272" s="18"/>
      <c r="U272" s="18"/>
      <c r="V272" s="42"/>
      <c r="W272" s="18"/>
      <c r="X272" s="18"/>
    </row>
    <row r="273" spans="4:24" x14ac:dyDescent="0.25">
      <c r="D273" s="18"/>
      <c r="E273" s="18"/>
      <c r="G273" s="18"/>
      <c r="H273" s="18"/>
      <c r="I273" s="18"/>
      <c r="J273" s="42"/>
      <c r="K273" s="18"/>
      <c r="L273" s="18"/>
      <c r="M273" s="18"/>
      <c r="P273" s="18"/>
      <c r="Q273" s="18"/>
      <c r="R273" s="42"/>
      <c r="S273" s="18"/>
      <c r="T273" s="18"/>
      <c r="U273" s="18"/>
      <c r="V273" s="42"/>
      <c r="W273" s="18"/>
      <c r="X273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295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0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311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1308015.5400000003</v>
      </c>
      <c r="E12" s="4"/>
      <c r="F12" s="12"/>
      <c r="G12" s="4"/>
      <c r="H12" s="4">
        <f>SUM(OSRRefH13x_0)</f>
        <v>2388554.59</v>
      </c>
      <c r="I12" s="4"/>
      <c r="J12" s="12"/>
      <c r="K12" s="4"/>
      <c r="L12" s="4">
        <f t="shared" ref="L12:L123" si="0">+D12-H12</f>
        <v>-1080539.0499999996</v>
      </c>
      <c r="M12" s="4"/>
      <c r="N12" s="12">
        <f t="shared" ref="N12:N123" si="1">IF(H12=0,0,L12/H12)</f>
        <v>-0.45238197800620483</v>
      </c>
      <c r="O12" s="10"/>
      <c r="P12" s="4">
        <f>SUM(OSRRefP13x_0)</f>
        <v>5281974.7199999988</v>
      </c>
      <c r="Q12" s="4"/>
      <c r="R12" s="12"/>
      <c r="S12" s="4"/>
      <c r="T12" s="4">
        <f>SUM(OSRRefT13x_0)</f>
        <v>9487120.6599999983</v>
      </c>
      <c r="U12" s="4"/>
      <c r="V12" s="12"/>
      <c r="W12" s="4"/>
      <c r="X12" s="4">
        <f t="shared" ref="X12:X123" si="2">+P12-T12</f>
        <v>-4205145.9399999995</v>
      </c>
      <c r="Y12" s="4"/>
      <c r="Z12" s="12">
        <f t="shared" ref="Z12:Z123" si="3">IF(T12=0,0,X12/T12)</f>
        <v>-0.44324786104280456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-12518.13</f>
        <v>-12518.13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-12518.13</v>
      </c>
      <c r="M13" s="2"/>
      <c r="N13" s="19">
        <f t="shared" si="1"/>
        <v>0</v>
      </c>
      <c r="O13" s="11"/>
      <c r="P13" s="2">
        <f>-103655.99</f>
        <v>-103655.99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-103655.99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--459430.32</f>
        <v>459430.32</v>
      </c>
      <c r="E14" s="2"/>
      <c r="F14" s="19"/>
      <c r="G14" s="2"/>
      <c r="H14" s="2">
        <f>--745942.38</f>
        <v>745942.38</v>
      </c>
      <c r="I14" s="2"/>
      <c r="J14" s="19"/>
      <c r="K14" s="2"/>
      <c r="L14" s="2">
        <f t="shared" si="0"/>
        <v>-286512.06</v>
      </c>
      <c r="M14" s="2"/>
      <c r="N14" s="19">
        <f t="shared" si="1"/>
        <v>-0.38409409048457605</v>
      </c>
      <c r="O14" s="11"/>
      <c r="P14" s="2">
        <f>--1190096.34</f>
        <v>1190096.3400000001</v>
      </c>
      <c r="Q14" s="2"/>
      <c r="R14" s="19"/>
      <c r="S14" s="2"/>
      <c r="T14" s="2">
        <f>--2285976.76</f>
        <v>2285976.7599999998</v>
      </c>
      <c r="U14" s="2"/>
      <c r="V14" s="19"/>
      <c r="W14" s="2"/>
      <c r="X14" s="2">
        <f t="shared" si="2"/>
        <v>-1095880.4199999997</v>
      </c>
      <c r="Y14" s="2"/>
      <c r="Z14" s="19">
        <f t="shared" si="3"/>
        <v>-0.47939263389536813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--238947.44</f>
        <v>238947.44</v>
      </c>
      <c r="E15" s="2"/>
      <c r="F15" s="19"/>
      <c r="G15" s="2"/>
      <c r="H15" s="2">
        <f>--512319.44</f>
        <v>512319.44</v>
      </c>
      <c r="I15" s="2"/>
      <c r="J15" s="19"/>
      <c r="K15" s="2"/>
      <c r="L15" s="2">
        <f t="shared" si="0"/>
        <v>-273372</v>
      </c>
      <c r="M15" s="2"/>
      <c r="N15" s="19">
        <f t="shared" si="1"/>
        <v>-0.53359677313825915</v>
      </c>
      <c r="O15" s="11"/>
      <c r="P15" s="2">
        <f>--562401.5</f>
        <v>562401.5</v>
      </c>
      <c r="Q15" s="2"/>
      <c r="R15" s="19"/>
      <c r="S15" s="2"/>
      <c r="T15" s="2">
        <f>--1193414.41</f>
        <v>1193414.4099999999</v>
      </c>
      <c r="U15" s="2"/>
      <c r="V15" s="19"/>
      <c r="W15" s="2"/>
      <c r="X15" s="2">
        <f t="shared" si="2"/>
        <v>-631012.90999999992</v>
      </c>
      <c r="Y15" s="2"/>
      <c r="Z15" s="19">
        <f t="shared" si="3"/>
        <v>-0.52874584445481931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--7222.26</f>
        <v>7222.26</v>
      </c>
      <c r="E16" s="2"/>
      <c r="F16" s="19"/>
      <c r="G16" s="2"/>
      <c r="H16" s="2">
        <f>--15841.34</f>
        <v>15841.34</v>
      </c>
      <c r="I16" s="2"/>
      <c r="J16" s="19"/>
      <c r="K16" s="2"/>
      <c r="L16" s="2">
        <f t="shared" si="0"/>
        <v>-8619.08</v>
      </c>
      <c r="M16" s="2"/>
      <c r="N16" s="19">
        <f t="shared" si="1"/>
        <v>-0.54408781075338319</v>
      </c>
      <c r="O16" s="11"/>
      <c r="P16" s="2">
        <f>--17887.89</f>
        <v>17887.89</v>
      </c>
      <c r="Q16" s="2"/>
      <c r="R16" s="19"/>
      <c r="S16" s="2"/>
      <c r="T16" s="2">
        <f>--32272.01</f>
        <v>32272.01</v>
      </c>
      <c r="U16" s="2"/>
      <c r="V16" s="19"/>
      <c r="W16" s="2"/>
      <c r="X16" s="2">
        <f t="shared" si="2"/>
        <v>-14384.119999999999</v>
      </c>
      <c r="Y16" s="2"/>
      <c r="Z16" s="19">
        <f t="shared" si="3"/>
        <v>-0.44571503293411224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--200.1</f>
        <v>200.1</v>
      </c>
      <c r="E17" s="2"/>
      <c r="F17" s="19"/>
      <c r="G17" s="2"/>
      <c r="H17" s="2">
        <f>--10921.53</f>
        <v>10921.53</v>
      </c>
      <c r="I17" s="2"/>
      <c r="J17" s="19"/>
      <c r="K17" s="2"/>
      <c r="L17" s="2">
        <f t="shared" si="0"/>
        <v>-10721.43</v>
      </c>
      <c r="M17" s="2"/>
      <c r="N17" s="19">
        <f t="shared" si="1"/>
        <v>-0.98167839121441769</v>
      </c>
      <c r="O17" s="11"/>
      <c r="P17" s="2">
        <f>--2659.66</f>
        <v>2659.66</v>
      </c>
      <c r="Q17" s="2"/>
      <c r="R17" s="19"/>
      <c r="S17" s="2"/>
      <c r="T17" s="2">
        <f>--41201.41</f>
        <v>41201.410000000003</v>
      </c>
      <c r="U17" s="2"/>
      <c r="V17" s="19"/>
      <c r="W17" s="2"/>
      <c r="X17" s="2">
        <f t="shared" si="2"/>
        <v>-38541.75</v>
      </c>
      <c r="Y17" s="2"/>
      <c r="Z17" s="19">
        <f t="shared" si="3"/>
        <v>-0.93544735483567176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--13.22</f>
        <v>13.22</v>
      </c>
      <c r="U18" s="2"/>
      <c r="V18" s="19"/>
      <c r="W18" s="2"/>
      <c r="X18" s="2">
        <f t="shared" si="2"/>
        <v>-13.22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--346.55</f>
        <v>346.55</v>
      </c>
      <c r="E19" s="2"/>
      <c r="F19" s="19"/>
      <c r="G19" s="2"/>
      <c r="H19" s="2">
        <f>--229.57</f>
        <v>229.57</v>
      </c>
      <c r="I19" s="2"/>
      <c r="J19" s="19"/>
      <c r="K19" s="2"/>
      <c r="L19" s="2">
        <f t="shared" si="0"/>
        <v>116.98000000000002</v>
      </c>
      <c r="M19" s="2"/>
      <c r="N19" s="19">
        <f t="shared" si="1"/>
        <v>0.50956135383543155</v>
      </c>
      <c r="O19" s="11"/>
      <c r="P19" s="2">
        <f>--930.52</f>
        <v>930.52</v>
      </c>
      <c r="Q19" s="2"/>
      <c r="R19" s="19"/>
      <c r="S19" s="2"/>
      <c r="T19" s="2">
        <f>--1509.89</f>
        <v>1509.89</v>
      </c>
      <c r="U19" s="2"/>
      <c r="V19" s="19"/>
      <c r="W19" s="2"/>
      <c r="X19" s="2">
        <f t="shared" si="2"/>
        <v>-579.37000000000012</v>
      </c>
      <c r="Y19" s="2"/>
      <c r="Z19" s="19">
        <f t="shared" si="3"/>
        <v>-0.38371669459364594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--3.98</f>
        <v>3.98</v>
      </c>
      <c r="E20" s="2"/>
      <c r="F20" s="19"/>
      <c r="G20" s="2"/>
      <c r="H20" s="2">
        <f>--107.48</f>
        <v>107.48</v>
      </c>
      <c r="I20" s="2"/>
      <c r="J20" s="19"/>
      <c r="K20" s="2"/>
      <c r="L20" s="2">
        <f t="shared" si="0"/>
        <v>-103.5</v>
      </c>
      <c r="M20" s="2"/>
      <c r="N20" s="19">
        <f t="shared" si="1"/>
        <v>-0.96296985485671749</v>
      </c>
      <c r="O20" s="11"/>
      <c r="P20" s="2">
        <f>--380.04</f>
        <v>380.04</v>
      </c>
      <c r="Q20" s="2"/>
      <c r="R20" s="19"/>
      <c r="S20" s="2"/>
      <c r="T20" s="2">
        <f>--1100.17</f>
        <v>1100.17</v>
      </c>
      <c r="U20" s="2"/>
      <c r="V20" s="19"/>
      <c r="W20" s="2"/>
      <c r="X20" s="2">
        <f t="shared" si="2"/>
        <v>-720.13000000000011</v>
      </c>
      <c r="Y20" s="2"/>
      <c r="Z20" s="19">
        <f t="shared" si="3"/>
        <v>-0.65456247670814516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--12.98</f>
        <v>12.98</v>
      </c>
      <c r="I21" s="2"/>
      <c r="J21" s="19"/>
      <c r="K21" s="2"/>
      <c r="L21" s="2">
        <f t="shared" si="0"/>
        <v>-12.98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--255.12</f>
        <v>255.12</v>
      </c>
      <c r="U21" s="2"/>
      <c r="V21" s="19"/>
      <c r="W21" s="2"/>
      <c r="X21" s="2">
        <f t="shared" si="2"/>
        <v>-255.12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--100.3</f>
        <v>100.3</v>
      </c>
      <c r="E22" s="2"/>
      <c r="F22" s="19"/>
      <c r="G22" s="2"/>
      <c r="H22" s="2">
        <f>--737.51</f>
        <v>737.51</v>
      </c>
      <c r="I22" s="2"/>
      <c r="J22" s="19"/>
      <c r="K22" s="2"/>
      <c r="L22" s="2">
        <f t="shared" si="0"/>
        <v>-637.21</v>
      </c>
      <c r="M22" s="2"/>
      <c r="N22" s="19">
        <f t="shared" si="1"/>
        <v>-0.86400184404279268</v>
      </c>
      <c r="O22" s="11"/>
      <c r="P22" s="2">
        <f>--291.14</f>
        <v>291.14</v>
      </c>
      <c r="Q22" s="2"/>
      <c r="R22" s="19"/>
      <c r="S22" s="2"/>
      <c r="T22" s="2">
        <f>--3627.9</f>
        <v>3627.9</v>
      </c>
      <c r="U22" s="2"/>
      <c r="V22" s="19"/>
      <c r="W22" s="2"/>
      <c r="X22" s="2">
        <f t="shared" si="2"/>
        <v>-3336.76</v>
      </c>
      <c r="Y22" s="2"/>
      <c r="Z22" s="19">
        <f t="shared" si="3"/>
        <v>-0.91974971746740541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ref="D23:D24" si="4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5">0</f>
        <v>0</v>
      </c>
      <c r="Q23" s="2"/>
      <c r="R23" s="19"/>
      <c r="S23" s="2"/>
      <c r="T23" s="2">
        <f>--33.88</f>
        <v>33.880000000000003</v>
      </c>
      <c r="U23" s="2"/>
      <c r="V23" s="19"/>
      <c r="W23" s="2"/>
      <c r="X23" s="2">
        <f t="shared" si="2"/>
        <v>-33.880000000000003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4"/>
        <v>0</v>
      </c>
      <c r="E24" s="2"/>
      <c r="F24" s="19"/>
      <c r="G24" s="2"/>
      <c r="H24" s="2">
        <f>--5307.35</f>
        <v>5307.35</v>
      </c>
      <c r="I24" s="2"/>
      <c r="J24" s="19"/>
      <c r="K24" s="2"/>
      <c r="L24" s="2">
        <f t="shared" si="0"/>
        <v>-5307.35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--40440.45</f>
        <v>40440.449999999997</v>
      </c>
      <c r="U24" s="2"/>
      <c r="V24" s="19"/>
      <c r="W24" s="2"/>
      <c r="X24" s="2">
        <f t="shared" si="2"/>
        <v>-40440.449999999997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--34.62</f>
        <v>34.619999999999997</v>
      </c>
      <c r="E25" s="2"/>
      <c r="F25" s="19"/>
      <c r="G25" s="2"/>
      <c r="H25" s="2">
        <f>--13761.32</f>
        <v>13761.32</v>
      </c>
      <c r="I25" s="2"/>
      <c r="J25" s="19"/>
      <c r="K25" s="2"/>
      <c r="L25" s="2">
        <f t="shared" si="0"/>
        <v>-13726.699999999999</v>
      </c>
      <c r="M25" s="2"/>
      <c r="N25" s="19">
        <f t="shared" si="1"/>
        <v>-0.99748425296410514</v>
      </c>
      <c r="O25" s="11"/>
      <c r="P25" s="2">
        <f>--407</f>
        <v>407</v>
      </c>
      <c r="Q25" s="2"/>
      <c r="R25" s="19"/>
      <c r="S25" s="2"/>
      <c r="T25" s="2">
        <f>--63689.49</f>
        <v>63689.49</v>
      </c>
      <c r="U25" s="2"/>
      <c r="V25" s="19"/>
      <c r="W25" s="2"/>
      <c r="X25" s="2">
        <f t="shared" si="2"/>
        <v>-63282.49</v>
      </c>
      <c r="Y25" s="2"/>
      <c r="Z25" s="19">
        <f t="shared" si="3"/>
        <v>-0.99360962067681813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--8701.79</f>
        <v>8701.7900000000009</v>
      </c>
      <c r="E26" s="2"/>
      <c r="F26" s="19"/>
      <c r="G26" s="2"/>
      <c r="H26" s="2">
        <f>--66289.85</f>
        <v>66289.850000000006</v>
      </c>
      <c r="I26" s="2"/>
      <c r="J26" s="19"/>
      <c r="K26" s="2"/>
      <c r="L26" s="2">
        <f t="shared" si="0"/>
        <v>-57588.060000000005</v>
      </c>
      <c r="M26" s="2"/>
      <c r="N26" s="19">
        <f t="shared" si="1"/>
        <v>-0.86873118584519349</v>
      </c>
      <c r="O26" s="11"/>
      <c r="P26" s="2">
        <f>--48676.22</f>
        <v>48676.22</v>
      </c>
      <c r="Q26" s="2"/>
      <c r="R26" s="19"/>
      <c r="S26" s="2"/>
      <c r="T26" s="2">
        <f>--231647.32</f>
        <v>231647.32</v>
      </c>
      <c r="U26" s="2"/>
      <c r="V26" s="19"/>
      <c r="W26" s="2"/>
      <c r="X26" s="2">
        <f t="shared" si="2"/>
        <v>-182971.1</v>
      </c>
      <c r="Y26" s="2"/>
      <c r="Z26" s="19">
        <f t="shared" si="3"/>
        <v>-0.78986927196049583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--21773.01</f>
        <v>21773.01</v>
      </c>
      <c r="E27" s="2"/>
      <c r="F27" s="19"/>
      <c r="G27" s="2"/>
      <c r="H27" s="2">
        <f>--43035.21</f>
        <v>43035.21</v>
      </c>
      <c r="I27" s="2"/>
      <c r="J27" s="19"/>
      <c r="K27" s="2"/>
      <c r="L27" s="2">
        <f t="shared" si="0"/>
        <v>-21262.2</v>
      </c>
      <c r="M27" s="2"/>
      <c r="N27" s="19">
        <f t="shared" si="1"/>
        <v>-0.49406520846534735</v>
      </c>
      <c r="O27" s="11"/>
      <c r="P27" s="2">
        <f>--38951.82</f>
        <v>38951.82</v>
      </c>
      <c r="Q27" s="2"/>
      <c r="R27" s="19"/>
      <c r="S27" s="2"/>
      <c r="T27" s="2">
        <f>--232672.78</f>
        <v>232672.78</v>
      </c>
      <c r="U27" s="2"/>
      <c r="V27" s="19"/>
      <c r="W27" s="2"/>
      <c r="X27" s="2">
        <f t="shared" si="2"/>
        <v>-193720.95999999999</v>
      </c>
      <c r="Y27" s="2"/>
      <c r="Z27" s="19">
        <f t="shared" si="3"/>
        <v>-0.83258969957723461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--477.59</f>
        <v>477.59</v>
      </c>
      <c r="E28" s="2"/>
      <c r="F28" s="19"/>
      <c r="G28" s="2"/>
      <c r="H28" s="2">
        <f>--43.03</f>
        <v>43.03</v>
      </c>
      <c r="I28" s="2"/>
      <c r="J28" s="19"/>
      <c r="K28" s="2"/>
      <c r="L28" s="2">
        <f t="shared" si="0"/>
        <v>434.55999999999995</v>
      </c>
      <c r="M28" s="2"/>
      <c r="N28" s="19">
        <f t="shared" si="1"/>
        <v>10.099000697188007</v>
      </c>
      <c r="O28" s="11"/>
      <c r="P28" s="2">
        <f>--2587.24</f>
        <v>2587.2399999999998</v>
      </c>
      <c r="Q28" s="2"/>
      <c r="R28" s="19"/>
      <c r="S28" s="2"/>
      <c r="T28" s="2">
        <f>--349.97</f>
        <v>349.97</v>
      </c>
      <c r="U28" s="2"/>
      <c r="V28" s="19"/>
      <c r="W28" s="2"/>
      <c r="X28" s="2">
        <f t="shared" si="2"/>
        <v>2237.2699999999995</v>
      </c>
      <c r="Y28" s="2"/>
      <c r="Z28" s="19">
        <f t="shared" si="3"/>
        <v>6.392747949824269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6">0</f>
        <v>0</v>
      </c>
      <c r="E29" s="2"/>
      <c r="F29" s="19"/>
      <c r="G29" s="2"/>
      <c r="H29" s="2">
        <f>--242.25</f>
        <v>242.25</v>
      </c>
      <c r="I29" s="2"/>
      <c r="J29" s="19"/>
      <c r="K29" s="2"/>
      <c r="L29" s="2">
        <f t="shared" si="0"/>
        <v>-242.25</v>
      </c>
      <c r="M29" s="2"/>
      <c r="N29" s="19">
        <f t="shared" si="1"/>
        <v>-1</v>
      </c>
      <c r="O29" s="11"/>
      <c r="P29" s="2">
        <f t="shared" ref="P29:P30" si="7">0</f>
        <v>0</v>
      </c>
      <c r="Q29" s="2"/>
      <c r="R29" s="19"/>
      <c r="S29" s="2"/>
      <c r="T29" s="2">
        <f>--1108.59</f>
        <v>1108.5899999999999</v>
      </c>
      <c r="U29" s="2"/>
      <c r="V29" s="19"/>
      <c r="W29" s="2"/>
      <c r="X29" s="2">
        <f t="shared" si="2"/>
        <v>-1108.5899999999999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>
        <f>--15.13</f>
        <v>15.13</v>
      </c>
      <c r="I30" s="2"/>
      <c r="J30" s="19"/>
      <c r="K30" s="2"/>
      <c r="L30" s="2">
        <f t="shared" si="0"/>
        <v>-15.13</v>
      </c>
      <c r="M30" s="2"/>
      <c r="N30" s="19">
        <f t="shared" si="1"/>
        <v>-1</v>
      </c>
      <c r="O30" s="11"/>
      <c r="P30" s="2">
        <f t="shared" si="7"/>
        <v>0</v>
      </c>
      <c r="Q30" s="2"/>
      <c r="R30" s="19"/>
      <c r="S30" s="2"/>
      <c r="T30" s="2">
        <f>--146.15</f>
        <v>146.15</v>
      </c>
      <c r="U30" s="2"/>
      <c r="V30" s="19"/>
      <c r="W30" s="2"/>
      <c r="X30" s="2">
        <f t="shared" si="2"/>
        <v>-146.15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>
        <f>--479.73</f>
        <v>479.73</v>
      </c>
      <c r="I31" s="2"/>
      <c r="J31" s="19"/>
      <c r="K31" s="2"/>
      <c r="L31" s="2">
        <f t="shared" si="0"/>
        <v>-479.73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--5751.24</f>
        <v>5751.24</v>
      </c>
      <c r="U31" s="2"/>
      <c r="V31" s="19"/>
      <c r="W31" s="2"/>
      <c r="X31" s="2">
        <f t="shared" si="2"/>
        <v>-5744.46</v>
      </c>
      <c r="Y31" s="2"/>
      <c r="Z31" s="19">
        <f t="shared" si="3"/>
        <v>-0.99882112379243437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>
        <f>--171.4</f>
        <v>171.4</v>
      </c>
      <c r="I32" s="2"/>
      <c r="J32" s="19"/>
      <c r="K32" s="2"/>
      <c r="L32" s="2">
        <f t="shared" si="0"/>
        <v>-171.4</v>
      </c>
      <c r="M32" s="2"/>
      <c r="N32" s="19">
        <f t="shared" si="1"/>
        <v>-1</v>
      </c>
      <c r="O32" s="11"/>
      <c r="P32" s="2">
        <f t="shared" ref="P32:P33" si="8">0</f>
        <v>0</v>
      </c>
      <c r="Q32" s="2"/>
      <c r="R32" s="19"/>
      <c r="S32" s="2"/>
      <c r="T32" s="2">
        <f>--1438.49</f>
        <v>1438.49</v>
      </c>
      <c r="U32" s="2"/>
      <c r="V32" s="19"/>
      <c r="W32" s="2"/>
      <c r="X32" s="2">
        <f t="shared" si="2"/>
        <v>-1438.49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>
        <f>--17.84</f>
        <v>17.84</v>
      </c>
      <c r="I33" s="2"/>
      <c r="J33" s="19"/>
      <c r="K33" s="2"/>
      <c r="L33" s="2">
        <f t="shared" si="0"/>
        <v>-17.84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--414.1</f>
        <v>414.1</v>
      </c>
      <c r="U33" s="2"/>
      <c r="V33" s="19"/>
      <c r="W33" s="2"/>
      <c r="X33" s="2">
        <f t="shared" si="2"/>
        <v>-414.1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--89991.91</f>
        <v>89991.91</v>
      </c>
      <c r="E34" s="2"/>
      <c r="F34" s="19"/>
      <c r="G34" s="2"/>
      <c r="H34" s="2">
        <f>--192827.81</f>
        <v>192827.81</v>
      </c>
      <c r="I34" s="2"/>
      <c r="J34" s="19"/>
      <c r="K34" s="2"/>
      <c r="L34" s="2">
        <f t="shared" si="0"/>
        <v>-102835.9</v>
      </c>
      <c r="M34" s="2"/>
      <c r="N34" s="19">
        <f t="shared" si="1"/>
        <v>-0.53330429879383057</v>
      </c>
      <c r="O34" s="11"/>
      <c r="P34" s="2">
        <f>--598102.9</f>
        <v>598102.9</v>
      </c>
      <c r="Q34" s="2"/>
      <c r="R34" s="19"/>
      <c r="S34" s="2"/>
      <c r="T34" s="2">
        <f>--1484618.99</f>
        <v>1484618.99</v>
      </c>
      <c r="U34" s="2"/>
      <c r="V34" s="19"/>
      <c r="W34" s="2"/>
      <c r="X34" s="2">
        <f t="shared" si="2"/>
        <v>-886516.09</v>
      </c>
      <c r="Y34" s="2"/>
      <c r="Z34" s="19">
        <f t="shared" si="3"/>
        <v>-0.5971337400176997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--51480.95</f>
        <v>51480.95</v>
      </c>
      <c r="E35" s="2"/>
      <c r="F35" s="19"/>
      <c r="G35" s="2"/>
      <c r="H35" s="2">
        <f>--104441.67</f>
        <v>104441.67</v>
      </c>
      <c r="I35" s="2"/>
      <c r="J35" s="19"/>
      <c r="K35" s="2"/>
      <c r="L35" s="2">
        <f t="shared" si="0"/>
        <v>-52960.72</v>
      </c>
      <c r="M35" s="2"/>
      <c r="N35" s="19">
        <f t="shared" si="1"/>
        <v>-0.50708419350245937</v>
      </c>
      <c r="O35" s="11"/>
      <c r="P35" s="2">
        <f>--249099.27</f>
        <v>249099.27</v>
      </c>
      <c r="Q35" s="2"/>
      <c r="R35" s="19"/>
      <c r="S35" s="2"/>
      <c r="T35" s="2">
        <f>--400568.48</f>
        <v>400568.48</v>
      </c>
      <c r="U35" s="2"/>
      <c r="V35" s="19"/>
      <c r="W35" s="2"/>
      <c r="X35" s="2">
        <f t="shared" si="2"/>
        <v>-151469.21</v>
      </c>
      <c r="Y35" s="2"/>
      <c r="Z35" s="19">
        <f t="shared" si="3"/>
        <v>-0.37813561865876216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--9303.18</f>
        <v>9303.18</v>
      </c>
      <c r="E36" s="2"/>
      <c r="F36" s="19"/>
      <c r="G36" s="2"/>
      <c r="H36" s="2">
        <f>--33043.12</f>
        <v>33043.120000000003</v>
      </c>
      <c r="I36" s="2"/>
      <c r="J36" s="19"/>
      <c r="K36" s="2"/>
      <c r="L36" s="2">
        <f t="shared" si="0"/>
        <v>-23739.940000000002</v>
      </c>
      <c r="M36" s="2"/>
      <c r="N36" s="19">
        <f t="shared" si="1"/>
        <v>-0.71845334217834156</v>
      </c>
      <c r="O36" s="11"/>
      <c r="P36" s="2">
        <f>--74200.88</f>
        <v>74200.88</v>
      </c>
      <c r="Q36" s="2"/>
      <c r="R36" s="19"/>
      <c r="S36" s="2"/>
      <c r="T36" s="2">
        <f>--232995.22</f>
        <v>232995.22</v>
      </c>
      <c r="U36" s="2"/>
      <c r="V36" s="19"/>
      <c r="W36" s="2"/>
      <c r="X36" s="2">
        <f t="shared" si="2"/>
        <v>-158794.34</v>
      </c>
      <c r="Y36" s="2"/>
      <c r="Z36" s="19">
        <f t="shared" si="3"/>
        <v>-0.68153475423229715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--24845.66</f>
        <v>24845.66</v>
      </c>
      <c r="E37" s="2"/>
      <c r="F37" s="19"/>
      <c r="G37" s="2"/>
      <c r="H37" s="2">
        <f>--8310.25</f>
        <v>8310.25</v>
      </c>
      <c r="I37" s="2"/>
      <c r="J37" s="19"/>
      <c r="K37" s="2"/>
      <c r="L37" s="2">
        <f t="shared" si="0"/>
        <v>16535.41</v>
      </c>
      <c r="M37" s="2"/>
      <c r="N37" s="19">
        <f t="shared" si="1"/>
        <v>1.9897608375199303</v>
      </c>
      <c r="O37" s="11"/>
      <c r="P37" s="2">
        <f>--117954.81</f>
        <v>117954.81</v>
      </c>
      <c r="Q37" s="2"/>
      <c r="R37" s="19"/>
      <c r="S37" s="2"/>
      <c r="T37" s="2">
        <f>--22630.71</f>
        <v>22630.71</v>
      </c>
      <c r="U37" s="2"/>
      <c r="V37" s="19"/>
      <c r="W37" s="2"/>
      <c r="X37" s="2">
        <f t="shared" si="2"/>
        <v>95324.1</v>
      </c>
      <c r="Y37" s="2"/>
      <c r="Z37" s="19">
        <f t="shared" si="3"/>
        <v>4.2121568435104342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--1261.95</f>
        <v>1261.95</v>
      </c>
      <c r="E38" s="2"/>
      <c r="F38" s="19"/>
      <c r="G38" s="2"/>
      <c r="H38" s="2">
        <f>--6349.96</f>
        <v>6349.96</v>
      </c>
      <c r="I38" s="2"/>
      <c r="J38" s="19"/>
      <c r="K38" s="2"/>
      <c r="L38" s="2">
        <f t="shared" si="0"/>
        <v>-5088.01</v>
      </c>
      <c r="M38" s="2"/>
      <c r="N38" s="19">
        <f t="shared" si="1"/>
        <v>-0.80126646467064366</v>
      </c>
      <c r="O38" s="11"/>
      <c r="P38" s="2">
        <f>--27535.62</f>
        <v>27535.62</v>
      </c>
      <c r="Q38" s="2"/>
      <c r="R38" s="19"/>
      <c r="S38" s="2"/>
      <c r="T38" s="2">
        <f>--53086.16</f>
        <v>53086.16</v>
      </c>
      <c r="U38" s="2"/>
      <c r="V38" s="19"/>
      <c r="W38" s="2"/>
      <c r="X38" s="2">
        <f t="shared" si="2"/>
        <v>-25550.540000000005</v>
      </c>
      <c r="Y38" s="2"/>
      <c r="Z38" s="19">
        <f t="shared" si="3"/>
        <v>-0.48130322479531396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--3388.52</f>
        <v>3388.52</v>
      </c>
      <c r="E39" s="2"/>
      <c r="F39" s="19"/>
      <c r="G39" s="2"/>
      <c r="H39" s="2">
        <f>--8732.21</f>
        <v>8732.2099999999991</v>
      </c>
      <c r="I39" s="2"/>
      <c r="J39" s="19"/>
      <c r="K39" s="2"/>
      <c r="L39" s="2">
        <f t="shared" si="0"/>
        <v>-5343.6899999999987</v>
      </c>
      <c r="M39" s="2"/>
      <c r="N39" s="19">
        <f t="shared" si="1"/>
        <v>-0.6119516136235843</v>
      </c>
      <c r="O39" s="11"/>
      <c r="P39" s="2">
        <f>--125449.67</f>
        <v>125449.67</v>
      </c>
      <c r="Q39" s="2"/>
      <c r="R39" s="19"/>
      <c r="S39" s="2"/>
      <c r="T39" s="2">
        <f>--69738.03</f>
        <v>69738.03</v>
      </c>
      <c r="U39" s="2"/>
      <c r="V39" s="19"/>
      <c r="W39" s="2"/>
      <c r="X39" s="2">
        <f t="shared" si="2"/>
        <v>55711.64</v>
      </c>
      <c r="Y39" s="2"/>
      <c r="Z39" s="19">
        <f t="shared" si="3"/>
        <v>0.79887028641330993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0</f>
        <v>0</v>
      </c>
      <c r="E40" s="2"/>
      <c r="F40" s="19"/>
      <c r="G40" s="2"/>
      <c r="H40" s="2">
        <f>--183.1</f>
        <v>183.1</v>
      </c>
      <c r="I40" s="2"/>
      <c r="J40" s="19"/>
      <c r="K40" s="2"/>
      <c r="L40" s="2">
        <f t="shared" si="0"/>
        <v>-183.1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--1977.04</f>
        <v>1977.04</v>
      </c>
      <c r="U40" s="2"/>
      <c r="V40" s="19"/>
      <c r="W40" s="2"/>
      <c r="X40" s="2">
        <f t="shared" si="2"/>
        <v>-1977.04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--2318.54</f>
        <v>2318.54</v>
      </c>
      <c r="E41" s="2"/>
      <c r="F41" s="19"/>
      <c r="G41" s="2"/>
      <c r="H41" s="2">
        <f>--27620.8</f>
        <v>27620.799999999999</v>
      </c>
      <c r="I41" s="2"/>
      <c r="J41" s="19"/>
      <c r="K41" s="2"/>
      <c r="L41" s="2">
        <f t="shared" si="0"/>
        <v>-25302.26</v>
      </c>
      <c r="M41" s="2"/>
      <c r="N41" s="19">
        <f t="shared" si="1"/>
        <v>-0.91605818803220762</v>
      </c>
      <c r="O41" s="11"/>
      <c r="P41" s="2">
        <f>--59270.01</f>
        <v>59270.01</v>
      </c>
      <c r="Q41" s="2"/>
      <c r="R41" s="19"/>
      <c r="S41" s="2"/>
      <c r="T41" s="2">
        <f>--274290.28</f>
        <v>274290.28000000003</v>
      </c>
      <c r="U41" s="2"/>
      <c r="V41" s="19"/>
      <c r="W41" s="2"/>
      <c r="X41" s="2">
        <f t="shared" si="2"/>
        <v>-215020.27000000002</v>
      </c>
      <c r="Y41" s="2"/>
      <c r="Z41" s="19">
        <f t="shared" si="3"/>
        <v>-0.78391501878958303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--91766.28</f>
        <v>91766.28</v>
      </c>
      <c r="E42" s="2"/>
      <c r="F42" s="19"/>
      <c r="G42" s="2"/>
      <c r="H42" s="2">
        <f>--164816.22</f>
        <v>164816.22</v>
      </c>
      <c r="I42" s="2"/>
      <c r="J42" s="19"/>
      <c r="K42" s="2"/>
      <c r="L42" s="2">
        <f t="shared" si="0"/>
        <v>-73049.94</v>
      </c>
      <c r="M42" s="2"/>
      <c r="N42" s="19">
        <f t="shared" si="1"/>
        <v>-0.44322057622726696</v>
      </c>
      <c r="O42" s="11"/>
      <c r="P42" s="2">
        <f>--1085023.17</f>
        <v>1085023.17</v>
      </c>
      <c r="Q42" s="2"/>
      <c r="R42" s="19"/>
      <c r="S42" s="2"/>
      <c r="T42" s="2">
        <f>--1507332.48</f>
        <v>1507332.48</v>
      </c>
      <c r="U42" s="2"/>
      <c r="V42" s="19"/>
      <c r="W42" s="2"/>
      <c r="X42" s="2">
        <f t="shared" si="2"/>
        <v>-422309.31000000006</v>
      </c>
      <c r="Y42" s="2"/>
      <c r="Z42" s="19">
        <f t="shared" si="3"/>
        <v>-0.28016997948587963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--8639.61</f>
        <v>8639.61</v>
      </c>
      <c r="E43" s="2"/>
      <c r="F43" s="19"/>
      <c r="G43" s="2"/>
      <c r="H43" s="2">
        <f>--14047.94</f>
        <v>14047.94</v>
      </c>
      <c r="I43" s="2"/>
      <c r="J43" s="19"/>
      <c r="K43" s="2"/>
      <c r="L43" s="2">
        <f t="shared" si="0"/>
        <v>-5408.33</v>
      </c>
      <c r="M43" s="2"/>
      <c r="N43" s="19">
        <f t="shared" si="1"/>
        <v>-0.38499096664706711</v>
      </c>
      <c r="O43" s="11"/>
      <c r="P43" s="2">
        <f>--93287.58</f>
        <v>93287.58</v>
      </c>
      <c r="Q43" s="2"/>
      <c r="R43" s="19"/>
      <c r="S43" s="2"/>
      <c r="T43" s="2">
        <f>--85178.62</f>
        <v>85178.62</v>
      </c>
      <c r="U43" s="2"/>
      <c r="V43" s="19"/>
      <c r="W43" s="2"/>
      <c r="X43" s="2">
        <f t="shared" si="2"/>
        <v>8108.9600000000064</v>
      </c>
      <c r="Y43" s="2"/>
      <c r="Z43" s="19">
        <f t="shared" si="3"/>
        <v>9.5199476112667783E-2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>0</f>
        <v>0</v>
      </c>
      <c r="E44" s="2"/>
      <c r="F44" s="19"/>
      <c r="G44" s="2"/>
      <c r="H44" s="2">
        <f t="shared" ref="H44:H45" si="9"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0</f>
        <v>0</v>
      </c>
      <c r="Q44" s="2"/>
      <c r="R44" s="19"/>
      <c r="S44" s="2"/>
      <c r="T44" s="2">
        <f>--129</f>
        <v>129</v>
      </c>
      <c r="U44" s="2"/>
      <c r="V44" s="19"/>
      <c r="W44" s="2"/>
      <c r="X44" s="2">
        <f t="shared" si="2"/>
        <v>-129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>--149.99</f>
        <v>149.99</v>
      </c>
      <c r="E45" s="2"/>
      <c r="F45" s="19"/>
      <c r="G45" s="2"/>
      <c r="H45" s="2">
        <f t="shared" si="9"/>
        <v>0</v>
      </c>
      <c r="I45" s="2"/>
      <c r="J45" s="19"/>
      <c r="K45" s="2"/>
      <c r="L45" s="2">
        <f t="shared" si="0"/>
        <v>149.99</v>
      </c>
      <c r="M45" s="2"/>
      <c r="N45" s="19">
        <f t="shared" si="1"/>
        <v>0</v>
      </c>
      <c r="O45" s="11"/>
      <c r="P45" s="2">
        <f>--2878.93</f>
        <v>2878.93</v>
      </c>
      <c r="Q45" s="2"/>
      <c r="R45" s="19"/>
      <c r="S45" s="2"/>
      <c r="T45" s="2">
        <f>--4407.94</f>
        <v>4407.9399999999996</v>
      </c>
      <c r="U45" s="2"/>
      <c r="V45" s="19"/>
      <c r="W45" s="2"/>
      <c r="X45" s="2">
        <f t="shared" si="2"/>
        <v>-1529.0099999999998</v>
      </c>
      <c r="Y45" s="2"/>
      <c r="Z45" s="19">
        <f t="shared" si="3"/>
        <v>-0.3468763186431757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--734.26</f>
        <v>734.26</v>
      </c>
      <c r="E46" s="2"/>
      <c r="F46" s="19"/>
      <c r="G46" s="2"/>
      <c r="H46" s="2">
        <f>--7359.63</f>
        <v>7359.63</v>
      </c>
      <c r="I46" s="2"/>
      <c r="J46" s="19"/>
      <c r="K46" s="2"/>
      <c r="L46" s="2">
        <f t="shared" si="0"/>
        <v>-6625.37</v>
      </c>
      <c r="M46" s="2"/>
      <c r="N46" s="19">
        <f t="shared" si="1"/>
        <v>-0.90023139750232006</v>
      </c>
      <c r="O46" s="11"/>
      <c r="P46" s="2">
        <f>--57869.84</f>
        <v>57869.84</v>
      </c>
      <c r="Q46" s="2"/>
      <c r="R46" s="19"/>
      <c r="S46" s="2"/>
      <c r="T46" s="2">
        <f>--41136.87</f>
        <v>41136.870000000003</v>
      </c>
      <c r="U46" s="2"/>
      <c r="V46" s="19"/>
      <c r="W46" s="2"/>
      <c r="X46" s="2">
        <f t="shared" si="2"/>
        <v>16732.969999999994</v>
      </c>
      <c r="Y46" s="2"/>
      <c r="Z46" s="19">
        <f t="shared" si="3"/>
        <v>0.40676332448239239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 t="shared" ref="D47:D49" si="10">0</f>
        <v>0</v>
      </c>
      <c r="E47" s="2"/>
      <c r="F47" s="19"/>
      <c r="G47" s="2"/>
      <c r="H47" s="2">
        <f>--118.97</f>
        <v>118.97</v>
      </c>
      <c r="I47" s="2"/>
      <c r="J47" s="19"/>
      <c r="K47" s="2"/>
      <c r="L47" s="2">
        <f t="shared" si="0"/>
        <v>-118.97</v>
      </c>
      <c r="M47" s="2"/>
      <c r="N47" s="19">
        <f t="shared" si="1"/>
        <v>-1</v>
      </c>
      <c r="O47" s="11"/>
      <c r="P47" s="2">
        <f t="shared" ref="P47:P49" si="11">0</f>
        <v>0</v>
      </c>
      <c r="Q47" s="2"/>
      <c r="R47" s="19"/>
      <c r="S47" s="2"/>
      <c r="T47" s="2">
        <f>--1055.88</f>
        <v>1055.8800000000001</v>
      </c>
      <c r="U47" s="2"/>
      <c r="V47" s="19"/>
      <c r="W47" s="2"/>
      <c r="X47" s="2">
        <f t="shared" si="2"/>
        <v>-1055.8800000000001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 t="shared" si="10"/>
        <v>0</v>
      </c>
      <c r="E48" s="2"/>
      <c r="F48" s="19"/>
      <c r="G48" s="2"/>
      <c r="H48" s="2">
        <f>0</f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11"/>
        <v>0</v>
      </c>
      <c r="Q48" s="2"/>
      <c r="R48" s="19"/>
      <c r="S48" s="2"/>
      <c r="T48" s="2">
        <f>--7659.37</f>
        <v>7659.37</v>
      </c>
      <c r="U48" s="2"/>
      <c r="V48" s="19"/>
      <c r="W48" s="2"/>
      <c r="X48" s="2">
        <f t="shared" si="2"/>
        <v>-7659.37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 t="shared" si="10"/>
        <v>0</v>
      </c>
      <c r="E49" s="2"/>
      <c r="F49" s="19"/>
      <c r="G49" s="2"/>
      <c r="H49" s="2">
        <f>--11.93</f>
        <v>11.93</v>
      </c>
      <c r="I49" s="2"/>
      <c r="J49" s="19"/>
      <c r="K49" s="2"/>
      <c r="L49" s="2">
        <f t="shared" si="0"/>
        <v>-11.93</v>
      </c>
      <c r="M49" s="2"/>
      <c r="N49" s="19">
        <f t="shared" si="1"/>
        <v>-1</v>
      </c>
      <c r="O49" s="11"/>
      <c r="P49" s="2">
        <f t="shared" si="11"/>
        <v>0</v>
      </c>
      <c r="Q49" s="2"/>
      <c r="R49" s="19"/>
      <c r="S49" s="2"/>
      <c r="T49" s="2">
        <f>--309.26</f>
        <v>309.26</v>
      </c>
      <c r="U49" s="2"/>
      <c r="V49" s="19"/>
      <c r="W49" s="2"/>
      <c r="X49" s="2">
        <f t="shared" si="2"/>
        <v>-309.26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--112968.19</f>
        <v>112968.19</v>
      </c>
      <c r="E50" s="2"/>
      <c r="F50" s="19"/>
      <c r="G50" s="2"/>
      <c r="H50" s="2">
        <f>--214291.61</f>
        <v>214291.61</v>
      </c>
      <c r="I50" s="2"/>
      <c r="J50" s="19"/>
      <c r="K50" s="2"/>
      <c r="L50" s="2">
        <f t="shared" si="0"/>
        <v>-101323.41999999998</v>
      </c>
      <c r="M50" s="2"/>
      <c r="N50" s="19">
        <f t="shared" si="1"/>
        <v>-0.47282961754778918</v>
      </c>
      <c r="O50" s="11"/>
      <c r="P50" s="2">
        <f>--278555.86</f>
        <v>278555.86</v>
      </c>
      <c r="Q50" s="2"/>
      <c r="R50" s="19"/>
      <c r="S50" s="2"/>
      <c r="T50" s="2">
        <f>--550220.16</f>
        <v>550220.16</v>
      </c>
      <c r="U50" s="2"/>
      <c r="V50" s="19"/>
      <c r="W50" s="2"/>
      <c r="X50" s="2">
        <f t="shared" si="2"/>
        <v>-271664.30000000005</v>
      </c>
      <c r="Y50" s="2"/>
      <c r="Z50" s="19">
        <f t="shared" si="3"/>
        <v>-0.4937374522954594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--22084.7</f>
        <v>22084.7</v>
      </c>
      <c r="E51" s="2"/>
      <c r="F51" s="19"/>
      <c r="G51" s="2"/>
      <c r="H51" s="2">
        <f>--37117.66</f>
        <v>37117.660000000003</v>
      </c>
      <c r="I51" s="2"/>
      <c r="J51" s="19"/>
      <c r="K51" s="2"/>
      <c r="L51" s="2">
        <f t="shared" si="0"/>
        <v>-15032.960000000003</v>
      </c>
      <c r="M51" s="2"/>
      <c r="N51" s="19">
        <f t="shared" si="1"/>
        <v>-0.40500828985447901</v>
      </c>
      <c r="O51" s="11"/>
      <c r="P51" s="2">
        <f>--104225.63</f>
        <v>104225.63</v>
      </c>
      <c r="Q51" s="2"/>
      <c r="R51" s="19"/>
      <c r="S51" s="2"/>
      <c r="T51" s="2">
        <f>--132405.23</f>
        <v>132405.23000000001</v>
      </c>
      <c r="U51" s="2"/>
      <c r="V51" s="19"/>
      <c r="W51" s="2"/>
      <c r="X51" s="2">
        <f t="shared" si="2"/>
        <v>-28179.600000000006</v>
      </c>
      <c r="Y51" s="2"/>
      <c r="Z51" s="19">
        <f t="shared" si="3"/>
        <v>-0.21282845096073624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--9330.01</f>
        <v>9330.01</v>
      </c>
      <c r="E52" s="2"/>
      <c r="F52" s="19"/>
      <c r="G52" s="2"/>
      <c r="H52" s="2">
        <f>--28414.21</f>
        <v>28414.21</v>
      </c>
      <c r="I52" s="2"/>
      <c r="J52" s="19"/>
      <c r="K52" s="2"/>
      <c r="L52" s="2">
        <f t="shared" si="0"/>
        <v>-19084.199999999997</v>
      </c>
      <c r="M52" s="2"/>
      <c r="N52" s="19">
        <f t="shared" si="1"/>
        <v>-0.67164281533781856</v>
      </c>
      <c r="O52" s="11"/>
      <c r="P52" s="2">
        <f>--42961.32</f>
        <v>42961.32</v>
      </c>
      <c r="Q52" s="2"/>
      <c r="R52" s="19"/>
      <c r="S52" s="2"/>
      <c r="T52" s="2">
        <f>--66616.8</f>
        <v>66616.800000000003</v>
      </c>
      <c r="U52" s="2"/>
      <c r="V52" s="19"/>
      <c r="W52" s="2"/>
      <c r="X52" s="2">
        <f t="shared" si="2"/>
        <v>-23655.480000000003</v>
      </c>
      <c r="Y52" s="2"/>
      <c r="Z52" s="19">
        <f t="shared" si="3"/>
        <v>-0.35509781316424688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--853.98</f>
        <v>853.98</v>
      </c>
      <c r="E53" s="2"/>
      <c r="F53" s="19"/>
      <c r="G53" s="2"/>
      <c r="H53" s="2">
        <f>--334.99</f>
        <v>334.99</v>
      </c>
      <c r="I53" s="2"/>
      <c r="J53" s="19"/>
      <c r="K53" s="2"/>
      <c r="L53" s="2">
        <f t="shared" si="0"/>
        <v>518.99</v>
      </c>
      <c r="M53" s="2"/>
      <c r="N53" s="19">
        <f t="shared" si="1"/>
        <v>1.5492701274664915</v>
      </c>
      <c r="O53" s="11"/>
      <c r="P53" s="2">
        <f>--1138.95</f>
        <v>1138.95</v>
      </c>
      <c r="Q53" s="2"/>
      <c r="R53" s="19"/>
      <c r="S53" s="2"/>
      <c r="T53" s="2">
        <f>--664.97</f>
        <v>664.97</v>
      </c>
      <c r="U53" s="2"/>
      <c r="V53" s="19"/>
      <c r="W53" s="2"/>
      <c r="X53" s="2">
        <f t="shared" si="2"/>
        <v>473.98</v>
      </c>
      <c r="Y53" s="2"/>
      <c r="Z53" s="19">
        <f t="shared" si="3"/>
        <v>0.71278403537001667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--161977.12</f>
        <v>161977.12</v>
      </c>
      <c r="E54" s="2"/>
      <c r="F54" s="19"/>
      <c r="G54" s="2"/>
      <c r="H54" s="2">
        <f>--169179.13</f>
        <v>169179.13</v>
      </c>
      <c r="I54" s="2"/>
      <c r="J54" s="19"/>
      <c r="K54" s="2"/>
      <c r="L54" s="2">
        <f t="shared" si="0"/>
        <v>-7202.0100000000093</v>
      </c>
      <c r="M54" s="2"/>
      <c r="N54" s="19">
        <f t="shared" si="1"/>
        <v>-4.2570321764865499E-2</v>
      </c>
      <c r="O54" s="11"/>
      <c r="P54" s="2">
        <f>--458168.13</f>
        <v>458168.13</v>
      </c>
      <c r="Q54" s="2"/>
      <c r="R54" s="19"/>
      <c r="S54" s="2"/>
      <c r="T54" s="2">
        <f>--502067.96</f>
        <v>502067.96</v>
      </c>
      <c r="U54" s="2"/>
      <c r="V54" s="19"/>
      <c r="W54" s="2"/>
      <c r="X54" s="2">
        <f t="shared" si="2"/>
        <v>-43899.830000000016</v>
      </c>
      <c r="Y54" s="2"/>
      <c r="Z54" s="19">
        <f t="shared" si="3"/>
        <v>-8.743802333054676E-2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0</f>
        <v>0</v>
      </c>
      <c r="E55" s="2"/>
      <c r="F55" s="19"/>
      <c r="G55" s="2"/>
      <c r="H55" s="2">
        <f>--4684.53</f>
        <v>4684.53</v>
      </c>
      <c r="I55" s="2"/>
      <c r="J55" s="19"/>
      <c r="K55" s="2"/>
      <c r="L55" s="2">
        <f t="shared" si="0"/>
        <v>-4684.53</v>
      </c>
      <c r="M55" s="2"/>
      <c r="N55" s="19">
        <f t="shared" si="1"/>
        <v>-1</v>
      </c>
      <c r="O55" s="11"/>
      <c r="P55" s="2">
        <f>0</f>
        <v>0</v>
      </c>
      <c r="Q55" s="2"/>
      <c r="R55" s="19"/>
      <c r="S55" s="2"/>
      <c r="T55" s="2">
        <f>--12708.5</f>
        <v>12708.5</v>
      </c>
      <c r="U55" s="2"/>
      <c r="V55" s="19"/>
      <c r="W55" s="2"/>
      <c r="X55" s="2">
        <f t="shared" si="2"/>
        <v>-12708.5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>--4661.75</f>
        <v>4661.75</v>
      </c>
      <c r="E56" s="2"/>
      <c r="F56" s="19"/>
      <c r="G56" s="2"/>
      <c r="H56" s="2">
        <f t="shared" ref="H56:H57" si="12">0</f>
        <v>0</v>
      </c>
      <c r="I56" s="2"/>
      <c r="J56" s="19"/>
      <c r="K56" s="2"/>
      <c r="L56" s="2">
        <f t="shared" si="0"/>
        <v>4661.75</v>
      </c>
      <c r="M56" s="2"/>
      <c r="N56" s="19">
        <f t="shared" si="1"/>
        <v>0</v>
      </c>
      <c r="O56" s="11"/>
      <c r="P56" s="2">
        <f>--6989.25</f>
        <v>6989.25</v>
      </c>
      <c r="Q56" s="2"/>
      <c r="R56" s="19"/>
      <c r="S56" s="2"/>
      <c r="T56" s="2">
        <f>--1146.72</f>
        <v>1146.72</v>
      </c>
      <c r="U56" s="2"/>
      <c r="V56" s="19"/>
      <c r="W56" s="2"/>
      <c r="X56" s="2">
        <f t="shared" si="2"/>
        <v>5842.53</v>
      </c>
      <c r="Y56" s="2"/>
      <c r="Z56" s="19">
        <f t="shared" si="3"/>
        <v>5.0949926747593128</v>
      </c>
    </row>
    <row r="57" spans="1:26" s="24" customFormat="1" hidden="1" outlineLevel="1" x14ac:dyDescent="0.2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>--538.3</f>
        <v>538.29999999999995</v>
      </c>
      <c r="E57" s="2"/>
      <c r="F57" s="19"/>
      <c r="G57" s="2"/>
      <c r="H57" s="2">
        <f t="shared" si="12"/>
        <v>0</v>
      </c>
      <c r="I57" s="2"/>
      <c r="J57" s="19"/>
      <c r="K57" s="2"/>
      <c r="L57" s="2">
        <f t="shared" si="0"/>
        <v>538.29999999999995</v>
      </c>
      <c r="M57" s="2"/>
      <c r="N57" s="19">
        <f t="shared" si="1"/>
        <v>0</v>
      </c>
      <c r="O57" s="11"/>
      <c r="P57" s="2">
        <f>--771.73</f>
        <v>771.73</v>
      </c>
      <c r="Q57" s="2"/>
      <c r="R57" s="19"/>
      <c r="S57" s="2"/>
      <c r="T57" s="2">
        <f>--41.91</f>
        <v>41.91</v>
      </c>
      <c r="U57" s="2"/>
      <c r="V57" s="19"/>
      <c r="W57" s="2"/>
      <c r="X57" s="2">
        <f t="shared" si="2"/>
        <v>729.82</v>
      </c>
      <c r="Y57" s="2"/>
      <c r="Z57" s="19">
        <f t="shared" si="3"/>
        <v>17.413982343116203</v>
      </c>
    </row>
    <row r="58" spans="1:26" s="24" customFormat="1" hidden="1" outlineLevel="1" x14ac:dyDescent="0.2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 t="shared" ref="D58:D59" si="13">0</f>
        <v>0</v>
      </c>
      <c r="E58" s="2"/>
      <c r="F58" s="19"/>
      <c r="G58" s="2"/>
      <c r="H58" s="2">
        <f>--98.5</f>
        <v>98.5</v>
      </c>
      <c r="I58" s="2"/>
      <c r="J58" s="19"/>
      <c r="K58" s="2"/>
      <c r="L58" s="2">
        <f t="shared" si="0"/>
        <v>-98.5</v>
      </c>
      <c r="M58" s="2"/>
      <c r="N58" s="19">
        <f t="shared" si="1"/>
        <v>-1</v>
      </c>
      <c r="O58" s="11"/>
      <c r="P58" s="2">
        <f>0</f>
        <v>0</v>
      </c>
      <c r="Q58" s="2"/>
      <c r="R58" s="19"/>
      <c r="S58" s="2"/>
      <c r="T58" s="2">
        <f>--222.68</f>
        <v>222.68</v>
      </c>
      <c r="U58" s="2"/>
      <c r="V58" s="19"/>
      <c r="W58" s="2"/>
      <c r="X58" s="2">
        <f t="shared" si="2"/>
        <v>-222.68</v>
      </c>
      <c r="Y58" s="2"/>
      <c r="Z58" s="19">
        <f t="shared" si="3"/>
        <v>-1</v>
      </c>
    </row>
    <row r="59" spans="1:26" s="24" customFormat="1" hidden="1" outlineLevel="1" x14ac:dyDescent="0.2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 t="shared" si="13"/>
        <v>0</v>
      </c>
      <c r="E59" s="2"/>
      <c r="F59" s="19"/>
      <c r="G59" s="2"/>
      <c r="H59" s="2">
        <f>--1047.53</f>
        <v>1047.53</v>
      </c>
      <c r="I59" s="2"/>
      <c r="J59" s="19"/>
      <c r="K59" s="2"/>
      <c r="L59" s="2">
        <f t="shared" si="0"/>
        <v>-1047.53</v>
      </c>
      <c r="M59" s="2"/>
      <c r="N59" s="19">
        <f t="shared" si="1"/>
        <v>-1</v>
      </c>
      <c r="O59" s="11"/>
      <c r="P59" s="2">
        <f>--52.68</f>
        <v>52.68</v>
      </c>
      <c r="Q59" s="2"/>
      <c r="R59" s="19"/>
      <c r="S59" s="2"/>
      <c r="T59" s="2">
        <f>--2556.64</f>
        <v>2556.64</v>
      </c>
      <c r="U59" s="2"/>
      <c r="V59" s="19"/>
      <c r="W59" s="2"/>
      <c r="X59" s="2">
        <f t="shared" si="2"/>
        <v>-2503.96</v>
      </c>
      <c r="Y59" s="2"/>
      <c r="Z59" s="19">
        <f t="shared" si="3"/>
        <v>-0.97939483071531386</v>
      </c>
    </row>
    <row r="60" spans="1:26" s="24" customFormat="1" hidden="1" outlineLevel="1" x14ac:dyDescent="0.2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>--2539.06</f>
        <v>2539.06</v>
      </c>
      <c r="E60" s="2"/>
      <c r="F60" s="19"/>
      <c r="G60" s="2"/>
      <c r="H60" s="2">
        <f>--1531.2</f>
        <v>1531.2</v>
      </c>
      <c r="I60" s="2"/>
      <c r="J60" s="19"/>
      <c r="K60" s="2"/>
      <c r="L60" s="2">
        <f t="shared" si="0"/>
        <v>1007.8599999999999</v>
      </c>
      <c r="M60" s="2"/>
      <c r="N60" s="19">
        <f t="shared" si="1"/>
        <v>0.65821577847439905</v>
      </c>
      <c r="O60" s="11"/>
      <c r="P60" s="2">
        <f>--5745.17</f>
        <v>5745.17</v>
      </c>
      <c r="Q60" s="2"/>
      <c r="R60" s="19"/>
      <c r="S60" s="2"/>
      <c r="T60" s="2">
        <f>--4134.6</f>
        <v>4134.6000000000004</v>
      </c>
      <c r="U60" s="2"/>
      <c r="V60" s="19"/>
      <c r="W60" s="2"/>
      <c r="X60" s="2">
        <f t="shared" si="2"/>
        <v>1610.5699999999997</v>
      </c>
      <c r="Y60" s="2"/>
      <c r="Z60" s="19">
        <f t="shared" si="3"/>
        <v>0.38953465873361381</v>
      </c>
    </row>
    <row r="61" spans="1:26" s="24" customFormat="1" hidden="1" outlineLevel="1" x14ac:dyDescent="0.2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>--4.72</f>
        <v>4.72</v>
      </c>
      <c r="E61" s="2"/>
      <c r="F61" s="19"/>
      <c r="G61" s="2"/>
      <c r="H61" s="2">
        <f>--182.3</f>
        <v>182.3</v>
      </c>
      <c r="I61" s="2"/>
      <c r="J61" s="19"/>
      <c r="K61" s="2"/>
      <c r="L61" s="2">
        <f t="shared" si="0"/>
        <v>-177.58</v>
      </c>
      <c r="M61" s="2"/>
      <c r="N61" s="19">
        <f t="shared" si="1"/>
        <v>-0.97410861217772904</v>
      </c>
      <c r="O61" s="11"/>
      <c r="P61" s="2">
        <f>--29.5</f>
        <v>29.5</v>
      </c>
      <c r="Q61" s="2"/>
      <c r="R61" s="19"/>
      <c r="S61" s="2"/>
      <c r="T61" s="2">
        <f>--531.02</f>
        <v>531.02</v>
      </c>
      <c r="U61" s="2"/>
      <c r="V61" s="19"/>
      <c r="W61" s="2"/>
      <c r="X61" s="2">
        <f t="shared" si="2"/>
        <v>-501.52</v>
      </c>
      <c r="Y61" s="2"/>
      <c r="Z61" s="19">
        <f t="shared" si="3"/>
        <v>-0.94444653685360247</v>
      </c>
    </row>
    <row r="62" spans="1:26" s="24" customFormat="1" hidden="1" outlineLevel="1" x14ac:dyDescent="0.2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--1098.12</f>
        <v>1098.1199999999999</v>
      </c>
      <c r="E62" s="2"/>
      <c r="F62" s="19"/>
      <c r="G62" s="2"/>
      <c r="H62" s="2">
        <f>--3944.61</f>
        <v>3944.61</v>
      </c>
      <c r="I62" s="2"/>
      <c r="J62" s="19"/>
      <c r="K62" s="2"/>
      <c r="L62" s="2">
        <f t="shared" si="0"/>
        <v>-2846.4900000000002</v>
      </c>
      <c r="M62" s="2"/>
      <c r="N62" s="19">
        <f t="shared" si="1"/>
        <v>-0.72161506460714753</v>
      </c>
      <c r="O62" s="11"/>
      <c r="P62" s="2">
        <f>--8640.27</f>
        <v>8640.27</v>
      </c>
      <c r="Q62" s="2"/>
      <c r="R62" s="19"/>
      <c r="S62" s="2"/>
      <c r="T62" s="2">
        <f>--43030.34</f>
        <v>43030.34</v>
      </c>
      <c r="U62" s="2"/>
      <c r="V62" s="19"/>
      <c r="W62" s="2"/>
      <c r="X62" s="2">
        <f t="shared" si="2"/>
        <v>-34390.069999999992</v>
      </c>
      <c r="Y62" s="2"/>
      <c r="Z62" s="19">
        <f t="shared" si="3"/>
        <v>-0.79920516547161824</v>
      </c>
    </row>
    <row r="63" spans="1:26" s="24" customFormat="1" hidden="1" outlineLevel="1" x14ac:dyDescent="0.2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 t="shared" ref="D63:D67" si="14">0</f>
        <v>0</v>
      </c>
      <c r="E63" s="2"/>
      <c r="F63" s="19"/>
      <c r="G63" s="2"/>
      <c r="H63" s="2">
        <f>--1102.23</f>
        <v>1102.23</v>
      </c>
      <c r="I63" s="2"/>
      <c r="J63" s="19"/>
      <c r="K63" s="2"/>
      <c r="L63" s="2">
        <f t="shared" si="0"/>
        <v>-1102.23</v>
      </c>
      <c r="M63" s="2"/>
      <c r="N63" s="19">
        <f t="shared" si="1"/>
        <v>-1</v>
      </c>
      <c r="O63" s="11"/>
      <c r="P63" s="2">
        <f>--22.49</f>
        <v>22.49</v>
      </c>
      <c r="Q63" s="2"/>
      <c r="R63" s="19"/>
      <c r="S63" s="2"/>
      <c r="T63" s="2">
        <f>--12547.43</f>
        <v>12547.43</v>
      </c>
      <c r="U63" s="2"/>
      <c r="V63" s="19"/>
      <c r="W63" s="2"/>
      <c r="X63" s="2">
        <f t="shared" si="2"/>
        <v>-12524.94</v>
      </c>
      <c r="Y63" s="2"/>
      <c r="Z63" s="19">
        <f t="shared" si="3"/>
        <v>-0.99820760107846784</v>
      </c>
    </row>
    <row r="64" spans="1:26" s="24" customFormat="1" hidden="1" outlineLevel="1" x14ac:dyDescent="0.2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 t="shared" si="14"/>
        <v>0</v>
      </c>
      <c r="E64" s="2"/>
      <c r="F64" s="19"/>
      <c r="G64" s="2"/>
      <c r="H64" s="2">
        <f>--1436.4</f>
        <v>1436.4</v>
      </c>
      <c r="I64" s="2"/>
      <c r="J64" s="19"/>
      <c r="K64" s="2"/>
      <c r="L64" s="2">
        <f t="shared" si="0"/>
        <v>-1436.4</v>
      </c>
      <c r="M64" s="2"/>
      <c r="N64" s="19">
        <f t="shared" si="1"/>
        <v>-1</v>
      </c>
      <c r="O64" s="11"/>
      <c r="P64" s="2">
        <f>--80.71</f>
        <v>80.709999999999994</v>
      </c>
      <c r="Q64" s="2"/>
      <c r="R64" s="19"/>
      <c r="S64" s="2"/>
      <c r="T64" s="2">
        <f>--13558.18</f>
        <v>13558.18</v>
      </c>
      <c r="U64" s="2"/>
      <c r="V64" s="19"/>
      <c r="W64" s="2"/>
      <c r="X64" s="2">
        <f t="shared" si="2"/>
        <v>-13477.470000000001</v>
      </c>
      <c r="Y64" s="2"/>
      <c r="Z64" s="19">
        <f t="shared" si="3"/>
        <v>-0.99404713612003981</v>
      </c>
    </row>
    <row r="65" spans="1:26" s="24" customFormat="1" hidden="1" outlineLevel="1" x14ac:dyDescent="0.25">
      <c r="A65" s="44"/>
      <c r="B65" s="11" t="str">
        <f>CONCATENATE("          ", "4134", " - ", "NON-TAXABLE SALES-SODA")</f>
        <v xml:space="preserve">          4134 - NON-TAXABLE SALES-SODA</v>
      </c>
      <c r="C65" s="11"/>
      <c r="D65" s="2">
        <f t="shared" si="14"/>
        <v>0</v>
      </c>
      <c r="E65" s="2"/>
      <c r="F65" s="19"/>
      <c r="G65" s="2"/>
      <c r="H65" s="2">
        <f>0</f>
        <v>0</v>
      </c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--45.53</f>
        <v>45.53</v>
      </c>
      <c r="Q65" s="2"/>
      <c r="R65" s="19"/>
      <c r="S65" s="2"/>
      <c r="T65" s="2">
        <f>0</f>
        <v>0</v>
      </c>
      <c r="U65" s="2"/>
      <c r="V65" s="19"/>
      <c r="W65" s="2"/>
      <c r="X65" s="2">
        <f t="shared" si="2"/>
        <v>45.53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"4135", " - ", "NON-TAXABLE SALES")</f>
        <v xml:space="preserve">          4135 - NON-TAXABLE SALES</v>
      </c>
      <c r="C66" s="11"/>
      <c r="D66" s="2">
        <f t="shared" si="14"/>
        <v>0</v>
      </c>
      <c r="E66" s="2"/>
      <c r="F66" s="19"/>
      <c r="G66" s="2"/>
      <c r="H66" s="2">
        <f>--21.54</f>
        <v>21.54</v>
      </c>
      <c r="I66" s="2"/>
      <c r="J66" s="19"/>
      <c r="K66" s="2"/>
      <c r="L66" s="2">
        <f t="shared" si="0"/>
        <v>-21.54</v>
      </c>
      <c r="M66" s="2"/>
      <c r="N66" s="19">
        <f t="shared" si="1"/>
        <v>-1</v>
      </c>
      <c r="O66" s="11"/>
      <c r="P66" s="2">
        <f>0</f>
        <v>0</v>
      </c>
      <c r="Q66" s="2"/>
      <c r="R66" s="19"/>
      <c r="S66" s="2"/>
      <c r="T66" s="2">
        <f>--139.86</f>
        <v>139.86000000000001</v>
      </c>
      <c r="U66" s="2"/>
      <c r="V66" s="19"/>
      <c r="W66" s="2"/>
      <c r="X66" s="2">
        <f t="shared" si="2"/>
        <v>-139.86000000000001</v>
      </c>
      <c r="Y66" s="2"/>
      <c r="Z66" s="19">
        <f t="shared" si="3"/>
        <v>-1</v>
      </c>
    </row>
    <row r="67" spans="1:26" s="24" customFormat="1" hidden="1" outlineLevel="1" x14ac:dyDescent="0.25">
      <c r="A67" s="44"/>
      <c r="B67" s="11" t="str">
        <f>CONCATENATE("          ", "4137", " - ", "NON-TAXABLE SALES-WATER")</f>
        <v xml:space="preserve">          4137 - NON-TAXABLE SALES-WATER</v>
      </c>
      <c r="C67" s="11"/>
      <c r="D67" s="2">
        <f t="shared" si="14"/>
        <v>0</v>
      </c>
      <c r="E67" s="2"/>
      <c r="F67" s="19"/>
      <c r="G67" s="2"/>
      <c r="H67" s="2">
        <f>--635.89</f>
        <v>635.89</v>
      </c>
      <c r="I67" s="2"/>
      <c r="J67" s="19"/>
      <c r="K67" s="2"/>
      <c r="L67" s="2">
        <f t="shared" si="0"/>
        <v>-635.89</v>
      </c>
      <c r="M67" s="2"/>
      <c r="N67" s="19">
        <f t="shared" si="1"/>
        <v>-1</v>
      </c>
      <c r="O67" s="11"/>
      <c r="P67" s="2">
        <f>--68.25</f>
        <v>68.25</v>
      </c>
      <c r="Q67" s="2"/>
      <c r="R67" s="19"/>
      <c r="S67" s="2"/>
      <c r="T67" s="2">
        <f>--6548.96</f>
        <v>6548.96</v>
      </c>
      <c r="U67" s="2"/>
      <c r="V67" s="19"/>
      <c r="W67" s="2"/>
      <c r="X67" s="2">
        <f t="shared" si="2"/>
        <v>-6480.71</v>
      </c>
      <c r="Y67" s="2"/>
      <c r="Z67" s="19">
        <f t="shared" si="3"/>
        <v>-0.98957849795998143</v>
      </c>
    </row>
    <row r="68" spans="1:26" s="24" customFormat="1" hidden="1" outlineLevel="1" x14ac:dyDescent="0.25">
      <c r="A68" s="44"/>
      <c r="B68" s="11" t="str">
        <f>CONCATENATE("          ", "4140", " - ", "NON-TAXABLE SALES-LOGO CLOTHIN")</f>
        <v xml:space="preserve">          4140 - NON-TAXABLE SALES-LOGO CLOTHIN</v>
      </c>
      <c r="C68" s="11"/>
      <c r="D68" s="2">
        <f>--9206.45</f>
        <v>9206.4500000000007</v>
      </c>
      <c r="E68" s="2"/>
      <c r="F68" s="19"/>
      <c r="G68" s="2"/>
      <c r="H68" s="2">
        <f>--3758.83</f>
        <v>3758.83</v>
      </c>
      <c r="I68" s="2"/>
      <c r="J68" s="19"/>
      <c r="K68" s="2"/>
      <c r="L68" s="2">
        <f t="shared" si="0"/>
        <v>5447.6200000000008</v>
      </c>
      <c r="M68" s="2"/>
      <c r="N68" s="19">
        <f t="shared" si="1"/>
        <v>1.4492860810411752</v>
      </c>
      <c r="O68" s="11"/>
      <c r="P68" s="2">
        <f>--113177.42</f>
        <v>113177.42</v>
      </c>
      <c r="Q68" s="2"/>
      <c r="R68" s="19"/>
      <c r="S68" s="2"/>
      <c r="T68" s="2">
        <f>--42582.67</f>
        <v>42582.67</v>
      </c>
      <c r="U68" s="2"/>
      <c r="V68" s="19"/>
      <c r="W68" s="2"/>
      <c r="X68" s="2">
        <f t="shared" si="2"/>
        <v>70594.75</v>
      </c>
      <c r="Y68" s="2"/>
      <c r="Z68" s="19">
        <f t="shared" si="3"/>
        <v>1.6578281728224182</v>
      </c>
    </row>
    <row r="69" spans="1:26" s="24" customFormat="1" hidden="1" outlineLevel="1" x14ac:dyDescent="0.25">
      <c r="A69" s="44"/>
      <c r="B69" s="11" t="str">
        <f>CONCATENATE("          ", "4141", " - ", "NON-TAXABLE SALES-LOGO GIFTS")</f>
        <v xml:space="preserve">          4141 - NON-TAXABLE SALES-LOGO GIFTS</v>
      </c>
      <c r="C69" s="11"/>
      <c r="D69" s="2">
        <f>--1872.52</f>
        <v>1872.52</v>
      </c>
      <c r="E69" s="2"/>
      <c r="F69" s="19"/>
      <c r="G69" s="2"/>
      <c r="H69" s="2">
        <f>--1719.12</f>
        <v>1719.12</v>
      </c>
      <c r="I69" s="2"/>
      <c r="J69" s="19"/>
      <c r="K69" s="2"/>
      <c r="L69" s="2">
        <f t="shared" si="0"/>
        <v>153.40000000000009</v>
      </c>
      <c r="M69" s="2"/>
      <c r="N69" s="19">
        <f t="shared" si="1"/>
        <v>8.9231699939503986E-2</v>
      </c>
      <c r="O69" s="11"/>
      <c r="P69" s="2">
        <f>--7841.77</f>
        <v>7841.77</v>
      </c>
      <c r="Q69" s="2"/>
      <c r="R69" s="19"/>
      <c r="S69" s="2"/>
      <c r="T69" s="2">
        <f>--4249</f>
        <v>4249</v>
      </c>
      <c r="U69" s="2"/>
      <c r="V69" s="19"/>
      <c r="W69" s="2"/>
      <c r="X69" s="2">
        <f t="shared" si="2"/>
        <v>3592.7700000000004</v>
      </c>
      <c r="Y69" s="2"/>
      <c r="Z69" s="19">
        <f t="shared" si="3"/>
        <v>0.84555660155330681</v>
      </c>
    </row>
    <row r="70" spans="1:26" s="24" customFormat="1" hidden="1" outlineLevel="1" x14ac:dyDescent="0.25">
      <c r="A70" s="44"/>
      <c r="B70" s="11" t="str">
        <f>CONCATENATE("          ", "4142", " - ", "NON-TAXABLE SALES-EVERYDAY GIF")</f>
        <v xml:space="preserve">          4142 - NON-TAXABLE SALES-EVERYDAY GIF</v>
      </c>
      <c r="C70" s="11"/>
      <c r="D70" s="2">
        <f>--51.7</f>
        <v>51.7</v>
      </c>
      <c r="E70" s="2"/>
      <c r="F70" s="19"/>
      <c r="G70" s="2"/>
      <c r="H70" s="2">
        <f>--1947.91</f>
        <v>1947.91</v>
      </c>
      <c r="I70" s="2"/>
      <c r="J70" s="19"/>
      <c r="K70" s="2"/>
      <c r="L70" s="2">
        <f t="shared" si="0"/>
        <v>-1896.21</v>
      </c>
      <c r="M70" s="2"/>
      <c r="N70" s="19">
        <f t="shared" si="1"/>
        <v>-0.97345873269298888</v>
      </c>
      <c r="O70" s="11"/>
      <c r="P70" s="2">
        <f>--2259.89</f>
        <v>2259.89</v>
      </c>
      <c r="Q70" s="2"/>
      <c r="R70" s="19"/>
      <c r="S70" s="2"/>
      <c r="T70" s="2">
        <f>--12435.29</f>
        <v>12435.29</v>
      </c>
      <c r="U70" s="2"/>
      <c r="V70" s="19"/>
      <c r="W70" s="2"/>
      <c r="X70" s="2">
        <f t="shared" si="2"/>
        <v>-10175.400000000001</v>
      </c>
      <c r="Y70" s="2"/>
      <c r="Z70" s="19">
        <f t="shared" si="3"/>
        <v>-0.81826800983330517</v>
      </c>
    </row>
    <row r="71" spans="1:26" s="24" customFormat="1" hidden="1" outlineLevel="1" x14ac:dyDescent="0.25">
      <c r="A71" s="44"/>
      <c r="B71" s="11" t="str">
        <f>CONCATENATE("          ", "4143", " - ", "NON-TAXABLE SALES-CARDS")</f>
        <v xml:space="preserve">          4143 - NON-TAXABLE SALES-CARDS</v>
      </c>
      <c r="C71" s="11"/>
      <c r="D71" s="2">
        <f>--232.71</f>
        <v>232.71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232.71</v>
      </c>
      <c r="M71" s="2"/>
      <c r="N71" s="19">
        <f t="shared" si="1"/>
        <v>0</v>
      </c>
      <c r="O71" s="11"/>
      <c r="P71" s="2">
        <f>--1969.74</f>
        <v>1969.74</v>
      </c>
      <c r="Q71" s="2"/>
      <c r="R71" s="19"/>
      <c r="S71" s="2"/>
      <c r="T71" s="2">
        <f>0</f>
        <v>0</v>
      </c>
      <c r="U71" s="2"/>
      <c r="V71" s="19"/>
      <c r="W71" s="2"/>
      <c r="X71" s="2">
        <f t="shared" si="2"/>
        <v>1969.74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"4144", " - ", "NON-TAXABLE SALES-ACCESSORIES")</f>
        <v xml:space="preserve">          4144 - NON-TAXABLE SALES-ACCESSORIES</v>
      </c>
      <c r="C72" s="11"/>
      <c r="D72" s="2">
        <f>--119.9</f>
        <v>119.9</v>
      </c>
      <c r="E72" s="2"/>
      <c r="F72" s="19"/>
      <c r="G72" s="2"/>
      <c r="H72" s="2">
        <f>--374.48</f>
        <v>374.48</v>
      </c>
      <c r="I72" s="2"/>
      <c r="J72" s="19"/>
      <c r="K72" s="2"/>
      <c r="L72" s="2">
        <f t="shared" si="0"/>
        <v>-254.58</v>
      </c>
      <c r="M72" s="2"/>
      <c r="N72" s="19">
        <f t="shared" si="1"/>
        <v>-0.67982268745994445</v>
      </c>
      <c r="O72" s="11"/>
      <c r="P72" s="2">
        <f>--609.4</f>
        <v>609.4</v>
      </c>
      <c r="Q72" s="2"/>
      <c r="R72" s="19"/>
      <c r="S72" s="2"/>
      <c r="T72" s="2">
        <f>--967.33</f>
        <v>967.33</v>
      </c>
      <c r="U72" s="2"/>
      <c r="V72" s="19"/>
      <c r="W72" s="2"/>
      <c r="X72" s="2">
        <f t="shared" si="2"/>
        <v>-357.93000000000006</v>
      </c>
      <c r="Y72" s="2"/>
      <c r="Z72" s="19">
        <f t="shared" si="3"/>
        <v>-0.37001850454343405</v>
      </c>
    </row>
    <row r="73" spans="1:26" s="24" customFormat="1" hidden="1" outlineLevel="1" x14ac:dyDescent="0.25">
      <c r="A73" s="44"/>
      <c r="B73" s="11" t="str">
        <f>CONCATENATE("          ", "4145", " - ", "NON-TAXABLE SALES-SPECIAL ORDE")</f>
        <v xml:space="preserve">          4145 - NON-TAXABLE SALES-SPECIAL ORDE</v>
      </c>
      <c r="C73" s="11"/>
      <c r="D73" s="2">
        <f>-1677.68</f>
        <v>-1677.68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-1677.68</v>
      </c>
      <c r="M73" s="2"/>
      <c r="N73" s="19">
        <f t="shared" si="1"/>
        <v>0</v>
      </c>
      <c r="O73" s="11"/>
      <c r="P73" s="2">
        <f>--53716.09</f>
        <v>53716.09</v>
      </c>
      <c r="Q73" s="2"/>
      <c r="R73" s="19"/>
      <c r="S73" s="2"/>
      <c r="T73" s="2">
        <f>--140</f>
        <v>140</v>
      </c>
      <c r="U73" s="2"/>
      <c r="V73" s="19"/>
      <c r="W73" s="2"/>
      <c r="X73" s="2">
        <f t="shared" si="2"/>
        <v>53576.09</v>
      </c>
      <c r="Y73" s="2"/>
      <c r="Z73" s="19">
        <f t="shared" si="3"/>
        <v>382.6863571428571</v>
      </c>
    </row>
    <row r="74" spans="1:26" s="24" customFormat="1" hidden="1" outlineLevel="1" x14ac:dyDescent="0.25">
      <c r="A74" s="44"/>
      <c r="B74" s="11" t="str">
        <f>CONCATENATE("          ", "4146", " - ", "NON-TAXABLE SALES-COIN OP MACH")</f>
        <v xml:space="preserve">          4146 - NON-TAXABLE SALES-COIN OP MACH</v>
      </c>
      <c r="C74" s="11"/>
      <c r="D74" s="2">
        <f>--12.7</f>
        <v>12.7</v>
      </c>
      <c r="E74" s="2"/>
      <c r="F74" s="19"/>
      <c r="G74" s="2"/>
      <c r="H74" s="2">
        <f>--17086.55</f>
        <v>17086.55</v>
      </c>
      <c r="I74" s="2"/>
      <c r="J74" s="19"/>
      <c r="K74" s="2"/>
      <c r="L74" s="2">
        <f t="shared" si="0"/>
        <v>-17073.849999999999</v>
      </c>
      <c r="M74" s="2"/>
      <c r="N74" s="19">
        <f t="shared" si="1"/>
        <v>-0.99925672531903742</v>
      </c>
      <c r="O74" s="11"/>
      <c r="P74" s="2">
        <f>--140.6</f>
        <v>140.6</v>
      </c>
      <c r="Q74" s="2"/>
      <c r="R74" s="19"/>
      <c r="S74" s="2"/>
      <c r="T74" s="2">
        <f>--163554.5</f>
        <v>163554.5</v>
      </c>
      <c r="U74" s="2"/>
      <c r="V74" s="19"/>
      <c r="W74" s="2"/>
      <c r="X74" s="2">
        <f t="shared" si="2"/>
        <v>-163413.9</v>
      </c>
      <c r="Y74" s="2"/>
      <c r="Z74" s="19">
        <f t="shared" si="3"/>
        <v>-0.99914034771284188</v>
      </c>
    </row>
    <row r="75" spans="1:26" s="24" customFormat="1" hidden="1" outlineLevel="1" x14ac:dyDescent="0.25">
      <c r="A75" s="44"/>
      <c r="B75" s="11" t="str">
        <f>CONCATENATE("          ", "4147", " - ", "NON-TAXABLE SALES-MISC")</f>
        <v xml:space="preserve">          4147 - NON-TAXABLE SALES-MISC</v>
      </c>
      <c r="C75" s="11"/>
      <c r="D75" s="2">
        <f>--11</f>
        <v>11</v>
      </c>
      <c r="E75" s="2"/>
      <c r="F75" s="19"/>
      <c r="G75" s="2"/>
      <c r="H75" s="2">
        <f>--11.5</f>
        <v>11.5</v>
      </c>
      <c r="I75" s="2"/>
      <c r="J75" s="19"/>
      <c r="K75" s="2"/>
      <c r="L75" s="2">
        <f t="shared" si="0"/>
        <v>-0.5</v>
      </c>
      <c r="M75" s="2"/>
      <c r="N75" s="19">
        <f t="shared" si="1"/>
        <v>-4.3478260869565216E-2</v>
      </c>
      <c r="O75" s="11"/>
      <c r="P75" s="2">
        <f>--115.5</f>
        <v>115.5</v>
      </c>
      <c r="Q75" s="2"/>
      <c r="R75" s="19"/>
      <c r="S75" s="2"/>
      <c r="T75" s="2">
        <f>--318.9</f>
        <v>318.89999999999998</v>
      </c>
      <c r="U75" s="2"/>
      <c r="V75" s="19"/>
      <c r="W75" s="2"/>
      <c r="X75" s="2">
        <f t="shared" si="2"/>
        <v>-203.39999999999998</v>
      </c>
      <c r="Y75" s="2"/>
      <c r="Z75" s="19">
        <f t="shared" si="3"/>
        <v>-0.63781749764816553</v>
      </c>
    </row>
    <row r="76" spans="1:26" s="24" customFormat="1" hidden="1" outlineLevel="1" x14ac:dyDescent="0.25">
      <c r="A76" s="44"/>
      <c r="B76" s="11" t="str">
        <f>CONCATENATE("          ", "4181", " - ", "NON-TAXABLE SALES-ELECTRONICS")</f>
        <v xml:space="preserve">          4181 - NON-TAXABLE SALES-ELECTRONICS</v>
      </c>
      <c r="C76" s="11"/>
      <c r="D76" s="2">
        <f>--2038.6</f>
        <v>2038.6</v>
      </c>
      <c r="E76" s="2"/>
      <c r="F76" s="19"/>
      <c r="G76" s="2"/>
      <c r="H76" s="2">
        <f>--343.91</f>
        <v>343.91</v>
      </c>
      <c r="I76" s="2"/>
      <c r="J76" s="19"/>
      <c r="K76" s="2"/>
      <c r="L76" s="2">
        <f t="shared" si="0"/>
        <v>1694.6899999999998</v>
      </c>
      <c r="M76" s="2"/>
      <c r="N76" s="19">
        <f t="shared" si="1"/>
        <v>4.9277136460120374</v>
      </c>
      <c r="O76" s="11"/>
      <c r="P76" s="2">
        <f>--5572.72</f>
        <v>5572.72</v>
      </c>
      <c r="Q76" s="2"/>
      <c r="R76" s="19"/>
      <c r="S76" s="2"/>
      <c r="T76" s="2">
        <f>--1806.42</f>
        <v>1806.42</v>
      </c>
      <c r="U76" s="2"/>
      <c r="V76" s="19"/>
      <c r="W76" s="2"/>
      <c r="X76" s="2">
        <f t="shared" si="2"/>
        <v>3766.3</v>
      </c>
      <c r="Y76" s="2"/>
      <c r="Z76" s="19">
        <f t="shared" si="3"/>
        <v>2.0849525580983381</v>
      </c>
    </row>
    <row r="77" spans="1:26" s="24" customFormat="1" hidden="1" outlineLevel="1" x14ac:dyDescent="0.25">
      <c r="A77" s="44"/>
      <c r="B77" s="11" t="str">
        <f>CONCATENATE("          ", "4182", " - ", "NON-TAXABLE SALES-COMPUTER HAR")</f>
        <v xml:space="preserve">          4182 - NON-TAXABLE SALES-COMPUTER HAR</v>
      </c>
      <c r="C77" s="11"/>
      <c r="D77" s="2">
        <f>--22090.89</f>
        <v>22090.89</v>
      </c>
      <c r="E77" s="2"/>
      <c r="F77" s="19"/>
      <c r="G77" s="2"/>
      <c r="H77" s="2">
        <f>--16176.97</f>
        <v>16176.97</v>
      </c>
      <c r="I77" s="2"/>
      <c r="J77" s="19"/>
      <c r="K77" s="2"/>
      <c r="L77" s="2">
        <f t="shared" si="0"/>
        <v>5913.92</v>
      </c>
      <c r="M77" s="2"/>
      <c r="N77" s="19">
        <f t="shared" si="1"/>
        <v>0.36557649547473975</v>
      </c>
      <c r="O77" s="11"/>
      <c r="P77" s="2">
        <f>--186399.2</f>
        <v>186399.2</v>
      </c>
      <c r="Q77" s="2"/>
      <c r="R77" s="19"/>
      <c r="S77" s="2"/>
      <c r="T77" s="2">
        <f>--86971.97</f>
        <v>86971.97</v>
      </c>
      <c r="U77" s="2"/>
      <c r="V77" s="19"/>
      <c r="W77" s="2"/>
      <c r="X77" s="2">
        <f t="shared" si="2"/>
        <v>99427.23000000001</v>
      </c>
      <c r="Y77" s="2"/>
      <c r="Z77" s="19">
        <f t="shared" si="3"/>
        <v>1.1432100480189193</v>
      </c>
    </row>
    <row r="78" spans="1:26" s="24" customFormat="1" hidden="1" outlineLevel="1" x14ac:dyDescent="0.25">
      <c r="A78" s="44"/>
      <c r="B78" s="11" t="str">
        <f>CONCATENATE("          ", "4183", " - ", "NON-TAXABLE SALES-COMPUTER EQU")</f>
        <v xml:space="preserve">          4183 - NON-TAXABLE SALES-COMPUTER EQU</v>
      </c>
      <c r="C78" s="11"/>
      <c r="D78" s="2">
        <f>--2888.95</f>
        <v>2888.95</v>
      </c>
      <c r="E78" s="2"/>
      <c r="F78" s="19"/>
      <c r="G78" s="2"/>
      <c r="H78" s="2">
        <f>--777.81</f>
        <v>777.81</v>
      </c>
      <c r="I78" s="2"/>
      <c r="J78" s="19"/>
      <c r="K78" s="2"/>
      <c r="L78" s="2">
        <f t="shared" si="0"/>
        <v>2111.14</v>
      </c>
      <c r="M78" s="2"/>
      <c r="N78" s="19">
        <f t="shared" si="1"/>
        <v>2.714210411282961</v>
      </c>
      <c r="O78" s="11"/>
      <c r="P78" s="2">
        <f>--10518.14</f>
        <v>10518.14</v>
      </c>
      <c r="Q78" s="2"/>
      <c r="R78" s="19"/>
      <c r="S78" s="2"/>
      <c r="T78" s="2">
        <f>--4349.44</f>
        <v>4349.4399999999996</v>
      </c>
      <c r="U78" s="2"/>
      <c r="V78" s="19"/>
      <c r="W78" s="2"/>
      <c r="X78" s="2">
        <f t="shared" si="2"/>
        <v>6168.7</v>
      </c>
      <c r="Y78" s="2"/>
      <c r="Z78" s="19">
        <f t="shared" si="3"/>
        <v>1.4182745364920541</v>
      </c>
    </row>
    <row r="79" spans="1:26" s="24" customFormat="1" hidden="1" outlineLevel="1" x14ac:dyDescent="0.25">
      <c r="A79" s="44"/>
      <c r="B79" s="11" t="str">
        <f>CONCATENATE("          ", "4184", " - ", "NON-TAXABLE SALES-SOFTWARE LIC")</f>
        <v xml:space="preserve">          4184 - NON-TAXABLE SALES-SOFTWARE LIC</v>
      </c>
      <c r="C79" s="11"/>
      <c r="D79" s="2">
        <f>0</f>
        <v>0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0</f>
        <v>0</v>
      </c>
      <c r="Q79" s="2"/>
      <c r="R79" s="19"/>
      <c r="S79" s="2"/>
      <c r="T79" s="2">
        <f>--2728</f>
        <v>2728</v>
      </c>
      <c r="U79" s="2"/>
      <c r="V79" s="19"/>
      <c r="W79" s="2"/>
      <c r="X79" s="2">
        <f t="shared" si="2"/>
        <v>-2728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"4185", " - ", "NON-TAXABLE SALES-SOFTWARE")</f>
        <v xml:space="preserve">          4185 - NON-TAXABLE SALES-SOFTWARE</v>
      </c>
      <c r="C80" s="11"/>
      <c r="D80" s="2">
        <f>--3149.85</f>
        <v>3149.85</v>
      </c>
      <c r="E80" s="2"/>
      <c r="F80" s="19"/>
      <c r="G80" s="2"/>
      <c r="H80" s="2">
        <f>--1925.98</f>
        <v>1925.98</v>
      </c>
      <c r="I80" s="2"/>
      <c r="J80" s="19"/>
      <c r="K80" s="2"/>
      <c r="L80" s="2">
        <f t="shared" si="0"/>
        <v>1223.8699999999999</v>
      </c>
      <c r="M80" s="2"/>
      <c r="N80" s="19">
        <f t="shared" si="1"/>
        <v>0.63545311997009313</v>
      </c>
      <c r="O80" s="11"/>
      <c r="P80" s="2">
        <f>--29830.52</f>
        <v>29830.52</v>
      </c>
      <c r="Q80" s="2"/>
      <c r="R80" s="19"/>
      <c r="S80" s="2"/>
      <c r="T80" s="2">
        <f>--11327.82</f>
        <v>11327.82</v>
      </c>
      <c r="U80" s="2"/>
      <c r="V80" s="19"/>
      <c r="W80" s="2"/>
      <c r="X80" s="2">
        <f t="shared" si="2"/>
        <v>18502.7</v>
      </c>
      <c r="Y80" s="2"/>
      <c r="Z80" s="19">
        <f t="shared" si="3"/>
        <v>1.6333857706072308</v>
      </c>
    </row>
    <row r="81" spans="1:26" s="24" customFormat="1" hidden="1" outlineLevel="1" x14ac:dyDescent="0.25">
      <c r="A81" s="44"/>
      <c r="B81" s="11" t="str">
        <f>CONCATENATE("          ", "4186", " - ", "NON-TAXABLE SALES-COMPUTER SUP")</f>
        <v xml:space="preserve">          4186 - NON-TAXABLE SALES-COMPUTER SUP</v>
      </c>
      <c r="C81" s="11"/>
      <c r="D81" s="2">
        <f>--535.04</f>
        <v>535.04</v>
      </c>
      <c r="E81" s="2"/>
      <c r="F81" s="19"/>
      <c r="G81" s="2"/>
      <c r="H81" s="2">
        <f>--326.92</f>
        <v>326.92</v>
      </c>
      <c r="I81" s="2"/>
      <c r="J81" s="19"/>
      <c r="K81" s="2"/>
      <c r="L81" s="2">
        <f t="shared" si="0"/>
        <v>208.11999999999995</v>
      </c>
      <c r="M81" s="2"/>
      <c r="N81" s="19">
        <f t="shared" si="1"/>
        <v>0.63660834454912496</v>
      </c>
      <c r="O81" s="11"/>
      <c r="P81" s="2">
        <f>--2485.03</f>
        <v>2485.0300000000002</v>
      </c>
      <c r="Q81" s="2"/>
      <c r="R81" s="19"/>
      <c r="S81" s="2"/>
      <c r="T81" s="2">
        <f>--1949.31</f>
        <v>1949.31</v>
      </c>
      <c r="U81" s="2"/>
      <c r="V81" s="19"/>
      <c r="W81" s="2"/>
      <c r="X81" s="2">
        <f t="shared" si="2"/>
        <v>535.72000000000025</v>
      </c>
      <c r="Y81" s="2"/>
      <c r="Z81" s="19">
        <f t="shared" si="3"/>
        <v>0.27482545105704081</v>
      </c>
    </row>
    <row r="82" spans="1:26" s="24" customFormat="1" hidden="1" outlineLevel="1" x14ac:dyDescent="0.25">
      <c r="A82" s="44"/>
      <c r="B82" s="11" t="str">
        <f>CONCATENATE("          ", "4188", " - ", "NON-TAXABLE SALES-MUSIC")</f>
        <v xml:space="preserve">          4188 - NON-TAXABLE SALES-MUSIC</v>
      </c>
      <c r="C82" s="11"/>
      <c r="D82" s="2">
        <f>0</f>
        <v>0</v>
      </c>
      <c r="E82" s="2"/>
      <c r="F82" s="19"/>
      <c r="G82" s="2"/>
      <c r="H82" s="2">
        <f>0</f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0</f>
        <v>0</v>
      </c>
      <c r="Q82" s="2"/>
      <c r="R82" s="19"/>
      <c r="S82" s="2"/>
      <c r="T82" s="2">
        <f>--219.96</f>
        <v>219.96</v>
      </c>
      <c r="U82" s="2"/>
      <c r="V82" s="19"/>
      <c r="W82" s="2"/>
      <c r="X82" s="2">
        <f t="shared" si="2"/>
        <v>-219.96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"4201", " - ", "SALES RETURN TAXABLE-NEW TEXT")</f>
        <v xml:space="preserve">          4201 - SALES RETURN TAXABLE-NEW TEXT</v>
      </c>
      <c r="C83" s="11"/>
      <c r="D83" s="2">
        <f>-12741.9</f>
        <v>-12741.9</v>
      </c>
      <c r="E83" s="2"/>
      <c r="F83" s="19"/>
      <c r="G83" s="2"/>
      <c r="H83" s="2">
        <f>-37895.48</f>
        <v>-37895.480000000003</v>
      </c>
      <c r="I83" s="2"/>
      <c r="J83" s="19"/>
      <c r="K83" s="2"/>
      <c r="L83" s="2">
        <f t="shared" si="0"/>
        <v>25153.58</v>
      </c>
      <c r="M83" s="2"/>
      <c r="N83" s="19">
        <f t="shared" si="1"/>
        <v>-0.66376201066723528</v>
      </c>
      <c r="O83" s="11"/>
      <c r="P83" s="2">
        <f>-48517.74</f>
        <v>-48517.74</v>
      </c>
      <c r="Q83" s="2"/>
      <c r="R83" s="19"/>
      <c r="S83" s="2"/>
      <c r="T83" s="2">
        <f>-116625.85</f>
        <v>-116625.85</v>
      </c>
      <c r="U83" s="2"/>
      <c r="V83" s="19"/>
      <c r="W83" s="2"/>
      <c r="X83" s="2">
        <f t="shared" si="2"/>
        <v>68108.110000000015</v>
      </c>
      <c r="Y83" s="2"/>
      <c r="Z83" s="19">
        <f t="shared" si="3"/>
        <v>-0.58398811241247128</v>
      </c>
    </row>
    <row r="84" spans="1:26" s="24" customFormat="1" hidden="1" outlineLevel="1" x14ac:dyDescent="0.25">
      <c r="A84" s="44"/>
      <c r="B84" s="11" t="str">
        <f>CONCATENATE("          ", "4202", " - ", "SALES RETURN TAXABLE-USED TEXT")</f>
        <v xml:space="preserve">          4202 - SALES RETURN TAXABLE-USED TEXT</v>
      </c>
      <c r="C84" s="11"/>
      <c r="D84" s="2">
        <f>-4670.3</f>
        <v>-4670.3</v>
      </c>
      <c r="E84" s="2"/>
      <c r="F84" s="19"/>
      <c r="G84" s="2"/>
      <c r="H84" s="2">
        <f>-16170.8</f>
        <v>-16170.8</v>
      </c>
      <c r="I84" s="2"/>
      <c r="J84" s="19"/>
      <c r="K84" s="2"/>
      <c r="L84" s="2">
        <f t="shared" si="0"/>
        <v>11500.5</v>
      </c>
      <c r="M84" s="2"/>
      <c r="N84" s="19">
        <f t="shared" si="1"/>
        <v>-0.71118930417790094</v>
      </c>
      <c r="O84" s="11"/>
      <c r="P84" s="2">
        <f>-18536.3</f>
        <v>-18536.3</v>
      </c>
      <c r="Q84" s="2"/>
      <c r="R84" s="19"/>
      <c r="S84" s="2"/>
      <c r="T84" s="2">
        <f>-43379.15</f>
        <v>-43379.15</v>
      </c>
      <c r="U84" s="2"/>
      <c r="V84" s="19"/>
      <c r="W84" s="2"/>
      <c r="X84" s="2">
        <f t="shared" si="2"/>
        <v>24842.850000000002</v>
      </c>
      <c r="Y84" s="2"/>
      <c r="Z84" s="19">
        <f t="shared" si="3"/>
        <v>-0.57269102783249559</v>
      </c>
    </row>
    <row r="85" spans="1:26" s="24" customFormat="1" hidden="1" outlineLevel="1" x14ac:dyDescent="0.25">
      <c r="A85" s="44"/>
      <c r="B85" s="11" t="str">
        <f>CONCATENATE("          ", "4203", " - ", "SALES RETURN TAXABLE-RENTAL TE")</f>
        <v xml:space="preserve">          4203 - SALES RETURN TAXABLE-RENTAL TE</v>
      </c>
      <c r="C85" s="11"/>
      <c r="D85" s="2">
        <f t="shared" ref="D85:D92" si="15">0</f>
        <v>0</v>
      </c>
      <c r="E85" s="2"/>
      <c r="F85" s="19"/>
      <c r="G85" s="2"/>
      <c r="H85" s="2">
        <f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0</f>
        <v>0</v>
      </c>
      <c r="Q85" s="2"/>
      <c r="R85" s="19"/>
      <c r="S85" s="2"/>
      <c r="T85" s="2">
        <f>-144.99</f>
        <v>-144.99</v>
      </c>
      <c r="U85" s="2"/>
      <c r="V85" s="19"/>
      <c r="W85" s="2"/>
      <c r="X85" s="2">
        <f t="shared" si="2"/>
        <v>144.99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"4204", " - ", "SALES RETURN TAXABLE-DIGITAL T")</f>
        <v xml:space="preserve">          4204 - SALES RETURN TAXABLE-DIGITAL T</v>
      </c>
      <c r="C86" s="11"/>
      <c r="D86" s="2">
        <f t="shared" si="15"/>
        <v>0</v>
      </c>
      <c r="E86" s="2"/>
      <c r="F86" s="19"/>
      <c r="G86" s="2"/>
      <c r="H86" s="2">
        <f>-4891.98</f>
        <v>-4891.9799999999996</v>
      </c>
      <c r="I86" s="2"/>
      <c r="J86" s="19"/>
      <c r="K86" s="2"/>
      <c r="L86" s="2">
        <f t="shared" si="0"/>
        <v>4891.9799999999996</v>
      </c>
      <c r="M86" s="2"/>
      <c r="N86" s="19">
        <f t="shared" si="1"/>
        <v>-1</v>
      </c>
      <c r="O86" s="11"/>
      <c r="P86" s="2">
        <f>-1630.85</f>
        <v>-1630.85</v>
      </c>
      <c r="Q86" s="2"/>
      <c r="R86" s="19"/>
      <c r="S86" s="2"/>
      <c r="T86" s="2">
        <f>-16261.44</f>
        <v>-16261.44</v>
      </c>
      <c r="U86" s="2"/>
      <c r="V86" s="19"/>
      <c r="W86" s="2"/>
      <c r="X86" s="2">
        <f t="shared" si="2"/>
        <v>14630.59</v>
      </c>
      <c r="Y86" s="2"/>
      <c r="Z86" s="19">
        <f t="shared" si="3"/>
        <v>-0.89971060373497058</v>
      </c>
    </row>
    <row r="87" spans="1:26" s="24" customFormat="1" hidden="1" outlineLevel="1" x14ac:dyDescent="0.25">
      <c r="A87" s="44"/>
      <c r="B87" s="11" t="str">
        <f>CONCATENATE("          ", "4213", " - ", "NON-TAXABLE SALES-TRADE BOOKS")</f>
        <v xml:space="preserve">          4213 - NON-TAXABLE SALES-TRADE BOOKS</v>
      </c>
      <c r="C87" s="11"/>
      <c r="D87" s="2">
        <f t="shared" si="15"/>
        <v>0</v>
      </c>
      <c r="E87" s="2"/>
      <c r="F87" s="19"/>
      <c r="G87" s="2"/>
      <c r="H87" s="2">
        <f>-13.95</f>
        <v>-13.95</v>
      </c>
      <c r="I87" s="2"/>
      <c r="J87" s="19"/>
      <c r="K87" s="2"/>
      <c r="L87" s="2">
        <f t="shared" si="0"/>
        <v>13.95</v>
      </c>
      <c r="M87" s="2"/>
      <c r="N87" s="19">
        <f t="shared" si="1"/>
        <v>-1</v>
      </c>
      <c r="O87" s="11"/>
      <c r="P87" s="2">
        <f t="shared" ref="P87:P91" si="16">0</f>
        <v>0</v>
      </c>
      <c r="Q87" s="2"/>
      <c r="R87" s="19"/>
      <c r="S87" s="2"/>
      <c r="T87" s="2">
        <f>-116.66</f>
        <v>-116.66</v>
      </c>
      <c r="U87" s="2"/>
      <c r="V87" s="19"/>
      <c r="W87" s="2"/>
      <c r="X87" s="2">
        <f t="shared" si="2"/>
        <v>116.66</v>
      </c>
      <c r="Y87" s="2"/>
      <c r="Z87" s="19">
        <f t="shared" si="3"/>
        <v>-1</v>
      </c>
    </row>
    <row r="88" spans="1:26" s="24" customFormat="1" hidden="1" outlineLevel="1" x14ac:dyDescent="0.25">
      <c r="A88" s="44"/>
      <c r="B88" s="11" t="str">
        <f>CONCATENATE("          ", "4214", " - ", "SALES RETURN TAXABLE-REMAINDER")</f>
        <v xml:space="preserve">          4214 - SALES RETURN TAXABLE-REMAINDER</v>
      </c>
      <c r="C88" s="11"/>
      <c r="D88" s="2">
        <f t="shared" si="15"/>
        <v>0</v>
      </c>
      <c r="E88" s="2"/>
      <c r="F88" s="19"/>
      <c r="G88" s="2"/>
      <c r="H88" s="2">
        <f t="shared" ref="H88:H89" si="17">0</f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 t="shared" si="16"/>
        <v>0</v>
      </c>
      <c r="Q88" s="2"/>
      <c r="R88" s="19"/>
      <c r="S88" s="2"/>
      <c r="T88" s="2">
        <f>-11.94</f>
        <v>-11.94</v>
      </c>
      <c r="U88" s="2"/>
      <c r="V88" s="19"/>
      <c r="W88" s="2"/>
      <c r="X88" s="2">
        <f t="shared" si="2"/>
        <v>11.94</v>
      </c>
      <c r="Y88" s="2"/>
      <c r="Z88" s="19">
        <f t="shared" si="3"/>
        <v>-1</v>
      </c>
    </row>
    <row r="89" spans="1:26" s="24" customFormat="1" hidden="1" outlineLevel="1" x14ac:dyDescent="0.25">
      <c r="A89" s="44"/>
      <c r="B89" s="11" t="str">
        <f>CONCATENATE("          ", "4217", " - ", "NON-TAXABLE SALES-DORM/HOUSEWA")</f>
        <v xml:space="preserve">          4217 - NON-TAXABLE SALES-DORM/HOUSEWA</v>
      </c>
      <c r="C89" s="11"/>
      <c r="D89" s="2">
        <f t="shared" si="15"/>
        <v>0</v>
      </c>
      <c r="E89" s="2"/>
      <c r="F89" s="19"/>
      <c r="G89" s="2"/>
      <c r="H89" s="2">
        <f t="shared" si="17"/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 t="shared" si="16"/>
        <v>0</v>
      </c>
      <c r="Q89" s="2"/>
      <c r="R89" s="19"/>
      <c r="S89" s="2"/>
      <c r="T89" s="2">
        <f>-2.98</f>
        <v>-2.98</v>
      </c>
      <c r="U89" s="2"/>
      <c r="V89" s="19"/>
      <c r="W89" s="2"/>
      <c r="X89" s="2">
        <f t="shared" si="2"/>
        <v>2.98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"4218", " - ", "SALES RETURN TAXABLE-STUDY GUI")</f>
        <v xml:space="preserve">          4218 - SALES RETURN TAXABLE-STUDY GUI</v>
      </c>
      <c r="C90" s="11"/>
      <c r="D90" s="2">
        <f t="shared" si="15"/>
        <v>0</v>
      </c>
      <c r="E90" s="2"/>
      <c r="F90" s="19"/>
      <c r="G90" s="2"/>
      <c r="H90" s="2">
        <f>-6.5</f>
        <v>-6.5</v>
      </c>
      <c r="I90" s="2"/>
      <c r="J90" s="19"/>
      <c r="K90" s="2"/>
      <c r="L90" s="2">
        <f t="shared" si="0"/>
        <v>6.5</v>
      </c>
      <c r="M90" s="2"/>
      <c r="N90" s="19">
        <f t="shared" si="1"/>
        <v>-1</v>
      </c>
      <c r="O90" s="11"/>
      <c r="P90" s="2">
        <f t="shared" si="16"/>
        <v>0</v>
      </c>
      <c r="Q90" s="2"/>
      <c r="R90" s="19"/>
      <c r="S90" s="2"/>
      <c r="T90" s="2">
        <f>-39.25</f>
        <v>-39.25</v>
      </c>
      <c r="U90" s="2"/>
      <c r="V90" s="19"/>
      <c r="W90" s="2"/>
      <c r="X90" s="2">
        <f t="shared" si="2"/>
        <v>39.25</v>
      </c>
      <c r="Y90" s="2"/>
      <c r="Z90" s="19">
        <f t="shared" si="3"/>
        <v>-1</v>
      </c>
    </row>
    <row r="91" spans="1:26" s="24" customFormat="1" hidden="1" outlineLevel="1" x14ac:dyDescent="0.25">
      <c r="A91" s="44"/>
      <c r="B91" s="11" t="str">
        <f>CONCATENATE("          ", "4225", " - ", "SALES RETURN TAXABLE-TEST FORM")</f>
        <v xml:space="preserve">          4225 - SALES RETURN TAXABLE-TEST FORM</v>
      </c>
      <c r="C91" s="11"/>
      <c r="D91" s="2">
        <f t="shared" si="15"/>
        <v>0</v>
      </c>
      <c r="E91" s="2"/>
      <c r="F91" s="19"/>
      <c r="G91" s="2"/>
      <c r="H91" s="2">
        <f>-14.74</f>
        <v>-14.74</v>
      </c>
      <c r="I91" s="2"/>
      <c r="J91" s="19"/>
      <c r="K91" s="2"/>
      <c r="L91" s="2">
        <f t="shared" si="0"/>
        <v>14.74</v>
      </c>
      <c r="M91" s="2"/>
      <c r="N91" s="19">
        <f t="shared" si="1"/>
        <v>-1</v>
      </c>
      <c r="O91" s="11"/>
      <c r="P91" s="2">
        <f t="shared" si="16"/>
        <v>0</v>
      </c>
      <c r="Q91" s="2"/>
      <c r="R91" s="19"/>
      <c r="S91" s="2"/>
      <c r="T91" s="2">
        <f>-95.71</f>
        <v>-95.71</v>
      </c>
      <c r="U91" s="2"/>
      <c r="V91" s="19"/>
      <c r="W91" s="2"/>
      <c r="X91" s="2">
        <f t="shared" si="2"/>
        <v>95.71</v>
      </c>
      <c r="Y91" s="2"/>
      <c r="Z91" s="19">
        <f t="shared" si="3"/>
        <v>-1</v>
      </c>
    </row>
    <row r="92" spans="1:26" s="24" customFormat="1" hidden="1" outlineLevel="1" x14ac:dyDescent="0.25">
      <c r="A92" s="44"/>
      <c r="B92" s="11" t="str">
        <f>CONCATENATE("          ", "4226", " - ", "SALES RETURN TAXABLE-WRITING I")</f>
        <v xml:space="preserve">          4226 - SALES RETURN TAXABLE-WRITING I</v>
      </c>
      <c r="C92" s="11"/>
      <c r="D92" s="2">
        <f t="shared" si="15"/>
        <v>0</v>
      </c>
      <c r="E92" s="2"/>
      <c r="F92" s="19"/>
      <c r="G92" s="2"/>
      <c r="H92" s="2">
        <f>-149.55</f>
        <v>-149.55000000000001</v>
      </c>
      <c r="I92" s="2"/>
      <c r="J92" s="19"/>
      <c r="K92" s="2"/>
      <c r="L92" s="2">
        <f t="shared" si="0"/>
        <v>149.55000000000001</v>
      </c>
      <c r="M92" s="2"/>
      <c r="N92" s="19">
        <f t="shared" si="1"/>
        <v>-1</v>
      </c>
      <c r="O92" s="11"/>
      <c r="P92" s="2">
        <f>-34.23</f>
        <v>-34.229999999999997</v>
      </c>
      <c r="Q92" s="2"/>
      <c r="R92" s="19"/>
      <c r="S92" s="2"/>
      <c r="T92" s="2">
        <f>-680.91</f>
        <v>-680.91</v>
      </c>
      <c r="U92" s="2"/>
      <c r="V92" s="19"/>
      <c r="W92" s="2"/>
      <c r="X92" s="2">
        <f t="shared" si="2"/>
        <v>646.67999999999995</v>
      </c>
      <c r="Y92" s="2"/>
      <c r="Z92" s="19">
        <f t="shared" si="3"/>
        <v>-0.94972903908005457</v>
      </c>
    </row>
    <row r="93" spans="1:26" s="24" customFormat="1" hidden="1" outlineLevel="1" x14ac:dyDescent="0.25">
      <c r="A93" s="44"/>
      <c r="B93" s="11" t="str">
        <f>CONCATENATE("          ", "4227", " - ", "SALES RETURN TAXABLE-SCHOOL SU")</f>
        <v xml:space="preserve">          4227 - SALES RETURN TAXABLE-SCHOOL SU</v>
      </c>
      <c r="C93" s="11"/>
      <c r="D93" s="2">
        <f>-126.22</f>
        <v>-126.22</v>
      </c>
      <c r="E93" s="2"/>
      <c r="F93" s="19"/>
      <c r="G93" s="2"/>
      <c r="H93" s="2">
        <f>-962.28</f>
        <v>-962.28</v>
      </c>
      <c r="I93" s="2"/>
      <c r="J93" s="19"/>
      <c r="K93" s="2"/>
      <c r="L93" s="2">
        <f t="shared" si="0"/>
        <v>836.06</v>
      </c>
      <c r="M93" s="2"/>
      <c r="N93" s="19">
        <f t="shared" si="1"/>
        <v>-0.86883235648667745</v>
      </c>
      <c r="O93" s="11"/>
      <c r="P93" s="2">
        <f>-762.68</f>
        <v>-762.68</v>
      </c>
      <c r="Q93" s="2"/>
      <c r="R93" s="19"/>
      <c r="S93" s="2"/>
      <c r="T93" s="2">
        <f>-6910.86</f>
        <v>-6910.86</v>
      </c>
      <c r="U93" s="2"/>
      <c r="V93" s="19"/>
      <c r="W93" s="2"/>
      <c r="X93" s="2">
        <f t="shared" si="2"/>
        <v>6148.1799999999994</v>
      </c>
      <c r="Y93" s="2"/>
      <c r="Z93" s="19">
        <f t="shared" si="3"/>
        <v>-0.88964036313859629</v>
      </c>
    </row>
    <row r="94" spans="1:26" s="24" customFormat="1" hidden="1" outlineLevel="1" x14ac:dyDescent="0.25">
      <c r="A94" s="44"/>
      <c r="B94" s="11" t="str">
        <f>CONCATENATE("          ", "4228", " - ", "SALES RETURN TAXABLE-ART/TECH")</f>
        <v xml:space="preserve">          4228 - SALES RETURN TAXABLE-ART/TECH</v>
      </c>
      <c r="C94" s="11"/>
      <c r="D94" s="2">
        <f>-12473.84</f>
        <v>-12473.84</v>
      </c>
      <c r="E94" s="2"/>
      <c r="F94" s="19"/>
      <c r="G94" s="2"/>
      <c r="H94" s="2">
        <f>-766.07</f>
        <v>-766.07</v>
      </c>
      <c r="I94" s="2"/>
      <c r="J94" s="19"/>
      <c r="K94" s="2"/>
      <c r="L94" s="2">
        <f t="shared" si="0"/>
        <v>-11707.77</v>
      </c>
      <c r="M94" s="2"/>
      <c r="N94" s="19">
        <f t="shared" si="1"/>
        <v>15.282898429647421</v>
      </c>
      <c r="O94" s="11"/>
      <c r="P94" s="2">
        <f>-12728.53</f>
        <v>-12728.53</v>
      </c>
      <c r="Q94" s="2"/>
      <c r="R94" s="19"/>
      <c r="S94" s="2"/>
      <c r="T94" s="2">
        <f>-3914.69</f>
        <v>-3914.69</v>
      </c>
      <c r="U94" s="2"/>
      <c r="V94" s="19"/>
      <c r="W94" s="2"/>
      <c r="X94" s="2">
        <f t="shared" si="2"/>
        <v>-8813.84</v>
      </c>
      <c r="Y94" s="2"/>
      <c r="Z94" s="19">
        <f t="shared" si="3"/>
        <v>2.2514784056975139</v>
      </c>
    </row>
    <row r="95" spans="1:26" s="24" customFormat="1" hidden="1" outlineLevel="1" x14ac:dyDescent="0.25">
      <c r="A95" s="44"/>
      <c r="B95" s="11" t="str">
        <f>CONCATENATE("          ", "4233", " - ", "SALES RETURN TAXABLE-CANDY")</f>
        <v xml:space="preserve">          4233 - SALES RETURN TAXABLE-CANDY</v>
      </c>
      <c r="C95" s="11"/>
      <c r="D95" s="2">
        <f>0</f>
        <v>0</v>
      </c>
      <c r="E95" s="2"/>
      <c r="F95" s="19"/>
      <c r="G95" s="2"/>
      <c r="H95" s="2">
        <f>0</f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0</f>
        <v>0</v>
      </c>
      <c r="Q95" s="2"/>
      <c r="R95" s="19"/>
      <c r="S95" s="2"/>
      <c r="T95" s="2">
        <f>-1.29</f>
        <v>-1.29</v>
      </c>
      <c r="U95" s="2"/>
      <c r="V95" s="19"/>
      <c r="W95" s="2"/>
      <c r="X95" s="2">
        <f t="shared" si="2"/>
        <v>1.29</v>
      </c>
      <c r="Y95" s="2"/>
      <c r="Z95" s="19">
        <f t="shared" si="3"/>
        <v>-1</v>
      </c>
    </row>
    <row r="96" spans="1:26" s="24" customFormat="1" hidden="1" outlineLevel="1" x14ac:dyDescent="0.25">
      <c r="A96" s="44"/>
      <c r="B96" s="11" t="str">
        <f>CONCATENATE("          ", "4240", " - ", "SALES RETURN TAXABLE-LOGO CLOT")</f>
        <v xml:space="preserve">          4240 - SALES RETURN TAXABLE-LOGO CLOT</v>
      </c>
      <c r="C96" s="11"/>
      <c r="D96" s="2">
        <f>-7168.03</f>
        <v>-7168.03</v>
      </c>
      <c r="E96" s="2"/>
      <c r="F96" s="19"/>
      <c r="G96" s="2"/>
      <c r="H96" s="2">
        <f>-12286.81</f>
        <v>-12286.81</v>
      </c>
      <c r="I96" s="2"/>
      <c r="J96" s="19"/>
      <c r="K96" s="2"/>
      <c r="L96" s="2">
        <f t="shared" si="0"/>
        <v>5118.78</v>
      </c>
      <c r="M96" s="2"/>
      <c r="N96" s="19">
        <f t="shared" si="1"/>
        <v>-0.41660772812471258</v>
      </c>
      <c r="O96" s="11"/>
      <c r="P96" s="2">
        <f>-27586.87</f>
        <v>-27586.87</v>
      </c>
      <c r="Q96" s="2"/>
      <c r="R96" s="19"/>
      <c r="S96" s="2"/>
      <c r="T96" s="2">
        <f>-61608.75</f>
        <v>-61608.75</v>
      </c>
      <c r="U96" s="2"/>
      <c r="V96" s="19"/>
      <c r="W96" s="2"/>
      <c r="X96" s="2">
        <f t="shared" si="2"/>
        <v>34021.880000000005</v>
      </c>
      <c r="Y96" s="2"/>
      <c r="Z96" s="19">
        <f t="shared" si="3"/>
        <v>-0.55222480572970567</v>
      </c>
    </row>
    <row r="97" spans="1:26" s="24" customFormat="1" hidden="1" outlineLevel="1" x14ac:dyDescent="0.25">
      <c r="A97" s="44"/>
      <c r="B97" s="11" t="str">
        <f>CONCATENATE("          ", "4241", " - ", "SALES RETURN TAXABLE-LOGO GIFT")</f>
        <v xml:space="preserve">          4241 - SALES RETURN TAXABLE-LOGO GIFT</v>
      </c>
      <c r="C97" s="11"/>
      <c r="D97" s="2">
        <f>-1397.46</f>
        <v>-1397.46</v>
      </c>
      <c r="E97" s="2"/>
      <c r="F97" s="19"/>
      <c r="G97" s="2"/>
      <c r="H97" s="2">
        <f>-805.34</f>
        <v>-805.34</v>
      </c>
      <c r="I97" s="2"/>
      <c r="J97" s="19"/>
      <c r="K97" s="2"/>
      <c r="L97" s="2">
        <f t="shared" si="0"/>
        <v>-592.12</v>
      </c>
      <c r="M97" s="2"/>
      <c r="N97" s="19">
        <f t="shared" si="1"/>
        <v>0.73524225792832842</v>
      </c>
      <c r="O97" s="11"/>
      <c r="P97" s="2">
        <f>-4957.47</f>
        <v>-4957.47</v>
      </c>
      <c r="Q97" s="2"/>
      <c r="R97" s="19"/>
      <c r="S97" s="2"/>
      <c r="T97" s="2">
        <f>-4954.21</f>
        <v>-4954.21</v>
      </c>
      <c r="U97" s="2"/>
      <c r="V97" s="19"/>
      <c r="W97" s="2"/>
      <c r="X97" s="2">
        <f t="shared" si="2"/>
        <v>-3.2600000000002183</v>
      </c>
      <c r="Y97" s="2"/>
      <c r="Z97" s="19">
        <f t="shared" si="3"/>
        <v>6.5802620397605635E-4</v>
      </c>
    </row>
    <row r="98" spans="1:26" s="24" customFormat="1" hidden="1" outlineLevel="1" x14ac:dyDescent="0.25">
      <c r="A98" s="44"/>
      <c r="B98" s="11" t="str">
        <f>CONCATENATE("          ", "4242", " - ", "SALES RETURN TAXABLE-EVERYDAY")</f>
        <v xml:space="preserve">          4242 - SALES RETURN TAXABLE-EVERYDAY</v>
      </c>
      <c r="C98" s="11"/>
      <c r="D98" s="2">
        <f>-76.86</f>
        <v>-76.86</v>
      </c>
      <c r="E98" s="2"/>
      <c r="F98" s="19"/>
      <c r="G98" s="2"/>
      <c r="H98" s="2">
        <f>-754.91</f>
        <v>-754.91</v>
      </c>
      <c r="I98" s="2"/>
      <c r="J98" s="19"/>
      <c r="K98" s="2"/>
      <c r="L98" s="2">
        <f t="shared" si="0"/>
        <v>678.05</v>
      </c>
      <c r="M98" s="2"/>
      <c r="N98" s="19">
        <f t="shared" si="1"/>
        <v>-0.89818653879270371</v>
      </c>
      <c r="O98" s="11"/>
      <c r="P98" s="2">
        <f>-1693.78</f>
        <v>-1693.78</v>
      </c>
      <c r="Q98" s="2"/>
      <c r="R98" s="19"/>
      <c r="S98" s="2"/>
      <c r="T98" s="2">
        <f>-3544.33</f>
        <v>-3544.33</v>
      </c>
      <c r="U98" s="2"/>
      <c r="V98" s="19"/>
      <c r="W98" s="2"/>
      <c r="X98" s="2">
        <f t="shared" si="2"/>
        <v>1850.55</v>
      </c>
      <c r="Y98" s="2"/>
      <c r="Z98" s="19">
        <f t="shared" si="3"/>
        <v>-0.52211560435963922</v>
      </c>
    </row>
    <row r="99" spans="1:26" s="24" customFormat="1" hidden="1" outlineLevel="1" x14ac:dyDescent="0.25">
      <c r="A99" s="44"/>
      <c r="B99" s="11" t="str">
        <f>CONCATENATE("          ", "4243", " - ", "SALES RETURN TAXABLE-CARDS")</f>
        <v xml:space="preserve">          4243 - SALES RETURN TAXABLE-CARDS</v>
      </c>
      <c r="C99" s="11"/>
      <c r="D99" s="2">
        <f>-1422.25</f>
        <v>-1422.25</v>
      </c>
      <c r="E99" s="2"/>
      <c r="F99" s="19"/>
      <c r="G99" s="2"/>
      <c r="H99" s="2">
        <f>-344.74</f>
        <v>-344.74</v>
      </c>
      <c r="I99" s="2"/>
      <c r="J99" s="19"/>
      <c r="K99" s="2"/>
      <c r="L99" s="2">
        <f t="shared" si="0"/>
        <v>-1077.51</v>
      </c>
      <c r="M99" s="2"/>
      <c r="N99" s="19">
        <f t="shared" si="1"/>
        <v>3.1255728955154609</v>
      </c>
      <c r="O99" s="11"/>
      <c r="P99" s="2">
        <f>-4999.79</f>
        <v>-4999.79</v>
      </c>
      <c r="Q99" s="2"/>
      <c r="R99" s="19"/>
      <c r="S99" s="2"/>
      <c r="T99" s="2">
        <f>-1224.21</f>
        <v>-1224.21</v>
      </c>
      <c r="U99" s="2"/>
      <c r="V99" s="19"/>
      <c r="W99" s="2"/>
      <c r="X99" s="2">
        <f t="shared" si="2"/>
        <v>-3775.58</v>
      </c>
      <c r="Y99" s="2"/>
      <c r="Z99" s="19">
        <f t="shared" si="3"/>
        <v>3.0840950490520416</v>
      </c>
    </row>
    <row r="100" spans="1:26" s="24" customFormat="1" hidden="1" outlineLevel="1" x14ac:dyDescent="0.25">
      <c r="A100" s="44"/>
      <c r="B100" s="11" t="str">
        <f>CONCATENATE("          ", "4244", " - ", "SALES RETURN TAXABLE-ACCESSORI")</f>
        <v xml:space="preserve">          4244 - SALES RETURN TAXABLE-ACCESSORI</v>
      </c>
      <c r="C100" s="11"/>
      <c r="D100" s="2">
        <f>-93.98</f>
        <v>-93.98</v>
      </c>
      <c r="E100" s="2"/>
      <c r="F100" s="19"/>
      <c r="G100" s="2"/>
      <c r="H100" s="2">
        <f>-370.28</f>
        <v>-370.28</v>
      </c>
      <c r="I100" s="2"/>
      <c r="J100" s="19"/>
      <c r="K100" s="2"/>
      <c r="L100" s="2">
        <f t="shared" si="0"/>
        <v>276.29999999999995</v>
      </c>
      <c r="M100" s="2"/>
      <c r="N100" s="19">
        <f t="shared" si="1"/>
        <v>-0.74619207086529105</v>
      </c>
      <c r="O100" s="11"/>
      <c r="P100" s="2">
        <f>-984.85</f>
        <v>-984.85</v>
      </c>
      <c r="Q100" s="2"/>
      <c r="R100" s="19"/>
      <c r="S100" s="2"/>
      <c r="T100" s="2">
        <f>-2102.05</f>
        <v>-2102.0500000000002</v>
      </c>
      <c r="U100" s="2"/>
      <c r="V100" s="19"/>
      <c r="W100" s="2"/>
      <c r="X100" s="2">
        <f t="shared" si="2"/>
        <v>1117.2000000000003</v>
      </c>
      <c r="Y100" s="2"/>
      <c r="Z100" s="19">
        <f t="shared" si="3"/>
        <v>-0.5314811731405058</v>
      </c>
    </row>
    <row r="101" spans="1:26" s="24" customFormat="1" hidden="1" outlineLevel="1" x14ac:dyDescent="0.25">
      <c r="A101" s="44"/>
      <c r="B101" s="11" t="str">
        <f>CONCATENATE("          ", "4245", " - ", "SALES RETURN TAXABLE-SPECIAL O")</f>
        <v xml:space="preserve">          4245 - SALES RETURN TAXABLE-SPECIAL O</v>
      </c>
      <c r="C101" s="11"/>
      <c r="D101" s="2">
        <f>0</f>
        <v>0</v>
      </c>
      <c r="E101" s="2"/>
      <c r="F101" s="19"/>
      <c r="G101" s="2"/>
      <c r="H101" s="2">
        <f>-1623.09</f>
        <v>-1623.09</v>
      </c>
      <c r="I101" s="2"/>
      <c r="J101" s="19"/>
      <c r="K101" s="2"/>
      <c r="L101" s="2">
        <f t="shared" si="0"/>
        <v>1623.09</v>
      </c>
      <c r="M101" s="2"/>
      <c r="N101" s="19">
        <f t="shared" si="1"/>
        <v>-1</v>
      </c>
      <c r="O101" s="11"/>
      <c r="P101" s="2">
        <f>-11345.61</f>
        <v>-11345.61</v>
      </c>
      <c r="Q101" s="2"/>
      <c r="R101" s="19"/>
      <c r="S101" s="2"/>
      <c r="T101" s="2">
        <f>-1715.05</f>
        <v>-1715.05</v>
      </c>
      <c r="U101" s="2"/>
      <c r="V101" s="19"/>
      <c r="W101" s="2"/>
      <c r="X101" s="2">
        <f t="shared" si="2"/>
        <v>-9630.5600000000013</v>
      </c>
      <c r="Y101" s="2"/>
      <c r="Z101" s="19">
        <f t="shared" si="3"/>
        <v>5.6153231684207467</v>
      </c>
    </row>
    <row r="102" spans="1:26" s="24" customFormat="1" hidden="1" outlineLevel="1" x14ac:dyDescent="0.25">
      <c r="A102" s="44"/>
      <c r="B102" s="11" t="str">
        <f>CONCATENATE("          ", "4281", " - ", "SALES RETURN TAXABLE-ELECTRONI")</f>
        <v xml:space="preserve">          4281 - SALES RETURN TAXABLE-ELECTRONI</v>
      </c>
      <c r="C102" s="11"/>
      <c r="D102" s="2">
        <f>-129.99</f>
        <v>-129.99</v>
      </c>
      <c r="E102" s="2"/>
      <c r="F102" s="19"/>
      <c r="G102" s="2"/>
      <c r="H102" s="2">
        <f>-642.85</f>
        <v>-642.85</v>
      </c>
      <c r="I102" s="2"/>
      <c r="J102" s="19"/>
      <c r="K102" s="2"/>
      <c r="L102" s="2">
        <f t="shared" si="0"/>
        <v>512.86</v>
      </c>
      <c r="M102" s="2"/>
      <c r="N102" s="19">
        <f t="shared" si="1"/>
        <v>-0.79779108656762854</v>
      </c>
      <c r="O102" s="11"/>
      <c r="P102" s="2">
        <f>-14762.14</f>
        <v>-14762.14</v>
      </c>
      <c r="Q102" s="2"/>
      <c r="R102" s="19"/>
      <c r="S102" s="2"/>
      <c r="T102" s="2">
        <f>-6504.81</f>
        <v>-6504.81</v>
      </c>
      <c r="U102" s="2"/>
      <c r="V102" s="19"/>
      <c r="W102" s="2"/>
      <c r="X102" s="2">
        <f t="shared" si="2"/>
        <v>-8257.3299999999981</v>
      </c>
      <c r="Y102" s="2"/>
      <c r="Z102" s="19">
        <f t="shared" si="3"/>
        <v>1.2694190914108172</v>
      </c>
    </row>
    <row r="103" spans="1:26" s="24" customFormat="1" hidden="1" outlineLevel="1" x14ac:dyDescent="0.25">
      <c r="A103" s="44"/>
      <c r="B103" s="11" t="str">
        <f>CONCATENATE("          ", "4282", " - ", "SALES RETURN TAXABLE-COMPUTER")</f>
        <v xml:space="preserve">          4282 - SALES RETURN TAXABLE-COMPUTER</v>
      </c>
      <c r="C103" s="11"/>
      <c r="D103" s="2">
        <f>-4897</f>
        <v>-4897</v>
      </c>
      <c r="E103" s="2"/>
      <c r="F103" s="19"/>
      <c r="G103" s="2"/>
      <c r="H103" s="2">
        <f>-15229.61</f>
        <v>-15229.61</v>
      </c>
      <c r="I103" s="2"/>
      <c r="J103" s="19"/>
      <c r="K103" s="2"/>
      <c r="L103" s="2">
        <f t="shared" si="0"/>
        <v>10332.61</v>
      </c>
      <c r="M103" s="2"/>
      <c r="N103" s="19">
        <f t="shared" si="1"/>
        <v>-0.67845532485730098</v>
      </c>
      <c r="O103" s="11"/>
      <c r="P103" s="2">
        <f>-96917.01</f>
        <v>-96917.01</v>
      </c>
      <c r="Q103" s="2"/>
      <c r="R103" s="19"/>
      <c r="S103" s="2"/>
      <c r="T103" s="2">
        <f>-202883.19</f>
        <v>-202883.19</v>
      </c>
      <c r="U103" s="2"/>
      <c r="V103" s="19"/>
      <c r="W103" s="2"/>
      <c r="X103" s="2">
        <f t="shared" si="2"/>
        <v>105966.18000000001</v>
      </c>
      <c r="Y103" s="2"/>
      <c r="Z103" s="19">
        <f t="shared" si="3"/>
        <v>-0.52230142871866325</v>
      </c>
    </row>
    <row r="104" spans="1:26" s="24" customFormat="1" hidden="1" outlineLevel="1" x14ac:dyDescent="0.25">
      <c r="A104" s="44"/>
      <c r="B104" s="11" t="str">
        <f>CONCATENATE("          ", "4283", " - ", "SALES RETURN TAXABLE-COMPUTER")</f>
        <v xml:space="preserve">          4283 - SALES RETURN TAXABLE-COMPUTER</v>
      </c>
      <c r="C104" s="11"/>
      <c r="D104" s="2">
        <f>--264.97</f>
        <v>264.97000000000003</v>
      </c>
      <c r="E104" s="2"/>
      <c r="F104" s="19"/>
      <c r="G104" s="2"/>
      <c r="H104" s="2">
        <f>-1632.57</f>
        <v>-1632.57</v>
      </c>
      <c r="I104" s="2"/>
      <c r="J104" s="19"/>
      <c r="K104" s="2"/>
      <c r="L104" s="2">
        <f t="shared" si="0"/>
        <v>1897.54</v>
      </c>
      <c r="M104" s="2"/>
      <c r="N104" s="19">
        <f t="shared" si="1"/>
        <v>-1.1623023821336911</v>
      </c>
      <c r="O104" s="11"/>
      <c r="P104" s="2">
        <f>-3146.29</f>
        <v>-3146.29</v>
      </c>
      <c r="Q104" s="2"/>
      <c r="R104" s="19"/>
      <c r="S104" s="2"/>
      <c r="T104" s="2">
        <f>-4914.72</f>
        <v>-4914.72</v>
      </c>
      <c r="U104" s="2"/>
      <c r="V104" s="19"/>
      <c r="W104" s="2"/>
      <c r="X104" s="2">
        <f t="shared" si="2"/>
        <v>1768.4300000000003</v>
      </c>
      <c r="Y104" s="2"/>
      <c r="Z104" s="19">
        <f t="shared" si="3"/>
        <v>-0.35982314353615263</v>
      </c>
    </row>
    <row r="105" spans="1:26" s="24" customFormat="1" hidden="1" outlineLevel="1" x14ac:dyDescent="0.25">
      <c r="A105" s="44"/>
      <c r="B105" s="11" t="str">
        <f>CONCATENATE("          ", "4284", " - ", "SALES RETURN TAXABLE-SOFTWARE")</f>
        <v xml:space="preserve">          4284 - SALES RETURN TAXABLE-SOFTWARE</v>
      </c>
      <c r="C105" s="11"/>
      <c r="D105" s="2">
        <f t="shared" ref="D105:D106" si="18">0</f>
        <v>0</v>
      </c>
      <c r="E105" s="2"/>
      <c r="F105" s="19"/>
      <c r="G105" s="2"/>
      <c r="H105" s="2">
        <f t="shared" ref="H105:H106" si="19"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0</f>
        <v>0</v>
      </c>
      <c r="Q105" s="2"/>
      <c r="R105" s="19"/>
      <c r="S105" s="2"/>
      <c r="T105" s="2">
        <f>-129</f>
        <v>-129</v>
      </c>
      <c r="U105" s="2"/>
      <c r="V105" s="19"/>
      <c r="W105" s="2"/>
      <c r="X105" s="2">
        <f t="shared" si="2"/>
        <v>129</v>
      </c>
      <c r="Y105" s="2"/>
      <c r="Z105" s="19">
        <f t="shared" si="3"/>
        <v>-1</v>
      </c>
    </row>
    <row r="106" spans="1:26" s="24" customFormat="1" hidden="1" outlineLevel="1" x14ac:dyDescent="0.25">
      <c r="A106" s="44"/>
      <c r="B106" s="11" t="str">
        <f>CONCATENATE("          ", "4285", " - ", "SALES RETURN TAXABLE-SOFTWARE")</f>
        <v xml:space="preserve">          4285 - SALES RETURN TAXABLE-SOFTWARE</v>
      </c>
      <c r="C106" s="11"/>
      <c r="D106" s="2">
        <f t="shared" si="18"/>
        <v>0</v>
      </c>
      <c r="E106" s="2"/>
      <c r="F106" s="19"/>
      <c r="G106" s="2"/>
      <c r="H106" s="2">
        <f t="shared" si="19"/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-691.98</f>
        <v>-691.98</v>
      </c>
      <c r="Q106" s="2"/>
      <c r="R106" s="19"/>
      <c r="S106" s="2"/>
      <c r="T106" s="2">
        <f>-655.98</f>
        <v>-655.98</v>
      </c>
      <c r="U106" s="2"/>
      <c r="V106" s="19"/>
      <c r="W106" s="2"/>
      <c r="X106" s="2">
        <f t="shared" si="2"/>
        <v>-36</v>
      </c>
      <c r="Y106" s="2"/>
      <c r="Z106" s="19">
        <f t="shared" si="3"/>
        <v>5.4879721942742155E-2</v>
      </c>
    </row>
    <row r="107" spans="1:26" s="24" customFormat="1" hidden="1" outlineLevel="1" x14ac:dyDescent="0.25">
      <c r="A107" s="44"/>
      <c r="B107" s="11" t="str">
        <f>CONCATENATE("          ", "4286", " - ", "SALES RETURN TAXABLE-COMPUTER")</f>
        <v xml:space="preserve">          4286 - SALES RETURN TAXABLE-COMPUTER</v>
      </c>
      <c r="C107" s="11"/>
      <c r="D107" s="2">
        <f>-18.99</f>
        <v>-18.989999999999998</v>
      </c>
      <c r="E107" s="2"/>
      <c r="F107" s="19"/>
      <c r="G107" s="2"/>
      <c r="H107" s="2">
        <f>-304.12</f>
        <v>-304.12</v>
      </c>
      <c r="I107" s="2"/>
      <c r="J107" s="19"/>
      <c r="K107" s="2"/>
      <c r="L107" s="2">
        <f t="shared" si="0"/>
        <v>285.13</v>
      </c>
      <c r="M107" s="2"/>
      <c r="N107" s="19">
        <f t="shared" si="1"/>
        <v>-0.93755754307510186</v>
      </c>
      <c r="O107" s="11"/>
      <c r="P107" s="2">
        <f>-4727.34</f>
        <v>-4727.34</v>
      </c>
      <c r="Q107" s="2"/>
      <c r="R107" s="19"/>
      <c r="S107" s="2"/>
      <c r="T107" s="2">
        <f>-3292.01</f>
        <v>-3292.01</v>
      </c>
      <c r="U107" s="2"/>
      <c r="V107" s="19"/>
      <c r="W107" s="2"/>
      <c r="X107" s="2">
        <f t="shared" si="2"/>
        <v>-1435.33</v>
      </c>
      <c r="Y107" s="2"/>
      <c r="Z107" s="19">
        <f t="shared" si="3"/>
        <v>0.43600414336529958</v>
      </c>
    </row>
    <row r="108" spans="1:26" s="24" customFormat="1" hidden="1" outlineLevel="1" x14ac:dyDescent="0.25">
      <c r="A108" s="44"/>
      <c r="B108" s="11" t="str">
        <f>CONCATENATE("          ", "4288", " - ", "TAXABLE SALES RETURN-MUSIC")</f>
        <v xml:space="preserve">          4288 - TAXABLE SALES RETURN-MUSIC</v>
      </c>
      <c r="C108" s="11"/>
      <c r="D108" s="2">
        <f t="shared" ref="D108:D110" si="20">0</f>
        <v>0</v>
      </c>
      <c r="E108" s="2"/>
      <c r="F108" s="19"/>
      <c r="G108" s="2"/>
      <c r="H108" s="2">
        <f t="shared" ref="H108:H110" si="21">0</f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 t="shared" ref="P108:P110" si="22">0</f>
        <v>0</v>
      </c>
      <c r="Q108" s="2"/>
      <c r="R108" s="19"/>
      <c r="S108" s="2"/>
      <c r="T108" s="2">
        <f>-3.99</f>
        <v>-3.99</v>
      </c>
      <c r="U108" s="2"/>
      <c r="V108" s="19"/>
      <c r="W108" s="2"/>
      <c r="X108" s="2">
        <f t="shared" si="2"/>
        <v>3.99</v>
      </c>
      <c r="Y108" s="2"/>
      <c r="Z108" s="19">
        <f t="shared" si="3"/>
        <v>-1</v>
      </c>
    </row>
    <row r="109" spans="1:26" s="24" customFormat="1" hidden="1" outlineLevel="1" x14ac:dyDescent="0.25">
      <c r="A109" s="44"/>
      <c r="B109" s="11" t="str">
        <f>CONCATENATE("          ", "4292", " - ", "SALES RETURN TAXABLE-GRAD MERC")</f>
        <v xml:space="preserve">          4292 - SALES RETURN TAXABLE-GRAD MERC</v>
      </c>
      <c r="C109" s="11"/>
      <c r="D109" s="2">
        <f t="shared" si="20"/>
        <v>0</v>
      </c>
      <c r="E109" s="2"/>
      <c r="F109" s="19"/>
      <c r="G109" s="2"/>
      <c r="H109" s="2">
        <f t="shared" si="21"/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 t="shared" si="22"/>
        <v>0</v>
      </c>
      <c r="Q109" s="2"/>
      <c r="R109" s="19"/>
      <c r="S109" s="2"/>
      <c r="T109" s="2">
        <f>-419.05</f>
        <v>-419.05</v>
      </c>
      <c r="U109" s="2"/>
      <c r="V109" s="19"/>
      <c r="W109" s="2"/>
      <c r="X109" s="2">
        <f t="shared" si="2"/>
        <v>419.05</v>
      </c>
      <c r="Y109" s="2"/>
      <c r="Z109" s="19">
        <f t="shared" si="3"/>
        <v>-1</v>
      </c>
    </row>
    <row r="110" spans="1:26" s="24" customFormat="1" hidden="1" outlineLevel="1" x14ac:dyDescent="0.25">
      <c r="A110" s="44"/>
      <c r="B110" s="11" t="str">
        <f>CONCATENATE("          ", "4295", " - ", "SALES RETURN TAXABLE-CUSTOMER")</f>
        <v xml:space="preserve">          4295 - SALES RETURN TAXABLE-CUSTOMER</v>
      </c>
      <c r="C110" s="11"/>
      <c r="D110" s="2">
        <f t="shared" si="20"/>
        <v>0</v>
      </c>
      <c r="E110" s="2"/>
      <c r="F110" s="19"/>
      <c r="G110" s="2"/>
      <c r="H110" s="2">
        <f t="shared" si="21"/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 t="shared" si="22"/>
        <v>0</v>
      </c>
      <c r="Q110" s="2"/>
      <c r="R110" s="19"/>
      <c r="S110" s="2"/>
      <c r="T110" s="2">
        <f>--0.99</f>
        <v>0.99</v>
      </c>
      <c r="U110" s="2"/>
      <c r="V110" s="19"/>
      <c r="W110" s="2"/>
      <c r="X110" s="2">
        <f t="shared" si="2"/>
        <v>-0.99</v>
      </c>
      <c r="Y110" s="2"/>
      <c r="Z110" s="19">
        <f t="shared" si="3"/>
        <v>-1</v>
      </c>
    </row>
    <row r="111" spans="1:26" s="24" customFormat="1" hidden="1" outlineLevel="1" x14ac:dyDescent="0.25">
      <c r="A111" s="44"/>
      <c r="B111" s="11" t="str">
        <f>CONCATENATE("          ", "4301", " - ", "SALES RETURN NON TAXABLE-NEW T")</f>
        <v xml:space="preserve">          4301 - SALES RETURN NON TAXABLE-NEW T</v>
      </c>
      <c r="C111" s="11"/>
      <c r="D111" s="2">
        <f>-256.69</f>
        <v>-256.69</v>
      </c>
      <c r="E111" s="2"/>
      <c r="F111" s="19"/>
      <c r="G111" s="2"/>
      <c r="H111" s="2">
        <f>-2910.64</f>
        <v>-2910.64</v>
      </c>
      <c r="I111" s="2"/>
      <c r="J111" s="19"/>
      <c r="K111" s="2"/>
      <c r="L111" s="2">
        <f t="shared" si="0"/>
        <v>2653.95</v>
      </c>
      <c r="M111" s="2"/>
      <c r="N111" s="19">
        <f t="shared" si="1"/>
        <v>-0.91180977379545392</v>
      </c>
      <c r="O111" s="11"/>
      <c r="P111" s="2">
        <f>-3005.79</f>
        <v>-3005.79</v>
      </c>
      <c r="Q111" s="2"/>
      <c r="R111" s="19"/>
      <c r="S111" s="2"/>
      <c r="T111" s="2">
        <f>-15221.62</f>
        <v>-15221.62</v>
      </c>
      <c r="U111" s="2"/>
      <c r="V111" s="19"/>
      <c r="W111" s="2"/>
      <c r="X111" s="2">
        <f t="shared" si="2"/>
        <v>12215.830000000002</v>
      </c>
      <c r="Y111" s="2"/>
      <c r="Z111" s="19">
        <f t="shared" si="3"/>
        <v>-0.80253153080946715</v>
      </c>
    </row>
    <row r="112" spans="1:26" s="24" customFormat="1" hidden="1" outlineLevel="1" x14ac:dyDescent="0.25">
      <c r="A112" s="44"/>
      <c r="B112" s="11" t="str">
        <f>CONCATENATE("          ", "4302", " - ", "SALES RETURN NON TAXABLE-TEXT")</f>
        <v xml:space="preserve">          4302 - SALES RETURN NON TAXABLE-TEXT</v>
      </c>
      <c r="C112" s="11"/>
      <c r="D112" s="2">
        <f>-532.96</f>
        <v>-532.96</v>
      </c>
      <c r="E112" s="2"/>
      <c r="F112" s="19"/>
      <c r="G112" s="2"/>
      <c r="H112" s="2">
        <f>-614.47</f>
        <v>-614.47</v>
      </c>
      <c r="I112" s="2"/>
      <c r="J112" s="19"/>
      <c r="K112" s="2"/>
      <c r="L112" s="2">
        <f t="shared" si="0"/>
        <v>81.509999999999991</v>
      </c>
      <c r="M112" s="2"/>
      <c r="N112" s="19">
        <f t="shared" si="1"/>
        <v>-0.13265090240369748</v>
      </c>
      <c r="O112" s="11"/>
      <c r="P112" s="2">
        <f>-2003.16</f>
        <v>-2003.16</v>
      </c>
      <c r="Q112" s="2"/>
      <c r="R112" s="19"/>
      <c r="S112" s="2"/>
      <c r="T112" s="2">
        <f>-1312.37</f>
        <v>-1312.37</v>
      </c>
      <c r="U112" s="2"/>
      <c r="V112" s="19"/>
      <c r="W112" s="2"/>
      <c r="X112" s="2">
        <f t="shared" si="2"/>
        <v>-690.79000000000019</v>
      </c>
      <c r="Y112" s="2"/>
      <c r="Z112" s="19">
        <f t="shared" si="3"/>
        <v>0.52636832600562355</v>
      </c>
    </row>
    <row r="113" spans="1:26" s="24" customFormat="1" hidden="1" outlineLevel="1" x14ac:dyDescent="0.25">
      <c r="A113" s="44"/>
      <c r="B113" s="11" t="str">
        <f>CONCATENATE("          ", "4303", " - ", "SALES RETURN NON-TAXABLE-RENTA")</f>
        <v xml:space="preserve">          4303 - SALES RETURN NON-TAXABLE-RENTA</v>
      </c>
      <c r="C113" s="11"/>
      <c r="D113" s="2">
        <f>0</f>
        <v>0</v>
      </c>
      <c r="E113" s="2"/>
      <c r="F113" s="19"/>
      <c r="G113" s="2"/>
      <c r="H113" s="2">
        <f>0</f>
        <v>0</v>
      </c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0</f>
        <v>0</v>
      </c>
      <c r="Q113" s="2"/>
      <c r="R113" s="19"/>
      <c r="S113" s="2"/>
      <c r="T113" s="2">
        <f>-184.99</f>
        <v>-184.99</v>
      </c>
      <c r="U113" s="2"/>
      <c r="V113" s="19"/>
      <c r="W113" s="2"/>
      <c r="X113" s="2">
        <f t="shared" si="2"/>
        <v>184.99</v>
      </c>
      <c r="Y113" s="2"/>
      <c r="Z113" s="19">
        <f t="shared" si="3"/>
        <v>-1</v>
      </c>
    </row>
    <row r="114" spans="1:26" s="24" customFormat="1" hidden="1" outlineLevel="1" x14ac:dyDescent="0.25">
      <c r="A114" s="44"/>
      <c r="B114" s="11" t="str">
        <f>CONCATENATE("          ", "4304", " - ", "SALES RETURN NON TAXABLE-DIGIT")</f>
        <v xml:space="preserve">          4304 - SALES RETURN NON TAXABLE-DIGIT</v>
      </c>
      <c r="C114" s="11"/>
      <c r="D114" s="2">
        <f>-10673</f>
        <v>-10673</v>
      </c>
      <c r="E114" s="2"/>
      <c r="F114" s="19"/>
      <c r="G114" s="2"/>
      <c r="H114" s="2">
        <f>-4312.43</f>
        <v>-4312.43</v>
      </c>
      <c r="I114" s="2"/>
      <c r="J114" s="19"/>
      <c r="K114" s="2"/>
      <c r="L114" s="2">
        <f t="shared" si="0"/>
        <v>-6360.57</v>
      </c>
      <c r="M114" s="2"/>
      <c r="N114" s="19">
        <f t="shared" si="1"/>
        <v>1.4749387236430502</v>
      </c>
      <c r="O114" s="11"/>
      <c r="P114" s="2">
        <f>-25095.77</f>
        <v>-25095.77</v>
      </c>
      <c r="Q114" s="2"/>
      <c r="R114" s="19"/>
      <c r="S114" s="2"/>
      <c r="T114" s="2">
        <f>-17742.75</f>
        <v>-17742.75</v>
      </c>
      <c r="U114" s="2"/>
      <c r="V114" s="19"/>
      <c r="W114" s="2"/>
      <c r="X114" s="2">
        <f t="shared" si="2"/>
        <v>-7353.02</v>
      </c>
      <c r="Y114" s="2"/>
      <c r="Z114" s="19">
        <f t="shared" si="3"/>
        <v>0.41442391962914432</v>
      </c>
    </row>
    <row r="115" spans="1:26" s="24" customFormat="1" hidden="1" outlineLevel="1" x14ac:dyDescent="0.25">
      <c r="A115" s="44"/>
      <c r="B115" s="11" t="str">
        <f>CONCATENATE("          ", "4311", " - ", "SALES RETURN NON TAXABLE-NO VA")</f>
        <v xml:space="preserve">          4311 - SALES RETURN NON TAXABLE-NO VA</v>
      </c>
      <c r="C115" s="11"/>
      <c r="D115" s="2">
        <f t="shared" ref="D115:D116" si="23">0</f>
        <v>0</v>
      </c>
      <c r="E115" s="2"/>
      <c r="F115" s="19"/>
      <c r="G115" s="2"/>
      <c r="H115" s="2">
        <f>-237.35</f>
        <v>-237.35</v>
      </c>
      <c r="I115" s="2"/>
      <c r="J115" s="19"/>
      <c r="K115" s="2"/>
      <c r="L115" s="2">
        <f t="shared" si="0"/>
        <v>237.35</v>
      </c>
      <c r="M115" s="2"/>
      <c r="N115" s="19">
        <f t="shared" si="1"/>
        <v>-1</v>
      </c>
      <c r="O115" s="11"/>
      <c r="P115" s="2">
        <f t="shared" ref="P115:P116" si="24">0</f>
        <v>0</v>
      </c>
      <c r="Q115" s="2"/>
      <c r="R115" s="19"/>
      <c r="S115" s="2"/>
      <c r="T115" s="2">
        <f>-625.31</f>
        <v>-625.30999999999995</v>
      </c>
      <c r="U115" s="2"/>
      <c r="V115" s="19"/>
      <c r="W115" s="2"/>
      <c r="X115" s="2">
        <f t="shared" si="2"/>
        <v>625.30999999999995</v>
      </c>
      <c r="Y115" s="2"/>
      <c r="Z115" s="19">
        <f t="shared" si="3"/>
        <v>-1</v>
      </c>
    </row>
    <row r="116" spans="1:26" s="24" customFormat="1" hidden="1" outlineLevel="1" x14ac:dyDescent="0.25">
      <c r="A116" s="44"/>
      <c r="B116" s="11" t="str">
        <f>CONCATENATE("          ", "4327", " - ", "SALES RETURN NON TAXABLE-SCHOO")</f>
        <v xml:space="preserve">          4327 - SALES RETURN NON TAXABLE-SCHOO</v>
      </c>
      <c r="C116" s="11"/>
      <c r="D116" s="2">
        <f t="shared" si="23"/>
        <v>0</v>
      </c>
      <c r="E116" s="2"/>
      <c r="F116" s="19"/>
      <c r="G116" s="2"/>
      <c r="H116" s="2">
        <f>0</f>
        <v>0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 t="shared" si="24"/>
        <v>0</v>
      </c>
      <c r="Q116" s="2"/>
      <c r="R116" s="19"/>
      <c r="S116" s="2"/>
      <c r="T116" s="2">
        <f>-21.87</f>
        <v>-21.87</v>
      </c>
      <c r="U116" s="2"/>
      <c r="V116" s="19"/>
      <c r="W116" s="2"/>
      <c r="X116" s="2">
        <f t="shared" si="2"/>
        <v>21.87</v>
      </c>
      <c r="Y116" s="2"/>
      <c r="Z116" s="19">
        <f t="shared" si="3"/>
        <v>-1</v>
      </c>
    </row>
    <row r="117" spans="1:26" s="24" customFormat="1" hidden="1" outlineLevel="1" x14ac:dyDescent="0.25">
      <c r="A117" s="44"/>
      <c r="B117" s="11" t="str">
        <f>CONCATENATE("          ", "4340", " - ", "SALES RETURN NON TAXABLE-LOGO")</f>
        <v xml:space="preserve">          4340 - SALES RETURN NON TAXABLE-LOGO</v>
      </c>
      <c r="C117" s="11"/>
      <c r="D117" s="2">
        <f>-732.22</f>
        <v>-732.22</v>
      </c>
      <c r="E117" s="2"/>
      <c r="F117" s="19"/>
      <c r="G117" s="2"/>
      <c r="H117" s="2">
        <f>-216.75</f>
        <v>-216.75</v>
      </c>
      <c r="I117" s="2"/>
      <c r="J117" s="19"/>
      <c r="K117" s="2"/>
      <c r="L117" s="2">
        <f t="shared" si="0"/>
        <v>-515.47</v>
      </c>
      <c r="M117" s="2"/>
      <c r="N117" s="19">
        <f t="shared" si="1"/>
        <v>2.3781776239907728</v>
      </c>
      <c r="O117" s="11"/>
      <c r="P117" s="2">
        <f>-2215.94</f>
        <v>-2215.94</v>
      </c>
      <c r="Q117" s="2"/>
      <c r="R117" s="19"/>
      <c r="S117" s="2"/>
      <c r="T117" s="2">
        <f>-931.65</f>
        <v>-931.65</v>
      </c>
      <c r="U117" s="2"/>
      <c r="V117" s="19"/>
      <c r="W117" s="2"/>
      <c r="X117" s="2">
        <f t="shared" si="2"/>
        <v>-1284.29</v>
      </c>
      <c r="Y117" s="2"/>
      <c r="Z117" s="19">
        <f t="shared" si="3"/>
        <v>1.378511243492728</v>
      </c>
    </row>
    <row r="118" spans="1:26" s="24" customFormat="1" hidden="1" outlineLevel="1" x14ac:dyDescent="0.25">
      <c r="A118" s="44"/>
      <c r="B118" s="11" t="str">
        <f>CONCATENATE("          ", "4341", " - ", "SALES RETURN NON TAXABLE-LOGO")</f>
        <v xml:space="preserve">          4341 - SALES RETURN NON TAXABLE-LOGO</v>
      </c>
      <c r="C118" s="11"/>
      <c r="D118" s="2">
        <f>-27</f>
        <v>-27</v>
      </c>
      <c r="E118" s="2"/>
      <c r="F118" s="19"/>
      <c r="G118" s="2"/>
      <c r="H118" s="2">
        <f>-9.95</f>
        <v>-9.9499999999999993</v>
      </c>
      <c r="I118" s="2"/>
      <c r="J118" s="19"/>
      <c r="K118" s="2"/>
      <c r="L118" s="2">
        <f t="shared" si="0"/>
        <v>-17.05</v>
      </c>
      <c r="M118" s="2"/>
      <c r="N118" s="19">
        <f t="shared" si="1"/>
        <v>1.7135678391959801</v>
      </c>
      <c r="O118" s="11"/>
      <c r="P118" s="2">
        <f>-362.64</f>
        <v>-362.64</v>
      </c>
      <c r="Q118" s="2"/>
      <c r="R118" s="19"/>
      <c r="S118" s="2"/>
      <c r="T118" s="2">
        <f>-30.8</f>
        <v>-30.8</v>
      </c>
      <c r="U118" s="2"/>
      <c r="V118" s="19"/>
      <c r="W118" s="2"/>
      <c r="X118" s="2">
        <f t="shared" si="2"/>
        <v>-331.84</v>
      </c>
      <c r="Y118" s="2"/>
      <c r="Z118" s="19">
        <f t="shared" si="3"/>
        <v>10.774025974025973</v>
      </c>
    </row>
    <row r="119" spans="1:26" s="24" customFormat="1" hidden="1" outlineLevel="1" x14ac:dyDescent="0.25">
      <c r="A119" s="44"/>
      <c r="B119" s="11" t="str">
        <f>CONCATENATE("          ", "4342", " - ", "SALES RETURN NON TAXABLE-EVERY")</f>
        <v xml:space="preserve">          4342 - SALES RETURN NON TAXABLE-EVERY</v>
      </c>
      <c r="C119" s="11"/>
      <c r="D119" s="2">
        <f t="shared" ref="D119:D123" si="25">0</f>
        <v>0</v>
      </c>
      <c r="E119" s="2"/>
      <c r="F119" s="19"/>
      <c r="G119" s="2"/>
      <c r="H119" s="2">
        <f>-39.42</f>
        <v>-39.42</v>
      </c>
      <c r="I119" s="2"/>
      <c r="J119" s="19"/>
      <c r="K119" s="2"/>
      <c r="L119" s="2">
        <f t="shared" si="0"/>
        <v>39.42</v>
      </c>
      <c r="M119" s="2"/>
      <c r="N119" s="19">
        <f t="shared" si="1"/>
        <v>-1</v>
      </c>
      <c r="O119" s="11"/>
      <c r="P119" s="2">
        <f>-118.7</f>
        <v>-118.7</v>
      </c>
      <c r="Q119" s="2"/>
      <c r="R119" s="19"/>
      <c r="S119" s="2"/>
      <c r="T119" s="2">
        <f>-149.22</f>
        <v>-149.22</v>
      </c>
      <c r="U119" s="2"/>
      <c r="V119" s="19"/>
      <c r="W119" s="2"/>
      <c r="X119" s="2">
        <f t="shared" si="2"/>
        <v>30.519999999999996</v>
      </c>
      <c r="Y119" s="2"/>
      <c r="Z119" s="19">
        <f t="shared" si="3"/>
        <v>-0.20453022383058569</v>
      </c>
    </row>
    <row r="120" spans="1:26" s="24" customFormat="1" hidden="1" outlineLevel="1" x14ac:dyDescent="0.25">
      <c r="A120" s="44"/>
      <c r="B120" s="11" t="str">
        <f>CONCATENATE("          ", "4346", " - ", "SALES RETURN NON TAXABLE-COIN-")</f>
        <v xml:space="preserve">          4346 - SALES RETURN NON TAXABLE-COIN-</v>
      </c>
      <c r="C120" s="11"/>
      <c r="D120" s="2">
        <f t="shared" si="25"/>
        <v>0</v>
      </c>
      <c r="E120" s="2"/>
      <c r="F120" s="19"/>
      <c r="G120" s="2"/>
      <c r="H120" s="2">
        <f t="shared" ref="H120:H122" si="26">0</f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0</f>
        <v>0</v>
      </c>
      <c r="Q120" s="2"/>
      <c r="R120" s="19"/>
      <c r="S120" s="2"/>
      <c r="T120" s="2">
        <f>-8.15</f>
        <v>-8.15</v>
      </c>
      <c r="U120" s="2"/>
      <c r="V120" s="19"/>
      <c r="W120" s="2"/>
      <c r="X120" s="2">
        <f t="shared" si="2"/>
        <v>8.15</v>
      </c>
      <c r="Y120" s="2"/>
      <c r="Z120" s="19">
        <f t="shared" si="3"/>
        <v>-1</v>
      </c>
    </row>
    <row r="121" spans="1:26" s="24" customFormat="1" hidden="1" outlineLevel="1" x14ac:dyDescent="0.25">
      <c r="A121" s="44"/>
      <c r="B121" s="11" t="str">
        <f>CONCATENATE("          ", "4381", " - ", "SALES RETURN NON TAXABLE-ELECT")</f>
        <v xml:space="preserve">          4381 - SALES RETURN NON TAXABLE-ELECT</v>
      </c>
      <c r="C121" s="11"/>
      <c r="D121" s="2">
        <f t="shared" si="25"/>
        <v>0</v>
      </c>
      <c r="E121" s="2"/>
      <c r="F121" s="19"/>
      <c r="G121" s="2"/>
      <c r="H121" s="2">
        <f t="shared" si="26"/>
        <v>0</v>
      </c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-5624.15</f>
        <v>-5624.15</v>
      </c>
      <c r="Q121" s="2"/>
      <c r="R121" s="19"/>
      <c r="S121" s="2"/>
      <c r="T121" s="2">
        <f>-1279.84</f>
        <v>-1279.8399999999999</v>
      </c>
      <c r="U121" s="2"/>
      <c r="V121" s="19"/>
      <c r="W121" s="2"/>
      <c r="X121" s="2">
        <f t="shared" si="2"/>
        <v>-4344.3099999999995</v>
      </c>
      <c r="Y121" s="2"/>
      <c r="Z121" s="19">
        <f t="shared" si="3"/>
        <v>3.3944164895611948</v>
      </c>
    </row>
    <row r="122" spans="1:26" s="24" customFormat="1" hidden="1" outlineLevel="1" x14ac:dyDescent="0.25">
      <c r="A122" s="44"/>
      <c r="B122" s="11" t="str">
        <f>CONCATENATE("          ", "4383", " - ", "SALES RETURN NON TAXABLE-COMPU")</f>
        <v xml:space="preserve">          4383 - SALES RETURN NON TAXABLE-COMPU</v>
      </c>
      <c r="C122" s="11"/>
      <c r="D122" s="2">
        <f t="shared" si="25"/>
        <v>0</v>
      </c>
      <c r="E122" s="2"/>
      <c r="F122" s="19"/>
      <c r="G122" s="2"/>
      <c r="H122" s="2">
        <f t="shared" si="26"/>
        <v>0</v>
      </c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 t="shared" ref="P122:P123" si="27">0</f>
        <v>0</v>
      </c>
      <c r="Q122" s="2"/>
      <c r="R122" s="19"/>
      <c r="S122" s="2"/>
      <c r="T122" s="2">
        <f>-49.98</f>
        <v>-49.98</v>
      </c>
      <c r="U122" s="2"/>
      <c r="V122" s="19"/>
      <c r="W122" s="2"/>
      <c r="X122" s="2">
        <f t="shared" si="2"/>
        <v>49.98</v>
      </c>
      <c r="Y122" s="2"/>
      <c r="Z122" s="19">
        <f t="shared" si="3"/>
        <v>-1</v>
      </c>
    </row>
    <row r="123" spans="1:26" s="24" customFormat="1" hidden="1" outlineLevel="1" x14ac:dyDescent="0.25">
      <c r="A123" s="44"/>
      <c r="B123" s="11" t="str">
        <f>CONCATENATE("          ", "4386", " - ", "SALES RETURN NON TAXABLE-COMPU")</f>
        <v xml:space="preserve">          4386 - SALES RETURN NON TAXABLE-COMPU</v>
      </c>
      <c r="C123" s="11"/>
      <c r="D123" s="2">
        <f t="shared" si="25"/>
        <v>0</v>
      </c>
      <c r="E123" s="2"/>
      <c r="F123" s="19"/>
      <c r="G123" s="2"/>
      <c r="H123" s="2">
        <f>-49.99</f>
        <v>-49.99</v>
      </c>
      <c r="I123" s="2"/>
      <c r="J123" s="19"/>
      <c r="K123" s="2"/>
      <c r="L123" s="2">
        <f t="shared" si="0"/>
        <v>49.99</v>
      </c>
      <c r="M123" s="2"/>
      <c r="N123" s="19">
        <f t="shared" si="1"/>
        <v>-1</v>
      </c>
      <c r="O123" s="11"/>
      <c r="P123" s="2">
        <f t="shared" si="27"/>
        <v>0</v>
      </c>
      <c r="Q123" s="2"/>
      <c r="R123" s="19"/>
      <c r="S123" s="2"/>
      <c r="T123" s="2">
        <f>-104.96</f>
        <v>-104.96</v>
      </c>
      <c r="U123" s="2"/>
      <c r="V123" s="19"/>
      <c r="W123" s="2"/>
      <c r="X123" s="2">
        <f t="shared" si="2"/>
        <v>104.96</v>
      </c>
      <c r="Y123" s="2"/>
      <c r="Z123" s="19">
        <f t="shared" si="3"/>
        <v>-1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collapsed="1" x14ac:dyDescent="0.25">
      <c r="A125" s="10"/>
      <c r="B125" s="29" t="s">
        <v>8</v>
      </c>
      <c r="C125" s="10"/>
      <c r="D125" s="4">
        <f>SUM(OSRRefD16x_0)</f>
        <v>882162.34</v>
      </c>
      <c r="E125" s="4"/>
      <c r="F125" s="12">
        <f t="shared" ref="F125:F182" si="28">IF(D$12=0,0,D125/D$12)</f>
        <v>0.67442802705539706</v>
      </c>
      <c r="G125" s="4"/>
      <c r="H125" s="4">
        <f>SUM(OSRRefH16x_0)</f>
        <v>1370784.8599999996</v>
      </c>
      <c r="I125" s="4"/>
      <c r="J125" s="12">
        <f t="shared" ref="J125:J182" si="29">IF(H$12=0,0,H125/H$12)</f>
        <v>0.57389722878387295</v>
      </c>
      <c r="K125" s="4"/>
      <c r="L125" s="4">
        <f t="shared" ref="L125:L182" si="30">+D125-H125</f>
        <v>-488622.51999999967</v>
      </c>
      <c r="M125" s="4"/>
      <c r="N125" s="12">
        <f t="shared" ref="N125:N182" si="31">IF(H125=0,0,L125/H125)</f>
        <v>-0.3564545642851642</v>
      </c>
      <c r="O125" s="10"/>
      <c r="P125" s="4">
        <f>SUM(OSRRefP16x_0)</f>
        <v>3832752.6100000008</v>
      </c>
      <c r="Q125" s="4"/>
      <c r="R125" s="12">
        <f t="shared" ref="R125:R182" si="32">IF(P$12=0,0,P125/P$12)</f>
        <v>0.72562873038513931</v>
      </c>
      <c r="S125" s="4"/>
      <c r="T125" s="4">
        <f>SUM(OSRRefT16x_0)</f>
        <v>5998258.6700000027</v>
      </c>
      <c r="U125" s="4"/>
      <c r="V125" s="12">
        <f t="shared" ref="V125:V182" si="33">IF(T$12=0,0,T125/T$12)</f>
        <v>0.63225280724952893</v>
      </c>
      <c r="W125" s="4"/>
      <c r="X125" s="4">
        <f t="shared" ref="X125:X182" si="34">+P125-T125</f>
        <v>-2165506.0600000019</v>
      </c>
      <c r="Y125" s="4"/>
      <c r="Z125" s="12">
        <f t="shared" ref="Z125:Z182" si="35">IF(T125=0,0,X125/T125)</f>
        <v>-0.36102245320473997</v>
      </c>
    </row>
    <row r="126" spans="1:26" s="24" customFormat="1" hidden="1" outlineLevel="1" x14ac:dyDescent="0.25">
      <c r="A126" s="44"/>
      <c r="B126" s="11" t="str">
        <f>CONCATENATE("          ", "5001", " - ", "PURCHASES @ COST-NEW TEXT")</f>
        <v xml:space="preserve">          5001 - PURCHASES @ COST-NEW TEXT</v>
      </c>
      <c r="C126" s="11"/>
      <c r="D126" s="2">
        <v>381096.17</v>
      </c>
      <c r="E126" s="2"/>
      <c r="F126" s="19">
        <f t="shared" si="28"/>
        <v>0.29135446662965481</v>
      </c>
      <c r="G126" s="2"/>
      <c r="H126" s="2">
        <v>890224.90999999992</v>
      </c>
      <c r="I126" s="2"/>
      <c r="J126" s="19">
        <f t="shared" si="29"/>
        <v>0.37270444382014312</v>
      </c>
      <c r="K126" s="2"/>
      <c r="L126" s="2">
        <f t="shared" si="30"/>
        <v>-509128.73999999993</v>
      </c>
      <c r="M126" s="2"/>
      <c r="N126" s="19">
        <f t="shared" si="31"/>
        <v>-0.57191023782967387</v>
      </c>
      <c r="O126" s="11"/>
      <c r="P126" s="2">
        <v>1659009.21</v>
      </c>
      <c r="Q126" s="2"/>
      <c r="R126" s="19">
        <f t="shared" si="32"/>
        <v>0.31408882055384019</v>
      </c>
      <c r="S126" s="2"/>
      <c r="T126" s="2">
        <v>2627294.66</v>
      </c>
      <c r="U126" s="2"/>
      <c r="V126" s="19">
        <f t="shared" si="33"/>
        <v>0.27693277593456905</v>
      </c>
      <c r="W126" s="2"/>
      <c r="X126" s="2">
        <f t="shared" si="34"/>
        <v>-968285.45000000019</v>
      </c>
      <c r="Y126" s="2"/>
      <c r="Z126" s="19">
        <f t="shared" si="35"/>
        <v>-0.36854847868491469</v>
      </c>
    </row>
    <row r="127" spans="1:26" s="24" customFormat="1" hidden="1" outlineLevel="1" x14ac:dyDescent="0.25">
      <c r="A127" s="44"/>
      <c r="B127" s="11" t="str">
        <f>CONCATENATE("          ", "5002", " - ", "PURCHASES @ COST-USED TEXT")</f>
        <v xml:space="preserve">          5002 - PURCHASES @ COST-USED TEXT</v>
      </c>
      <c r="C127" s="11"/>
      <c r="D127" s="2">
        <v>95863.360000000001</v>
      </c>
      <c r="E127" s="2"/>
      <c r="F127" s="19">
        <f t="shared" si="28"/>
        <v>7.3289159852030494E-2</v>
      </c>
      <c r="G127" s="2"/>
      <c r="H127" s="2">
        <v>260084.68000000002</v>
      </c>
      <c r="I127" s="2"/>
      <c r="J127" s="19">
        <f t="shared" si="29"/>
        <v>0.10888789441483941</v>
      </c>
      <c r="K127" s="2"/>
      <c r="L127" s="2">
        <f t="shared" si="30"/>
        <v>-164221.32</v>
      </c>
      <c r="M127" s="2"/>
      <c r="N127" s="19">
        <f t="shared" si="31"/>
        <v>-0.63141481459038651</v>
      </c>
      <c r="O127" s="11"/>
      <c r="P127" s="2">
        <v>260336.28</v>
      </c>
      <c r="Q127" s="2"/>
      <c r="R127" s="19">
        <f t="shared" si="32"/>
        <v>4.9287680044027178E-2</v>
      </c>
      <c r="S127" s="2"/>
      <c r="T127" s="2">
        <v>512607.53</v>
      </c>
      <c r="U127" s="2"/>
      <c r="V127" s="19">
        <f t="shared" si="33"/>
        <v>5.4031939549507121E-2</v>
      </c>
      <c r="W127" s="2"/>
      <c r="X127" s="2">
        <f t="shared" si="34"/>
        <v>-252271.25000000003</v>
      </c>
      <c r="Y127" s="2"/>
      <c r="Z127" s="19">
        <f t="shared" si="35"/>
        <v>-0.492133328591564</v>
      </c>
    </row>
    <row r="128" spans="1:26" s="24" customFormat="1" hidden="1" outlineLevel="1" x14ac:dyDescent="0.25">
      <c r="A128" s="44"/>
      <c r="B128" s="11" t="str">
        <f>CONCATENATE("          ", "5003", " - ", "PURCHASES @ COST-RENTAL TEXT")</f>
        <v xml:space="preserve">          5003 - PURCHASES @ COST-RENTAL TEXT</v>
      </c>
      <c r="C128" s="11"/>
      <c r="D128" s="2"/>
      <c r="E128" s="2"/>
      <c r="F128" s="19">
        <f t="shared" si="28"/>
        <v>0</v>
      </c>
      <c r="G128" s="2"/>
      <c r="H128" s="2"/>
      <c r="I128" s="2"/>
      <c r="J128" s="19">
        <f t="shared" si="29"/>
        <v>0</v>
      </c>
      <c r="K128" s="2"/>
      <c r="L128" s="2">
        <f t="shared" si="30"/>
        <v>0</v>
      </c>
      <c r="M128" s="2"/>
      <c r="N128" s="19">
        <f t="shared" si="31"/>
        <v>0</v>
      </c>
      <c r="O128" s="11"/>
      <c r="P128" s="2">
        <v>32.520000000000003</v>
      </c>
      <c r="Q128" s="2"/>
      <c r="R128" s="19">
        <f t="shared" si="32"/>
        <v>6.1567882702778269E-6</v>
      </c>
      <c r="S128" s="2"/>
      <c r="T128" s="2">
        <v>-78.400000000000006</v>
      </c>
      <c r="U128" s="2"/>
      <c r="V128" s="19">
        <f t="shared" si="33"/>
        <v>-8.263835025367962E-6</v>
      </c>
      <c r="W128" s="2"/>
      <c r="X128" s="2">
        <f t="shared" si="34"/>
        <v>110.92000000000002</v>
      </c>
      <c r="Y128" s="2"/>
      <c r="Z128" s="19">
        <f t="shared" si="35"/>
        <v>-1.4147959183673471</v>
      </c>
    </row>
    <row r="129" spans="1:26" s="24" customFormat="1" hidden="1" outlineLevel="1" x14ac:dyDescent="0.25">
      <c r="A129" s="44"/>
      <c r="B129" s="11" t="str">
        <f>CONCATENATE("          ", "5004", " - ", "PURCHASES @ COST-DIGITAL TEXT")</f>
        <v xml:space="preserve">          5004 - PURCHASES @ COST-DIGITAL TEXT</v>
      </c>
      <c r="C129" s="11"/>
      <c r="D129" s="2">
        <v>18888.449999999997</v>
      </c>
      <c r="E129" s="2"/>
      <c r="F129" s="19">
        <f t="shared" si="28"/>
        <v>1.444053944496714E-2</v>
      </c>
      <c r="G129" s="2"/>
      <c r="H129" s="2">
        <v>119541.49999999999</v>
      </c>
      <c r="I129" s="2"/>
      <c r="J129" s="19">
        <f t="shared" si="29"/>
        <v>5.0047631525976549E-2</v>
      </c>
      <c r="K129" s="2"/>
      <c r="L129" s="2">
        <f t="shared" si="30"/>
        <v>-100653.04999999999</v>
      </c>
      <c r="M129" s="2"/>
      <c r="N129" s="19">
        <f t="shared" si="31"/>
        <v>-0.84199252979090944</v>
      </c>
      <c r="O129" s="11"/>
      <c r="P129" s="2">
        <v>216726.56</v>
      </c>
      <c r="Q129" s="2"/>
      <c r="R129" s="19">
        <f t="shared" si="32"/>
        <v>4.1031351244331597E-2</v>
      </c>
      <c r="S129" s="2"/>
      <c r="T129" s="2">
        <v>473893.77</v>
      </c>
      <c r="U129" s="2"/>
      <c r="V129" s="19">
        <f t="shared" si="33"/>
        <v>4.9951274678949865E-2</v>
      </c>
      <c r="W129" s="2"/>
      <c r="X129" s="2">
        <f t="shared" si="34"/>
        <v>-257167.21000000002</v>
      </c>
      <c r="Y129" s="2"/>
      <c r="Z129" s="19">
        <f t="shared" si="35"/>
        <v>-0.5426684761017222</v>
      </c>
    </row>
    <row r="130" spans="1:26" s="24" customFormat="1" hidden="1" outlineLevel="1" x14ac:dyDescent="0.25">
      <c r="A130" s="44"/>
      <c r="B130" s="11" t="str">
        <f>CONCATENATE("          ", "5011", " - ", "PURCHASES @ COST-NO VALUE TEXT")</f>
        <v xml:space="preserve">          5011 - PURCHASES @ COST-NO VALUE TEXT</v>
      </c>
      <c r="C130" s="11"/>
      <c r="D130" s="2"/>
      <c r="E130" s="2"/>
      <c r="F130" s="19">
        <f t="shared" si="28"/>
        <v>0</v>
      </c>
      <c r="G130" s="2"/>
      <c r="H130" s="2">
        <v>573</v>
      </c>
      <c r="I130" s="2"/>
      <c r="J130" s="19">
        <f t="shared" si="29"/>
        <v>2.3989403566447272E-4</v>
      </c>
      <c r="K130" s="2"/>
      <c r="L130" s="2">
        <f t="shared" si="30"/>
        <v>-573</v>
      </c>
      <c r="M130" s="2"/>
      <c r="N130" s="19">
        <f t="shared" si="31"/>
        <v>-1</v>
      </c>
      <c r="O130" s="11"/>
      <c r="P130" s="2">
        <v>67.17</v>
      </c>
      <c r="Q130" s="2"/>
      <c r="R130" s="19">
        <f t="shared" si="32"/>
        <v>1.2716834812870899E-5</v>
      </c>
      <c r="S130" s="2"/>
      <c r="T130" s="2">
        <v>5475</v>
      </c>
      <c r="U130" s="2"/>
      <c r="V130" s="19">
        <f t="shared" si="33"/>
        <v>5.7709817300879583E-4</v>
      </c>
      <c r="W130" s="2"/>
      <c r="X130" s="2">
        <f t="shared" si="34"/>
        <v>-5407.83</v>
      </c>
      <c r="Y130" s="2"/>
      <c r="Z130" s="19">
        <f t="shared" si="35"/>
        <v>-0.9877315068493151</v>
      </c>
    </row>
    <row r="131" spans="1:26" s="24" customFormat="1" hidden="1" outlineLevel="1" x14ac:dyDescent="0.25">
      <c r="A131" s="44"/>
      <c r="B131" s="11" t="str">
        <f>CONCATENATE("          ", "5013", " - ", "PURCHASES @ COST-TRADE BOOKS")</f>
        <v xml:space="preserve">          5013 - PURCHASES @ COST-TRADE BOOKS</v>
      </c>
      <c r="C131" s="11"/>
      <c r="D131" s="2">
        <v>3531.13</v>
      </c>
      <c r="E131" s="2"/>
      <c r="F131" s="19">
        <f t="shared" si="28"/>
        <v>2.6996085994513484E-3</v>
      </c>
      <c r="G131" s="2"/>
      <c r="H131" s="2">
        <v>-276.85000000000002</v>
      </c>
      <c r="I131" s="2"/>
      <c r="J131" s="19">
        <f t="shared" si="29"/>
        <v>-1.1590691758064447E-4</v>
      </c>
      <c r="K131" s="2"/>
      <c r="L131" s="2">
        <f t="shared" si="30"/>
        <v>3807.98</v>
      </c>
      <c r="M131" s="2"/>
      <c r="N131" s="19">
        <f t="shared" si="31"/>
        <v>-13.754668593100956</v>
      </c>
      <c r="O131" s="11"/>
      <c r="P131" s="2">
        <v>5656.98</v>
      </c>
      <c r="Q131" s="2"/>
      <c r="R131" s="19">
        <f t="shared" si="32"/>
        <v>1.0709971743295282E-3</v>
      </c>
      <c r="S131" s="2"/>
      <c r="T131" s="2">
        <v>458.46</v>
      </c>
      <c r="U131" s="2"/>
      <c r="V131" s="19">
        <f t="shared" si="33"/>
        <v>4.8324461807783109E-5</v>
      </c>
      <c r="W131" s="2"/>
      <c r="X131" s="2">
        <f t="shared" si="34"/>
        <v>5198.5199999999995</v>
      </c>
      <c r="Y131" s="2"/>
      <c r="Z131" s="19">
        <f t="shared" si="35"/>
        <v>11.339091741918596</v>
      </c>
    </row>
    <row r="132" spans="1:26" s="24" customFormat="1" hidden="1" outlineLevel="1" x14ac:dyDescent="0.25">
      <c r="A132" s="44"/>
      <c r="B132" s="11" t="str">
        <f>CONCATENATE("          ", "5014", " - ", "PURCHASES @ COST-REMAINDERS")</f>
        <v xml:space="preserve">          5014 - PURCHASES @ COST-REMAINDERS</v>
      </c>
      <c r="C132" s="11"/>
      <c r="D132" s="2"/>
      <c r="E132" s="2"/>
      <c r="F132" s="19">
        <f t="shared" si="28"/>
        <v>0</v>
      </c>
      <c r="G132" s="2"/>
      <c r="H132" s="2">
        <v>69.599999999999994</v>
      </c>
      <c r="I132" s="2"/>
      <c r="J132" s="19">
        <f t="shared" si="29"/>
        <v>2.9138961400082548E-5</v>
      </c>
      <c r="K132" s="2"/>
      <c r="L132" s="2">
        <f t="shared" si="30"/>
        <v>-69.599999999999994</v>
      </c>
      <c r="M132" s="2"/>
      <c r="N132" s="19">
        <f t="shared" si="31"/>
        <v>-1</v>
      </c>
      <c r="O132" s="11"/>
      <c r="P132" s="2">
        <v>90.41</v>
      </c>
      <c r="Q132" s="2"/>
      <c r="R132" s="19">
        <f t="shared" si="32"/>
        <v>1.7116704413155542E-5</v>
      </c>
      <c r="S132" s="2"/>
      <c r="T132" s="2">
        <v>583.39</v>
      </c>
      <c r="U132" s="2"/>
      <c r="V132" s="19">
        <f t="shared" si="33"/>
        <v>6.149284075828336E-5</v>
      </c>
      <c r="W132" s="2"/>
      <c r="X132" s="2">
        <f t="shared" si="34"/>
        <v>-492.98</v>
      </c>
      <c r="Y132" s="2"/>
      <c r="Z132" s="19">
        <f t="shared" si="35"/>
        <v>-0.84502648314163775</v>
      </c>
    </row>
    <row r="133" spans="1:26" s="24" customFormat="1" hidden="1" outlineLevel="1" x14ac:dyDescent="0.25">
      <c r="A133" s="44"/>
      <c r="B133" s="11" t="str">
        <f>CONCATENATE("          ", "5017", " - ", "PURCHASES @ COST-DORM/HOUSEWAR")</f>
        <v xml:space="preserve">          5017 - PURCHASES @ COST-DORM/HOUSEWAR</v>
      </c>
      <c r="C133" s="11"/>
      <c r="D133" s="2"/>
      <c r="E133" s="2"/>
      <c r="F133" s="19">
        <f t="shared" si="28"/>
        <v>0</v>
      </c>
      <c r="G133" s="2"/>
      <c r="H133" s="2"/>
      <c r="I133" s="2"/>
      <c r="J133" s="19">
        <f t="shared" si="29"/>
        <v>0</v>
      </c>
      <c r="K133" s="2"/>
      <c r="L133" s="2">
        <f t="shared" si="30"/>
        <v>0</v>
      </c>
      <c r="M133" s="2"/>
      <c r="N133" s="19">
        <f t="shared" si="31"/>
        <v>0</v>
      </c>
      <c r="O133" s="11"/>
      <c r="P133" s="2"/>
      <c r="Q133" s="2"/>
      <c r="R133" s="19">
        <f t="shared" si="32"/>
        <v>0</v>
      </c>
      <c r="S133" s="2"/>
      <c r="T133" s="2">
        <v>0</v>
      </c>
      <c r="U133" s="2"/>
      <c r="V133" s="19">
        <f t="shared" si="33"/>
        <v>0</v>
      </c>
      <c r="W133" s="2"/>
      <c r="X133" s="2">
        <f t="shared" si="34"/>
        <v>0</v>
      </c>
      <c r="Y133" s="2"/>
      <c r="Z133" s="19">
        <f t="shared" si="35"/>
        <v>0</v>
      </c>
    </row>
    <row r="134" spans="1:26" s="24" customFormat="1" hidden="1" outlineLevel="1" x14ac:dyDescent="0.25">
      <c r="A134" s="44"/>
      <c r="B134" s="11" t="str">
        <f>CONCATENATE("          ", "5018", " - ", "PURCHASES @ COST-STUDY GUIDES")</f>
        <v xml:space="preserve">          5018 - PURCHASES @ COST-STUDY GUIDES</v>
      </c>
      <c r="C134" s="11"/>
      <c r="D134" s="2">
        <v>416</v>
      </c>
      <c r="E134" s="2"/>
      <c r="F134" s="19">
        <f t="shared" si="28"/>
        <v>3.1803903491849946E-4</v>
      </c>
      <c r="G134" s="2"/>
      <c r="H134" s="2">
        <v>1032.75</v>
      </c>
      <c r="I134" s="2"/>
      <c r="J134" s="19">
        <f t="shared" si="29"/>
        <v>4.3237445956803528E-4</v>
      </c>
      <c r="K134" s="2"/>
      <c r="L134" s="2">
        <f t="shared" si="30"/>
        <v>-616.75</v>
      </c>
      <c r="M134" s="2"/>
      <c r="N134" s="19">
        <f t="shared" si="31"/>
        <v>-0.59719196320503509</v>
      </c>
      <c r="O134" s="11"/>
      <c r="P134" s="2">
        <v>522.34</v>
      </c>
      <c r="Q134" s="2"/>
      <c r="R134" s="19">
        <f t="shared" si="32"/>
        <v>9.8891045052180816E-5</v>
      </c>
      <c r="S134" s="2"/>
      <c r="T134" s="2">
        <v>2031.15</v>
      </c>
      <c r="U134" s="2"/>
      <c r="V134" s="19">
        <f t="shared" si="33"/>
        <v>2.1409551673183847E-4</v>
      </c>
      <c r="W134" s="2"/>
      <c r="X134" s="2">
        <f t="shared" si="34"/>
        <v>-1508.81</v>
      </c>
      <c r="Y134" s="2"/>
      <c r="Z134" s="19">
        <f t="shared" si="35"/>
        <v>-0.74283533958594883</v>
      </c>
    </row>
    <row r="135" spans="1:26" s="24" customFormat="1" hidden="1" outlineLevel="1" x14ac:dyDescent="0.25">
      <c r="A135" s="44"/>
      <c r="B135" s="11" t="str">
        <f>CONCATENATE("          ", "5025", " - ", "PURCHASES @ COST-TEST FORMS")</f>
        <v xml:space="preserve">          5025 - PURCHASES @ COST-TEST FORMS</v>
      </c>
      <c r="C135" s="11"/>
      <c r="D135" s="2"/>
      <c r="E135" s="2"/>
      <c r="F135" s="19">
        <f t="shared" si="28"/>
        <v>0</v>
      </c>
      <c r="G135" s="2"/>
      <c r="H135" s="2">
        <v>880</v>
      </c>
      <c r="I135" s="2"/>
      <c r="J135" s="19">
        <f t="shared" si="29"/>
        <v>3.684236498861012E-4</v>
      </c>
      <c r="K135" s="2"/>
      <c r="L135" s="2">
        <f t="shared" si="30"/>
        <v>-880</v>
      </c>
      <c r="M135" s="2"/>
      <c r="N135" s="19">
        <f t="shared" si="31"/>
        <v>-1</v>
      </c>
      <c r="O135" s="11"/>
      <c r="P135" s="2">
        <v>599.29</v>
      </c>
      <c r="Q135" s="2"/>
      <c r="R135" s="19">
        <f t="shared" si="32"/>
        <v>1.1345946010131607E-4</v>
      </c>
      <c r="S135" s="2"/>
      <c r="T135" s="2">
        <v>22978.390000000003</v>
      </c>
      <c r="U135" s="2"/>
      <c r="V135" s="19">
        <f t="shared" si="33"/>
        <v>2.4220615319970017E-3</v>
      </c>
      <c r="W135" s="2"/>
      <c r="X135" s="2">
        <f t="shared" si="34"/>
        <v>-22379.100000000002</v>
      </c>
      <c r="Y135" s="2"/>
      <c r="Z135" s="19">
        <f t="shared" si="35"/>
        <v>-0.97391940862697512</v>
      </c>
    </row>
    <row r="136" spans="1:26" s="24" customFormat="1" hidden="1" outlineLevel="1" x14ac:dyDescent="0.25">
      <c r="A136" s="44"/>
      <c r="B136" s="11" t="str">
        <f>CONCATENATE("          ", "5026", " - ", "PURCHASES @ COST-WRITING INSTR")</f>
        <v xml:space="preserve">          5026 - PURCHASES @ COST-WRITING INSTR</v>
      </c>
      <c r="C136" s="11"/>
      <c r="D136" s="2"/>
      <c r="E136" s="2"/>
      <c r="F136" s="19">
        <f t="shared" si="28"/>
        <v>0</v>
      </c>
      <c r="G136" s="2"/>
      <c r="H136" s="2">
        <v>9201.3799999999992</v>
      </c>
      <c r="I136" s="2"/>
      <c r="J136" s="19">
        <f t="shared" si="29"/>
        <v>3.8522795495329249E-3</v>
      </c>
      <c r="K136" s="2"/>
      <c r="L136" s="2">
        <f t="shared" si="30"/>
        <v>-9201.3799999999992</v>
      </c>
      <c r="M136" s="2"/>
      <c r="N136" s="19">
        <f t="shared" si="31"/>
        <v>-1</v>
      </c>
      <c r="O136" s="11"/>
      <c r="P136" s="2">
        <v>374.91</v>
      </c>
      <c r="Q136" s="2"/>
      <c r="R136" s="19">
        <f t="shared" si="32"/>
        <v>7.0979135621459415E-5</v>
      </c>
      <c r="S136" s="2"/>
      <c r="T136" s="2">
        <v>43496.15</v>
      </c>
      <c r="U136" s="2"/>
      <c r="V136" s="19">
        <f t="shared" si="33"/>
        <v>4.5847577530441158E-3</v>
      </c>
      <c r="W136" s="2"/>
      <c r="X136" s="2">
        <f t="shared" si="34"/>
        <v>-43121.24</v>
      </c>
      <c r="Y136" s="2"/>
      <c r="Z136" s="19">
        <f t="shared" si="35"/>
        <v>-0.99138061644536346</v>
      </c>
    </row>
    <row r="137" spans="1:26" s="24" customFormat="1" hidden="1" outlineLevel="1" x14ac:dyDescent="0.25">
      <c r="A137" s="44"/>
      <c r="B137" s="11" t="str">
        <f>CONCATENATE("          ", "5027", " - ", "PURCHASES @ COST-SCHOOL SUPPLI")</f>
        <v xml:space="preserve">          5027 - PURCHASES @ COST-SCHOOL SUPPLI</v>
      </c>
      <c r="C137" s="11"/>
      <c r="D137" s="2"/>
      <c r="E137" s="2"/>
      <c r="F137" s="19">
        <f t="shared" si="28"/>
        <v>0</v>
      </c>
      <c r="G137" s="2"/>
      <c r="H137" s="2">
        <v>42814.02</v>
      </c>
      <c r="I137" s="2"/>
      <c r="J137" s="19">
        <f t="shared" si="29"/>
        <v>1.7924656266700607E-2</v>
      </c>
      <c r="K137" s="2"/>
      <c r="L137" s="2">
        <f t="shared" si="30"/>
        <v>-42814.02</v>
      </c>
      <c r="M137" s="2"/>
      <c r="N137" s="19">
        <f t="shared" si="31"/>
        <v>-1</v>
      </c>
      <c r="O137" s="11"/>
      <c r="P137" s="2">
        <v>19071.350000000002</v>
      </c>
      <c r="Q137" s="2"/>
      <c r="R137" s="19">
        <f t="shared" si="32"/>
        <v>3.6106477238119017E-3</v>
      </c>
      <c r="S137" s="2"/>
      <c r="T137" s="2">
        <v>120814.02</v>
      </c>
      <c r="U137" s="2"/>
      <c r="V137" s="19">
        <f t="shared" si="33"/>
        <v>1.2734529719789611E-2</v>
      </c>
      <c r="W137" s="2"/>
      <c r="X137" s="2">
        <f t="shared" si="34"/>
        <v>-101742.67</v>
      </c>
      <c r="Y137" s="2"/>
      <c r="Z137" s="19">
        <f t="shared" si="35"/>
        <v>-0.8421429069242129</v>
      </c>
    </row>
    <row r="138" spans="1:26" s="24" customFormat="1" hidden="1" outlineLevel="1" x14ac:dyDescent="0.25">
      <c r="A138" s="44"/>
      <c r="B138" s="11" t="str">
        <f>CONCATENATE("          ", "5028", " - ", "PURCHASES @ COST-ART/TECH")</f>
        <v xml:space="preserve">          5028 - PURCHASES @ COST-ART/TECH</v>
      </c>
      <c r="C138" s="11"/>
      <c r="D138" s="2"/>
      <c r="E138" s="2"/>
      <c r="F138" s="19">
        <f t="shared" si="28"/>
        <v>0</v>
      </c>
      <c r="G138" s="2"/>
      <c r="H138" s="2">
        <v>32126.68</v>
      </c>
      <c r="I138" s="2"/>
      <c r="J138" s="19">
        <f t="shared" si="29"/>
        <v>1.345025989127592E-2</v>
      </c>
      <c r="K138" s="2"/>
      <c r="L138" s="2">
        <f t="shared" si="30"/>
        <v>-32126.68</v>
      </c>
      <c r="M138" s="2"/>
      <c r="N138" s="19">
        <f t="shared" si="31"/>
        <v>-1</v>
      </c>
      <c r="O138" s="11"/>
      <c r="P138" s="2">
        <v>41358.449999999997</v>
      </c>
      <c r="Q138" s="2"/>
      <c r="R138" s="19">
        <f t="shared" si="32"/>
        <v>7.8301113110969232E-3</v>
      </c>
      <c r="S138" s="2"/>
      <c r="T138" s="2">
        <v>135127.5</v>
      </c>
      <c r="U138" s="2"/>
      <c r="V138" s="19">
        <f t="shared" si="33"/>
        <v>1.4243257237122567E-2</v>
      </c>
      <c r="W138" s="2"/>
      <c r="X138" s="2">
        <f t="shared" si="34"/>
        <v>-93769.05</v>
      </c>
      <c r="Y138" s="2"/>
      <c r="Z138" s="19">
        <f t="shared" si="35"/>
        <v>-0.69393017705500359</v>
      </c>
    </row>
    <row r="139" spans="1:26" s="24" customFormat="1" hidden="1" outlineLevel="1" x14ac:dyDescent="0.25">
      <c r="A139" s="44"/>
      <c r="B139" s="11" t="str">
        <f>CONCATENATE("          ", "5031", " - ", "PURCHASES @ COST-FOOD")</f>
        <v xml:space="preserve">          5031 - PURCHASES @ COST-FOOD</v>
      </c>
      <c r="C139" s="11"/>
      <c r="D139" s="2">
        <v>239.16</v>
      </c>
      <c r="E139" s="2"/>
      <c r="F139" s="19">
        <f t="shared" si="28"/>
        <v>1.8284186440170272E-4</v>
      </c>
      <c r="G139" s="2"/>
      <c r="H139" s="2">
        <v>2390.66</v>
      </c>
      <c r="I139" s="2"/>
      <c r="J139" s="19">
        <f t="shared" si="29"/>
        <v>1.000881457768985E-3</v>
      </c>
      <c r="K139" s="2"/>
      <c r="L139" s="2">
        <f t="shared" si="30"/>
        <v>-2151.5</v>
      </c>
      <c r="M139" s="2"/>
      <c r="N139" s="19">
        <f t="shared" si="31"/>
        <v>-0.89996068031422294</v>
      </c>
      <c r="O139" s="11"/>
      <c r="P139" s="2">
        <v>7514.26</v>
      </c>
      <c r="Q139" s="2"/>
      <c r="R139" s="19">
        <f t="shared" si="32"/>
        <v>1.4226232419378186E-3</v>
      </c>
      <c r="S139" s="2"/>
      <c r="T139" s="2">
        <v>24900.390000000003</v>
      </c>
      <c r="U139" s="2"/>
      <c r="V139" s="19">
        <f t="shared" si="33"/>
        <v>2.6246519773893136E-3</v>
      </c>
      <c r="W139" s="2"/>
      <c r="X139" s="2">
        <f t="shared" si="34"/>
        <v>-17386.130000000005</v>
      </c>
      <c r="Y139" s="2"/>
      <c r="Z139" s="19">
        <f t="shared" si="35"/>
        <v>-0.69822721652150843</v>
      </c>
    </row>
    <row r="140" spans="1:26" s="24" customFormat="1" hidden="1" outlineLevel="1" x14ac:dyDescent="0.25">
      <c r="A140" s="44"/>
      <c r="B140" s="11" t="str">
        <f>CONCATENATE("          ", "5032", " - ", "PURCHASES @ COST-JUICE")</f>
        <v xml:space="preserve">          5032 - PURCHASES @ COST-JUICE</v>
      </c>
      <c r="C140" s="11"/>
      <c r="D140" s="2"/>
      <c r="E140" s="2"/>
      <c r="F140" s="19">
        <f t="shared" si="28"/>
        <v>0</v>
      </c>
      <c r="G140" s="2"/>
      <c r="H140" s="2">
        <v>371.03</v>
      </c>
      <c r="I140" s="2"/>
      <c r="J140" s="19">
        <f t="shared" si="29"/>
        <v>1.5533662138322743E-4</v>
      </c>
      <c r="K140" s="2"/>
      <c r="L140" s="2">
        <f t="shared" si="30"/>
        <v>-371.03</v>
      </c>
      <c r="M140" s="2"/>
      <c r="N140" s="19">
        <f t="shared" si="31"/>
        <v>-1</v>
      </c>
      <c r="O140" s="11"/>
      <c r="P140" s="2"/>
      <c r="Q140" s="2"/>
      <c r="R140" s="19">
        <f t="shared" si="32"/>
        <v>0</v>
      </c>
      <c r="S140" s="2"/>
      <c r="T140" s="2">
        <v>5392.51</v>
      </c>
      <c r="U140" s="2"/>
      <c r="V140" s="19">
        <f t="shared" si="33"/>
        <v>5.6840322720212993E-4</v>
      </c>
      <c r="W140" s="2"/>
      <c r="X140" s="2">
        <f t="shared" si="34"/>
        <v>-5392.51</v>
      </c>
      <c r="Y140" s="2"/>
      <c r="Z140" s="19">
        <f t="shared" si="35"/>
        <v>-1</v>
      </c>
    </row>
    <row r="141" spans="1:26" s="24" customFormat="1" hidden="1" outlineLevel="1" x14ac:dyDescent="0.25">
      <c r="A141" s="44"/>
      <c r="B141" s="11" t="str">
        <f>CONCATENATE("          ", "5033", " - ", "PURCHASES @ COST-CANDY")</f>
        <v xml:space="preserve">          5033 - PURCHASES @ COST-CANDY</v>
      </c>
      <c r="C141" s="11"/>
      <c r="D141" s="2"/>
      <c r="E141" s="2"/>
      <c r="F141" s="19">
        <f t="shared" si="28"/>
        <v>0</v>
      </c>
      <c r="G141" s="2"/>
      <c r="H141" s="2">
        <v>805.69</v>
      </c>
      <c r="I141" s="2"/>
      <c r="J141" s="19">
        <f t="shared" si="29"/>
        <v>3.3731278463265105E-4</v>
      </c>
      <c r="K141" s="2"/>
      <c r="L141" s="2">
        <f t="shared" si="30"/>
        <v>-805.69</v>
      </c>
      <c r="M141" s="2"/>
      <c r="N141" s="19">
        <f t="shared" si="31"/>
        <v>-1</v>
      </c>
      <c r="O141" s="11"/>
      <c r="P141" s="2"/>
      <c r="Q141" s="2"/>
      <c r="R141" s="19">
        <f t="shared" si="32"/>
        <v>0</v>
      </c>
      <c r="S141" s="2"/>
      <c r="T141" s="2">
        <v>7003.62</v>
      </c>
      <c r="U141" s="2"/>
      <c r="V141" s="19">
        <f t="shared" si="33"/>
        <v>7.3822398291285157E-4</v>
      </c>
      <c r="W141" s="2"/>
      <c r="X141" s="2">
        <f t="shared" si="34"/>
        <v>-7003.62</v>
      </c>
      <c r="Y141" s="2"/>
      <c r="Z141" s="19">
        <f t="shared" si="35"/>
        <v>-1</v>
      </c>
    </row>
    <row r="142" spans="1:26" s="24" customFormat="1" hidden="1" outlineLevel="1" x14ac:dyDescent="0.25">
      <c r="A142" s="44"/>
      <c r="B142" s="11" t="str">
        <f>CONCATENATE("          ", "5034", " - ", "PURCHASES @ COST-SODA")</f>
        <v xml:space="preserve">          5034 - PURCHASES @ COST-SODA</v>
      </c>
      <c r="C142" s="11"/>
      <c r="D142" s="2"/>
      <c r="E142" s="2"/>
      <c r="F142" s="19">
        <f t="shared" si="28"/>
        <v>0</v>
      </c>
      <c r="G142" s="2"/>
      <c r="H142" s="2"/>
      <c r="I142" s="2"/>
      <c r="J142" s="19">
        <f t="shared" si="29"/>
        <v>0</v>
      </c>
      <c r="K142" s="2"/>
      <c r="L142" s="2">
        <f t="shared" si="30"/>
        <v>0</v>
      </c>
      <c r="M142" s="2"/>
      <c r="N142" s="19">
        <f t="shared" si="31"/>
        <v>0</v>
      </c>
      <c r="O142" s="11"/>
      <c r="P142" s="2"/>
      <c r="Q142" s="2"/>
      <c r="R142" s="19">
        <f t="shared" si="32"/>
        <v>0</v>
      </c>
      <c r="S142" s="2"/>
      <c r="T142" s="2">
        <v>2124.16</v>
      </c>
      <c r="U142" s="2"/>
      <c r="V142" s="19">
        <f t="shared" si="33"/>
        <v>2.2389933427915316E-4</v>
      </c>
      <c r="W142" s="2"/>
      <c r="X142" s="2">
        <f t="shared" si="34"/>
        <v>-2124.16</v>
      </c>
      <c r="Y142" s="2"/>
      <c r="Z142" s="19">
        <f t="shared" si="35"/>
        <v>-1</v>
      </c>
    </row>
    <row r="143" spans="1:26" s="24" customFormat="1" hidden="1" outlineLevel="1" x14ac:dyDescent="0.25">
      <c r="A143" s="44"/>
      <c r="B143" s="11" t="str">
        <f>CONCATENATE("          ", "5035", " - ", "PURCHASES @ COST-HEALTH &amp; BEAU")</f>
        <v xml:space="preserve">          5035 - PURCHASES @ COST-HEALTH &amp; BEAU</v>
      </c>
      <c r="C143" s="11"/>
      <c r="D143" s="2"/>
      <c r="E143" s="2"/>
      <c r="F143" s="19">
        <f t="shared" si="28"/>
        <v>0</v>
      </c>
      <c r="G143" s="2"/>
      <c r="H143" s="2">
        <v>32.82</v>
      </c>
      <c r="I143" s="2"/>
      <c r="J143" s="19">
        <f t="shared" si="29"/>
        <v>1.3740527487797549E-5</v>
      </c>
      <c r="K143" s="2"/>
      <c r="L143" s="2">
        <f t="shared" si="30"/>
        <v>-32.82</v>
      </c>
      <c r="M143" s="2"/>
      <c r="N143" s="19">
        <f t="shared" si="31"/>
        <v>-1</v>
      </c>
      <c r="O143" s="11"/>
      <c r="P143" s="2"/>
      <c r="Q143" s="2"/>
      <c r="R143" s="19">
        <f t="shared" si="32"/>
        <v>0</v>
      </c>
      <c r="S143" s="2"/>
      <c r="T143" s="2">
        <v>857.2</v>
      </c>
      <c r="U143" s="2"/>
      <c r="V143" s="19">
        <f t="shared" si="33"/>
        <v>9.035407377226298E-5</v>
      </c>
      <c r="W143" s="2"/>
      <c r="X143" s="2">
        <f t="shared" si="34"/>
        <v>-857.2</v>
      </c>
      <c r="Y143" s="2"/>
      <c r="Z143" s="19">
        <f t="shared" si="35"/>
        <v>-1</v>
      </c>
    </row>
    <row r="144" spans="1:26" s="24" customFormat="1" hidden="1" outlineLevel="1" x14ac:dyDescent="0.25">
      <c r="A144" s="44"/>
      <c r="B144" s="11" t="str">
        <f>CONCATENATE("          ", "5037", " - ", "PURCHASES @ COST-WATER")</f>
        <v xml:space="preserve">          5037 - PURCHASES @ COST-WATER</v>
      </c>
      <c r="C144" s="11"/>
      <c r="D144" s="2"/>
      <c r="E144" s="2"/>
      <c r="F144" s="19">
        <f t="shared" si="28"/>
        <v>0</v>
      </c>
      <c r="G144" s="2"/>
      <c r="H144" s="2"/>
      <c r="I144" s="2"/>
      <c r="J144" s="19">
        <f t="shared" si="29"/>
        <v>0</v>
      </c>
      <c r="K144" s="2"/>
      <c r="L144" s="2">
        <f t="shared" si="30"/>
        <v>0</v>
      </c>
      <c r="M144" s="2"/>
      <c r="N144" s="19">
        <f t="shared" si="31"/>
        <v>0</v>
      </c>
      <c r="O144" s="11"/>
      <c r="P144" s="2"/>
      <c r="Q144" s="2"/>
      <c r="R144" s="19">
        <f t="shared" si="32"/>
        <v>0</v>
      </c>
      <c r="S144" s="2"/>
      <c r="T144" s="2">
        <v>3759.27</v>
      </c>
      <c r="U144" s="2"/>
      <c r="V144" s="19">
        <f t="shared" si="33"/>
        <v>3.9624983540580377E-4</v>
      </c>
      <c r="W144" s="2"/>
      <c r="X144" s="2">
        <f t="shared" si="34"/>
        <v>-3759.27</v>
      </c>
      <c r="Y144" s="2"/>
      <c r="Z144" s="19">
        <f t="shared" si="35"/>
        <v>-1</v>
      </c>
    </row>
    <row r="145" spans="1:26" s="24" customFormat="1" hidden="1" outlineLevel="1" x14ac:dyDescent="0.25">
      <c r="A145" s="44"/>
      <c r="B145" s="11" t="str">
        <f>CONCATENATE("          ", "5040", " - ", "PURCHASES @ COST-LOGO CLOTHING")</f>
        <v xml:space="preserve">          5040 - PURCHASES @ COST-LOGO CLOTHING</v>
      </c>
      <c r="C145" s="11"/>
      <c r="D145" s="2">
        <v>34900.79</v>
      </c>
      <c r="E145" s="2"/>
      <c r="F145" s="19">
        <f t="shared" si="28"/>
        <v>2.6682244157435617E-2</v>
      </c>
      <c r="G145" s="2"/>
      <c r="H145" s="2">
        <v>94500.17</v>
      </c>
      <c r="I145" s="2"/>
      <c r="J145" s="19">
        <f t="shared" si="29"/>
        <v>3.9563747211655731E-2</v>
      </c>
      <c r="K145" s="2"/>
      <c r="L145" s="2">
        <f t="shared" si="30"/>
        <v>-59599.38</v>
      </c>
      <c r="M145" s="2"/>
      <c r="N145" s="19">
        <f t="shared" si="31"/>
        <v>-0.63068013528441269</v>
      </c>
      <c r="O145" s="11"/>
      <c r="P145" s="2">
        <v>167371.19</v>
      </c>
      <c r="Q145" s="2"/>
      <c r="R145" s="19">
        <f t="shared" si="32"/>
        <v>3.1687237988143956E-2</v>
      </c>
      <c r="S145" s="2"/>
      <c r="T145" s="2">
        <v>810739.01</v>
      </c>
      <c r="U145" s="2"/>
      <c r="V145" s="19">
        <f t="shared" si="33"/>
        <v>8.5456803919262067E-2</v>
      </c>
      <c r="W145" s="2"/>
      <c r="X145" s="2">
        <f t="shared" si="34"/>
        <v>-643367.82000000007</v>
      </c>
      <c r="Y145" s="2"/>
      <c r="Z145" s="19">
        <f t="shared" si="35"/>
        <v>-0.7935572509333183</v>
      </c>
    </row>
    <row r="146" spans="1:26" s="24" customFormat="1" hidden="1" outlineLevel="1" x14ac:dyDescent="0.25">
      <c r="A146" s="44"/>
      <c r="B146" s="11" t="str">
        <f>CONCATENATE("          ", "5041", " - ", "PURCHASES @ COST-LOGO GIFTS")</f>
        <v xml:space="preserve">          5041 - PURCHASES @ COST-LOGO GIFTS</v>
      </c>
      <c r="C146" s="11"/>
      <c r="D146" s="2">
        <v>8769.24</v>
      </c>
      <c r="E146" s="2"/>
      <c r="F146" s="19">
        <f t="shared" si="28"/>
        <v>6.7042322754055335E-3</v>
      </c>
      <c r="G146" s="2"/>
      <c r="H146" s="2">
        <v>14612.2</v>
      </c>
      <c r="I146" s="2"/>
      <c r="J146" s="19">
        <f t="shared" si="29"/>
        <v>6.1175909737110094E-3</v>
      </c>
      <c r="K146" s="2"/>
      <c r="L146" s="2">
        <f t="shared" si="30"/>
        <v>-5842.9600000000009</v>
      </c>
      <c r="M146" s="2"/>
      <c r="N146" s="19">
        <f t="shared" si="31"/>
        <v>-0.39986860294822141</v>
      </c>
      <c r="O146" s="11"/>
      <c r="P146" s="2">
        <v>40971</v>
      </c>
      <c r="Q146" s="2"/>
      <c r="R146" s="19">
        <f t="shared" si="32"/>
        <v>7.7567580633933833E-3</v>
      </c>
      <c r="S146" s="2"/>
      <c r="T146" s="2">
        <v>124015.87000000001</v>
      </c>
      <c r="U146" s="2"/>
      <c r="V146" s="19">
        <f t="shared" si="33"/>
        <v>1.3072024109789285E-2</v>
      </c>
      <c r="W146" s="2"/>
      <c r="X146" s="2">
        <f t="shared" si="34"/>
        <v>-83044.87000000001</v>
      </c>
      <c r="Y146" s="2"/>
      <c r="Z146" s="19">
        <f t="shared" si="35"/>
        <v>-0.66963099158196449</v>
      </c>
    </row>
    <row r="147" spans="1:26" s="24" customFormat="1" hidden="1" outlineLevel="1" x14ac:dyDescent="0.25">
      <c r="A147" s="44"/>
      <c r="B147" s="11" t="str">
        <f>CONCATENATE("          ", "5042", " - ", "PURCHASES @ COST-EVERYDAY GIFT")</f>
        <v xml:space="preserve">          5042 - PURCHASES @ COST-EVERYDAY GIFT</v>
      </c>
      <c r="C147" s="11"/>
      <c r="D147" s="2">
        <v>6760.7</v>
      </c>
      <c r="E147" s="2"/>
      <c r="F147" s="19">
        <f t="shared" si="28"/>
        <v>5.1686694792632193E-3</v>
      </c>
      <c r="G147" s="2"/>
      <c r="H147" s="2">
        <v>2972.86</v>
      </c>
      <c r="I147" s="2"/>
      <c r="J147" s="19">
        <f t="shared" si="29"/>
        <v>1.2446271952277215E-3</v>
      </c>
      <c r="K147" s="2"/>
      <c r="L147" s="2">
        <f t="shared" si="30"/>
        <v>3787.8399999999997</v>
      </c>
      <c r="M147" s="2"/>
      <c r="N147" s="19">
        <f t="shared" si="31"/>
        <v>1.2741400536856762</v>
      </c>
      <c r="O147" s="11"/>
      <c r="P147" s="2">
        <v>17821.98</v>
      </c>
      <c r="Q147" s="2"/>
      <c r="R147" s="19">
        <f t="shared" si="32"/>
        <v>3.3741130817074422E-3</v>
      </c>
      <c r="S147" s="2"/>
      <c r="T147" s="2">
        <v>91360.97</v>
      </c>
      <c r="U147" s="2"/>
      <c r="V147" s="19">
        <f t="shared" si="33"/>
        <v>9.6299997938468322E-3</v>
      </c>
      <c r="W147" s="2"/>
      <c r="X147" s="2">
        <f t="shared" si="34"/>
        <v>-73538.990000000005</v>
      </c>
      <c r="Y147" s="2"/>
      <c r="Z147" s="19">
        <f t="shared" si="35"/>
        <v>-0.80492785923792187</v>
      </c>
    </row>
    <row r="148" spans="1:26" s="24" customFormat="1" hidden="1" outlineLevel="1" x14ac:dyDescent="0.25">
      <c r="A148" s="44"/>
      <c r="B148" s="11" t="str">
        <f>CONCATENATE("          ", "5043", " - ", "PURCHASES @ COST-CARDS")</f>
        <v xml:space="preserve">          5043 - PURCHASES @ COST-CARDS</v>
      </c>
      <c r="C148" s="11"/>
      <c r="D148" s="2">
        <v>8743.1</v>
      </c>
      <c r="E148" s="2"/>
      <c r="F148" s="19">
        <f t="shared" si="28"/>
        <v>6.6842478033556077E-3</v>
      </c>
      <c r="G148" s="2"/>
      <c r="H148" s="2">
        <v>3909.52</v>
      </c>
      <c r="I148" s="2"/>
      <c r="J148" s="19">
        <f t="shared" si="29"/>
        <v>1.6367723042076255E-3</v>
      </c>
      <c r="K148" s="2"/>
      <c r="L148" s="2">
        <f t="shared" si="30"/>
        <v>4833.58</v>
      </c>
      <c r="M148" s="2"/>
      <c r="N148" s="19">
        <f t="shared" si="31"/>
        <v>1.2363614970635781</v>
      </c>
      <c r="O148" s="11"/>
      <c r="P148" s="2">
        <v>55364.33</v>
      </c>
      <c r="Q148" s="2"/>
      <c r="R148" s="19">
        <f t="shared" si="32"/>
        <v>1.0481748386709434E-2</v>
      </c>
      <c r="S148" s="2"/>
      <c r="T148" s="2">
        <v>10694.41</v>
      </c>
      <c r="U148" s="2"/>
      <c r="V148" s="19">
        <f t="shared" si="33"/>
        <v>1.1272556113985381E-3</v>
      </c>
      <c r="W148" s="2"/>
      <c r="X148" s="2">
        <f t="shared" si="34"/>
        <v>44669.919999999998</v>
      </c>
      <c r="Y148" s="2"/>
      <c r="Z148" s="19">
        <f t="shared" si="35"/>
        <v>4.1769410374204838</v>
      </c>
    </row>
    <row r="149" spans="1:26" s="24" customFormat="1" hidden="1" outlineLevel="1" x14ac:dyDescent="0.25">
      <c r="A149" s="44"/>
      <c r="B149" s="11" t="str">
        <f>CONCATENATE("          ", "5044", " - ", "PURCHASES @ COST-ACCESSORIES")</f>
        <v xml:space="preserve">          5044 - PURCHASES @ COST-ACCESSORIES</v>
      </c>
      <c r="C149" s="11"/>
      <c r="D149" s="2">
        <v>782.5</v>
      </c>
      <c r="E149" s="2"/>
      <c r="F149" s="19">
        <f t="shared" si="28"/>
        <v>5.9823448274934094E-4</v>
      </c>
      <c r="G149" s="2"/>
      <c r="H149" s="2">
        <v>3179.63</v>
      </c>
      <c r="I149" s="2"/>
      <c r="J149" s="19">
        <f t="shared" si="29"/>
        <v>1.3311941930538001E-3</v>
      </c>
      <c r="K149" s="2"/>
      <c r="L149" s="2">
        <f t="shared" si="30"/>
        <v>-2397.13</v>
      </c>
      <c r="M149" s="2"/>
      <c r="N149" s="19">
        <f t="shared" si="31"/>
        <v>-0.75390218358739858</v>
      </c>
      <c r="O149" s="11"/>
      <c r="P149" s="2">
        <v>1064.83</v>
      </c>
      <c r="Q149" s="2"/>
      <c r="R149" s="19">
        <f t="shared" si="32"/>
        <v>2.0159695122509033E-4</v>
      </c>
      <c r="S149" s="2"/>
      <c r="T149" s="2">
        <v>20867.21</v>
      </c>
      <c r="U149" s="2"/>
      <c r="V149" s="19">
        <f t="shared" si="33"/>
        <v>2.1995303683636299E-3</v>
      </c>
      <c r="W149" s="2"/>
      <c r="X149" s="2">
        <f t="shared" si="34"/>
        <v>-19802.379999999997</v>
      </c>
      <c r="Y149" s="2"/>
      <c r="Z149" s="19">
        <f t="shared" si="35"/>
        <v>-0.94897113701352498</v>
      </c>
    </row>
    <row r="150" spans="1:26" s="24" customFormat="1" hidden="1" outlineLevel="1" x14ac:dyDescent="0.25">
      <c r="A150" s="44"/>
      <c r="B150" s="11" t="str">
        <f>CONCATENATE("          ", "5045", " - ", "PURCHASES @ COST-SPECIAL ORDER")</f>
        <v xml:space="preserve">          5045 - PURCHASES @ COST-SPECIAL ORDER</v>
      </c>
      <c r="C150" s="11"/>
      <c r="D150" s="2">
        <v>5855.38</v>
      </c>
      <c r="E150" s="2"/>
      <c r="F150" s="19">
        <f t="shared" si="28"/>
        <v>4.4765370295218347E-3</v>
      </c>
      <c r="G150" s="2"/>
      <c r="H150" s="2">
        <v>6835.65</v>
      </c>
      <c r="I150" s="2"/>
      <c r="J150" s="19">
        <f t="shared" si="29"/>
        <v>2.861835366299918E-3</v>
      </c>
      <c r="K150" s="2"/>
      <c r="L150" s="2">
        <f t="shared" si="30"/>
        <v>-980.26999999999953</v>
      </c>
      <c r="M150" s="2"/>
      <c r="N150" s="19">
        <f t="shared" si="31"/>
        <v>-0.14340552836965023</v>
      </c>
      <c r="O150" s="11"/>
      <c r="P150" s="2">
        <v>93464.38</v>
      </c>
      <c r="Q150" s="2"/>
      <c r="R150" s="19">
        <f t="shared" si="32"/>
        <v>1.7694969202730306E-2</v>
      </c>
      <c r="S150" s="2"/>
      <c r="T150" s="2">
        <v>48016.23</v>
      </c>
      <c r="U150" s="2"/>
      <c r="V150" s="19">
        <f t="shared" si="33"/>
        <v>5.0612015721954581E-3</v>
      </c>
      <c r="W150" s="2"/>
      <c r="X150" s="2">
        <f t="shared" si="34"/>
        <v>45448.15</v>
      </c>
      <c r="Y150" s="2"/>
      <c r="Z150" s="19">
        <f t="shared" si="35"/>
        <v>0.94651641746967641</v>
      </c>
    </row>
    <row r="151" spans="1:26" s="24" customFormat="1" hidden="1" outlineLevel="1" x14ac:dyDescent="0.25">
      <c r="A151" s="44"/>
      <c r="B151" s="11" t="str">
        <f>CONCATENATE("          ", "5081", " - ", "PURCHASES @ COST-ELECTRONICS")</f>
        <v xml:space="preserve">          5081 - PURCHASES @ COST-ELECTRONICS</v>
      </c>
      <c r="C151" s="11"/>
      <c r="D151" s="2">
        <v>313.26</v>
      </c>
      <c r="E151" s="2"/>
      <c r="F151" s="19">
        <f t="shared" si="28"/>
        <v>2.3949256749656041E-4</v>
      </c>
      <c r="G151" s="2"/>
      <c r="H151" s="2">
        <v>32465.820000000003</v>
      </c>
      <c r="I151" s="2"/>
      <c r="J151" s="19">
        <f t="shared" si="29"/>
        <v>1.3592245341983163E-2</v>
      </c>
      <c r="K151" s="2"/>
      <c r="L151" s="2">
        <f t="shared" si="30"/>
        <v>-32152.560000000005</v>
      </c>
      <c r="M151" s="2"/>
      <c r="N151" s="19">
        <f t="shared" si="31"/>
        <v>-0.99035108307752584</v>
      </c>
      <c r="O151" s="11"/>
      <c r="P151" s="2">
        <v>25573.769999999997</v>
      </c>
      <c r="Q151" s="2"/>
      <c r="R151" s="19">
        <f t="shared" si="32"/>
        <v>4.8417062473180492E-3</v>
      </c>
      <c r="S151" s="2"/>
      <c r="T151" s="2">
        <v>221646.8</v>
      </c>
      <c r="U151" s="2"/>
      <c r="V151" s="19">
        <f t="shared" si="33"/>
        <v>2.3362915677305196E-2</v>
      </c>
      <c r="W151" s="2"/>
      <c r="X151" s="2">
        <f t="shared" si="34"/>
        <v>-196073.03</v>
      </c>
      <c r="Y151" s="2"/>
      <c r="Z151" s="19">
        <f t="shared" si="35"/>
        <v>-0.88461926813290337</v>
      </c>
    </row>
    <row r="152" spans="1:26" s="24" customFormat="1" hidden="1" outlineLevel="1" x14ac:dyDescent="0.25">
      <c r="A152" s="44"/>
      <c r="B152" s="11" t="str">
        <f>CONCATENATE("          ", "5082", " - ", "PURCHASES @ COST-COMPUTER HARD")</f>
        <v xml:space="preserve">          5082 - PURCHASES @ COST-COMPUTER HARD</v>
      </c>
      <c r="C152" s="11"/>
      <c r="D152" s="2">
        <v>98264.71</v>
      </c>
      <c r="E152" s="2"/>
      <c r="F152" s="19">
        <f t="shared" si="28"/>
        <v>7.5125032535928421E-2</v>
      </c>
      <c r="G152" s="2"/>
      <c r="H152" s="2">
        <v>159135.18</v>
      </c>
      <c r="I152" s="2"/>
      <c r="J152" s="19">
        <f t="shared" si="29"/>
        <v>6.6624049819183739E-2</v>
      </c>
      <c r="K152" s="2"/>
      <c r="L152" s="2">
        <f t="shared" si="30"/>
        <v>-60870.469999999987</v>
      </c>
      <c r="M152" s="2"/>
      <c r="N152" s="19">
        <f t="shared" si="31"/>
        <v>-0.38250794073315525</v>
      </c>
      <c r="O152" s="11"/>
      <c r="P152" s="2">
        <v>1079201.53</v>
      </c>
      <c r="Q152" s="2"/>
      <c r="R152" s="19">
        <f t="shared" si="32"/>
        <v>0.20431781430411697</v>
      </c>
      <c r="S152" s="2"/>
      <c r="T152" s="2">
        <v>1167662.76</v>
      </c>
      <c r="U152" s="2"/>
      <c r="V152" s="19">
        <f t="shared" si="33"/>
        <v>0.12307872976920695</v>
      </c>
      <c r="W152" s="2"/>
      <c r="X152" s="2">
        <f t="shared" si="34"/>
        <v>-88461.229999999981</v>
      </c>
      <c r="Y152" s="2"/>
      <c r="Z152" s="19">
        <f t="shared" si="35"/>
        <v>-7.5759228632075223E-2</v>
      </c>
    </row>
    <row r="153" spans="1:26" s="24" customFormat="1" hidden="1" outlineLevel="1" x14ac:dyDescent="0.25">
      <c r="A153" s="44"/>
      <c r="B153" s="11" t="str">
        <f>CONCATENATE("          ", "5083", " - ", "PURCHASES @ COST-COMPUTER EQUI")</f>
        <v xml:space="preserve">          5083 - PURCHASES @ COST-COMPUTER EQUI</v>
      </c>
      <c r="C153" s="11"/>
      <c r="D153" s="2">
        <v>8829.83</v>
      </c>
      <c r="E153" s="2"/>
      <c r="F153" s="19">
        <f t="shared" si="28"/>
        <v>6.750554355034649E-3</v>
      </c>
      <c r="G153" s="2"/>
      <c r="H153" s="2">
        <v>10530</v>
      </c>
      <c r="I153" s="2"/>
      <c r="J153" s="19">
        <f t="shared" si="29"/>
        <v>4.408523901478007E-3</v>
      </c>
      <c r="K153" s="2"/>
      <c r="L153" s="2">
        <f t="shared" si="30"/>
        <v>-1700.17</v>
      </c>
      <c r="M153" s="2"/>
      <c r="N153" s="19">
        <f t="shared" si="31"/>
        <v>-0.16145963912630579</v>
      </c>
      <c r="O153" s="11"/>
      <c r="P153" s="2">
        <v>90556.67</v>
      </c>
      <c r="Q153" s="2"/>
      <c r="R153" s="19">
        <f t="shared" si="32"/>
        <v>1.7144472437005533E-2</v>
      </c>
      <c r="S153" s="2"/>
      <c r="T153" s="2">
        <v>65360.780000000006</v>
      </c>
      <c r="U153" s="2"/>
      <c r="V153" s="19">
        <f t="shared" si="33"/>
        <v>6.8894222327725739E-3</v>
      </c>
      <c r="W153" s="2"/>
      <c r="X153" s="2">
        <f t="shared" si="34"/>
        <v>25195.889999999992</v>
      </c>
      <c r="Y153" s="2"/>
      <c r="Z153" s="19">
        <f t="shared" si="35"/>
        <v>0.38548943265364932</v>
      </c>
    </row>
    <row r="154" spans="1:26" s="24" customFormat="1" hidden="1" outlineLevel="1" x14ac:dyDescent="0.25">
      <c r="A154" s="44"/>
      <c r="B154" s="11" t="str">
        <f>CONCATENATE("          ", "5084", " - ", "PURCHASES @ COST-SOFTWARE LICE")</f>
        <v xml:space="preserve">          5084 - PURCHASES @ COST-SOFTWARE LICE</v>
      </c>
      <c r="C154" s="11"/>
      <c r="D154" s="2"/>
      <c r="E154" s="2"/>
      <c r="F154" s="19">
        <f t="shared" si="28"/>
        <v>0</v>
      </c>
      <c r="G154" s="2"/>
      <c r="H154" s="2"/>
      <c r="I154" s="2"/>
      <c r="J154" s="19">
        <f t="shared" si="29"/>
        <v>0</v>
      </c>
      <c r="K154" s="2"/>
      <c r="L154" s="2">
        <f t="shared" si="30"/>
        <v>0</v>
      </c>
      <c r="M154" s="2"/>
      <c r="N154" s="19">
        <f t="shared" si="31"/>
        <v>0</v>
      </c>
      <c r="O154" s="11"/>
      <c r="P154" s="2"/>
      <c r="Q154" s="2"/>
      <c r="R154" s="19">
        <f t="shared" si="32"/>
        <v>0</v>
      </c>
      <c r="S154" s="2"/>
      <c r="T154" s="2">
        <v>2728</v>
      </c>
      <c r="U154" s="2"/>
      <c r="V154" s="19">
        <f t="shared" si="33"/>
        <v>2.8754772894392603E-4</v>
      </c>
      <c r="W154" s="2"/>
      <c r="X154" s="2">
        <f t="shared" si="34"/>
        <v>-2728</v>
      </c>
      <c r="Y154" s="2"/>
      <c r="Z154" s="19">
        <f t="shared" si="35"/>
        <v>-1</v>
      </c>
    </row>
    <row r="155" spans="1:26" s="24" customFormat="1" hidden="1" outlineLevel="1" x14ac:dyDescent="0.25">
      <c r="A155" s="44"/>
      <c r="B155" s="11" t="str">
        <f>CONCATENATE("          ", "5085", " - ", "PURCHASES @ COST-SOFTWARE")</f>
        <v xml:space="preserve">          5085 - PURCHASES @ COST-SOFTWARE</v>
      </c>
      <c r="C155" s="11"/>
      <c r="D155" s="2">
        <v>4174.1400000000003</v>
      </c>
      <c r="E155" s="2"/>
      <c r="F155" s="19">
        <f t="shared" si="28"/>
        <v>3.1912006183045802E-3</v>
      </c>
      <c r="G155" s="2"/>
      <c r="H155" s="2"/>
      <c r="I155" s="2"/>
      <c r="J155" s="19">
        <f t="shared" si="29"/>
        <v>0</v>
      </c>
      <c r="K155" s="2"/>
      <c r="L155" s="2">
        <f t="shared" si="30"/>
        <v>4174.1400000000003</v>
      </c>
      <c r="M155" s="2"/>
      <c r="N155" s="19">
        <f t="shared" si="31"/>
        <v>0</v>
      </c>
      <c r="O155" s="11"/>
      <c r="P155" s="2">
        <v>28746.22</v>
      </c>
      <c r="Q155" s="2"/>
      <c r="R155" s="19">
        <f t="shared" si="32"/>
        <v>5.4423244191520873E-3</v>
      </c>
      <c r="S155" s="2"/>
      <c r="T155" s="2">
        <v>7860.66</v>
      </c>
      <c r="U155" s="2"/>
      <c r="V155" s="19">
        <f t="shared" si="33"/>
        <v>8.2856119171567503E-4</v>
      </c>
      <c r="W155" s="2"/>
      <c r="X155" s="2">
        <f t="shared" si="34"/>
        <v>20885.560000000001</v>
      </c>
      <c r="Y155" s="2"/>
      <c r="Z155" s="19">
        <f t="shared" si="35"/>
        <v>2.6569728241648924</v>
      </c>
    </row>
    <row r="156" spans="1:26" s="24" customFormat="1" hidden="1" outlineLevel="1" x14ac:dyDescent="0.25">
      <c r="A156" s="44"/>
      <c r="B156" s="11" t="str">
        <f>CONCATENATE("          ", "5086", " - ", "PURCHASES @ COST-COMPUTER SUPP")</f>
        <v xml:space="preserve">          5086 - PURCHASES @ COST-COMPUTER SUPP</v>
      </c>
      <c r="C156" s="11"/>
      <c r="D156" s="2">
        <v>21.24</v>
      </c>
      <c r="E156" s="2"/>
      <c r="F156" s="19">
        <f t="shared" si="28"/>
        <v>1.6238339186704154E-5</v>
      </c>
      <c r="G156" s="2"/>
      <c r="H156" s="2">
        <v>4364.12</v>
      </c>
      <c r="I156" s="2"/>
      <c r="J156" s="19">
        <f t="shared" si="29"/>
        <v>1.8270966124328773E-3</v>
      </c>
      <c r="K156" s="2"/>
      <c r="L156" s="2">
        <f t="shared" si="30"/>
        <v>-4342.88</v>
      </c>
      <c r="M156" s="2"/>
      <c r="N156" s="19">
        <f t="shared" si="31"/>
        <v>-0.99513303942146414</v>
      </c>
      <c r="O156" s="11"/>
      <c r="P156" s="2">
        <v>22739.85</v>
      </c>
      <c r="Q156" s="2"/>
      <c r="R156" s="19">
        <f t="shared" si="32"/>
        <v>4.3051796355435797E-3</v>
      </c>
      <c r="S156" s="2"/>
      <c r="T156" s="2">
        <v>25347.759999999998</v>
      </c>
      <c r="U156" s="2"/>
      <c r="V156" s="19">
        <f t="shared" si="33"/>
        <v>2.6718074860028187E-3</v>
      </c>
      <c r="W156" s="2"/>
      <c r="X156" s="2">
        <f t="shared" si="34"/>
        <v>-2607.91</v>
      </c>
      <c r="Y156" s="2"/>
      <c r="Z156" s="19">
        <f t="shared" si="35"/>
        <v>-0.10288522536113645</v>
      </c>
    </row>
    <row r="157" spans="1:26" s="24" customFormat="1" hidden="1" outlineLevel="1" x14ac:dyDescent="0.25">
      <c r="A157" s="44"/>
      <c r="B157" s="11" t="str">
        <f>CONCATENATE("          ", "5088", " - ", "PURCHASES @ COST-MUSIC")</f>
        <v xml:space="preserve">          5088 - PURCHASES @ COST-MUSIC</v>
      </c>
      <c r="C157" s="11"/>
      <c r="D157" s="2"/>
      <c r="E157" s="2"/>
      <c r="F157" s="19">
        <f t="shared" si="28"/>
        <v>0</v>
      </c>
      <c r="G157" s="2"/>
      <c r="H157" s="2"/>
      <c r="I157" s="2"/>
      <c r="J157" s="19">
        <f t="shared" si="29"/>
        <v>0</v>
      </c>
      <c r="K157" s="2"/>
      <c r="L157" s="2">
        <f t="shared" si="30"/>
        <v>0</v>
      </c>
      <c r="M157" s="2"/>
      <c r="N157" s="19">
        <f t="shared" si="31"/>
        <v>0</v>
      </c>
      <c r="O157" s="11"/>
      <c r="P157" s="2"/>
      <c r="Q157" s="2"/>
      <c r="R157" s="19">
        <f t="shared" si="32"/>
        <v>0</v>
      </c>
      <c r="S157" s="2"/>
      <c r="T157" s="2">
        <v>88.75</v>
      </c>
      <c r="U157" s="2"/>
      <c r="V157" s="19">
        <f t="shared" si="33"/>
        <v>9.3547877359873294E-6</v>
      </c>
      <c r="W157" s="2"/>
      <c r="X157" s="2">
        <f t="shared" si="34"/>
        <v>-88.75</v>
      </c>
      <c r="Y157" s="2"/>
      <c r="Z157" s="19">
        <f t="shared" si="35"/>
        <v>-1</v>
      </c>
    </row>
    <row r="158" spans="1:26" s="24" customFormat="1" hidden="1" outlineLevel="1" x14ac:dyDescent="0.25">
      <c r="A158" s="44"/>
      <c r="B158" s="11" t="str">
        <f>CONCATENATE("          ", "5092", " - ", "PURCHASES @ COST-GRAD MERCH")</f>
        <v xml:space="preserve">          5092 - PURCHASES @ COST-GRAD MERCH</v>
      </c>
      <c r="C158" s="11"/>
      <c r="D158" s="2"/>
      <c r="E158" s="2"/>
      <c r="F158" s="19">
        <f t="shared" si="28"/>
        <v>0</v>
      </c>
      <c r="G158" s="2"/>
      <c r="H158" s="2">
        <v>122.72</v>
      </c>
      <c r="I158" s="2"/>
      <c r="J158" s="19">
        <f t="shared" si="29"/>
        <v>5.1378352629570843E-5</v>
      </c>
      <c r="K158" s="2"/>
      <c r="L158" s="2">
        <f t="shared" si="30"/>
        <v>-122.72</v>
      </c>
      <c r="M158" s="2"/>
      <c r="N158" s="19">
        <f t="shared" si="31"/>
        <v>-1</v>
      </c>
      <c r="O158" s="11"/>
      <c r="P158" s="2"/>
      <c r="Q158" s="2"/>
      <c r="R158" s="19">
        <f t="shared" si="32"/>
        <v>0</v>
      </c>
      <c r="S158" s="2"/>
      <c r="T158" s="2">
        <v>2046.86</v>
      </c>
      <c r="U158" s="2"/>
      <c r="V158" s="19">
        <f t="shared" si="33"/>
        <v>2.1575144591868195E-4</v>
      </c>
      <c r="W158" s="2"/>
      <c r="X158" s="2">
        <f t="shared" si="34"/>
        <v>-2046.86</v>
      </c>
      <c r="Y158" s="2"/>
      <c r="Z158" s="19">
        <f t="shared" si="35"/>
        <v>-1</v>
      </c>
    </row>
    <row r="159" spans="1:26" s="24" customFormat="1" hidden="1" outlineLevel="1" x14ac:dyDescent="0.25">
      <c r="A159" s="44"/>
      <c r="B159" s="11" t="str">
        <f>CONCATENATE("          ", "5095", " - ", "PURCHASES @ COST-CUSTOMER SERV")</f>
        <v xml:space="preserve">          5095 - PURCHASES @ COST-CUSTOMER SERV</v>
      </c>
      <c r="C159" s="11"/>
      <c r="D159" s="2"/>
      <c r="E159" s="2"/>
      <c r="F159" s="19">
        <f t="shared" si="28"/>
        <v>0</v>
      </c>
      <c r="G159" s="2"/>
      <c r="H159" s="2"/>
      <c r="I159" s="2"/>
      <c r="J159" s="19">
        <f t="shared" si="29"/>
        <v>0</v>
      </c>
      <c r="K159" s="2"/>
      <c r="L159" s="2">
        <f t="shared" si="30"/>
        <v>0</v>
      </c>
      <c r="M159" s="2"/>
      <c r="N159" s="19">
        <f t="shared" si="31"/>
        <v>0</v>
      </c>
      <c r="O159" s="11"/>
      <c r="P159" s="2"/>
      <c r="Q159" s="2"/>
      <c r="R159" s="19">
        <f t="shared" si="32"/>
        <v>0</v>
      </c>
      <c r="S159" s="2"/>
      <c r="T159" s="2">
        <v>0</v>
      </c>
      <c r="U159" s="2"/>
      <c r="V159" s="19">
        <f t="shared" si="33"/>
        <v>0</v>
      </c>
      <c r="W159" s="2"/>
      <c r="X159" s="2">
        <f t="shared" si="34"/>
        <v>0</v>
      </c>
      <c r="Y159" s="2"/>
      <c r="Z159" s="19">
        <f t="shared" si="35"/>
        <v>0</v>
      </c>
    </row>
    <row r="160" spans="1:26" s="24" customFormat="1" hidden="1" outlineLevel="1" x14ac:dyDescent="0.25">
      <c r="A160" s="44"/>
      <c r="B160" s="11" t="str">
        <f>CONCATENATE("          ", "5200", " - ", "PURCHASES OFFSET")</f>
        <v xml:space="preserve">          5200 - PURCHASES OFFSET</v>
      </c>
      <c r="C160" s="11"/>
      <c r="D160" s="2">
        <v>-502374.21</v>
      </c>
      <c r="E160" s="2"/>
      <c r="F160" s="19">
        <f t="shared" si="28"/>
        <v>-0.3840735791258259</v>
      </c>
      <c r="G160" s="2"/>
      <c r="H160" s="2">
        <v>-1245332</v>
      </c>
      <c r="I160" s="2"/>
      <c r="J160" s="19">
        <f t="shared" si="29"/>
        <v>-0.52137472813631613</v>
      </c>
      <c r="K160" s="2"/>
      <c r="L160" s="2">
        <f t="shared" si="30"/>
        <v>742957.79</v>
      </c>
      <c r="M160" s="2"/>
      <c r="N160" s="19">
        <f t="shared" si="31"/>
        <v>-0.5965941532057315</v>
      </c>
      <c r="O160" s="11"/>
      <c r="P160" s="2">
        <v>-3379047.18</v>
      </c>
      <c r="Q160" s="2"/>
      <c r="R160" s="19">
        <f t="shared" si="32"/>
        <v>-0.63973179712605688</v>
      </c>
      <c r="S160" s="2"/>
      <c r="T160" s="2">
        <v>-5513495</v>
      </c>
      <c r="U160" s="2"/>
      <c r="V160" s="19">
        <f t="shared" si="33"/>
        <v>-0.58115577924988682</v>
      </c>
      <c r="W160" s="2"/>
      <c r="X160" s="2">
        <f t="shared" si="34"/>
        <v>2134447.8199999998</v>
      </c>
      <c r="Y160" s="2"/>
      <c r="Z160" s="19">
        <f t="shared" si="35"/>
        <v>-0.38713154178973586</v>
      </c>
    </row>
    <row r="161" spans="1:26" s="24" customFormat="1" hidden="1" outlineLevel="1" x14ac:dyDescent="0.25">
      <c r="A161" s="44"/>
      <c r="B161" s="11" t="str">
        <f>CONCATENATE("          ", "5300", " - ", "COG$ OFFSET")</f>
        <v xml:space="preserve">          5300 - COG$ OFFSET</v>
      </c>
      <c r="C161" s="11"/>
      <c r="D161" s="2">
        <v>695026</v>
      </c>
      <c r="E161" s="2"/>
      <c r="F161" s="19">
        <f t="shared" si="28"/>
        <v>0.53135913048861783</v>
      </c>
      <c r="G161" s="2"/>
      <c r="H161" s="2">
        <v>914062</v>
      </c>
      <c r="I161" s="2"/>
      <c r="J161" s="19">
        <f t="shared" si="29"/>
        <v>0.38268415711612436</v>
      </c>
      <c r="K161" s="2"/>
      <c r="L161" s="2">
        <f t="shared" si="30"/>
        <v>-219036</v>
      </c>
      <c r="M161" s="2"/>
      <c r="N161" s="19">
        <f t="shared" si="31"/>
        <v>-0.23962925928438114</v>
      </c>
      <c r="O161" s="11"/>
      <c r="P161" s="2">
        <v>3298180</v>
      </c>
      <c r="Q161" s="2"/>
      <c r="R161" s="19">
        <f t="shared" si="32"/>
        <v>0.62442176928858928</v>
      </c>
      <c r="S161" s="2"/>
      <c r="T161" s="2">
        <v>4834197.4700000007</v>
      </c>
      <c r="U161" s="2"/>
      <c r="V161" s="19">
        <f t="shared" si="33"/>
        <v>0.50955370372616315</v>
      </c>
      <c r="W161" s="2"/>
      <c r="X161" s="2">
        <f t="shared" si="34"/>
        <v>-1536017.4700000007</v>
      </c>
      <c r="Y161" s="2"/>
      <c r="Z161" s="19">
        <f t="shared" si="35"/>
        <v>-0.31773991019857956</v>
      </c>
    </row>
    <row r="162" spans="1:26" s="24" customFormat="1" hidden="1" outlineLevel="1" x14ac:dyDescent="0.25">
      <c r="A162" s="44"/>
      <c r="B162" s="11" t="str">
        <f>CONCATENATE("          ", "5500", " - ", "FREIGHT-IN")</f>
        <v xml:space="preserve">          5500 - FREIGHT-IN</v>
      </c>
      <c r="C162" s="11"/>
      <c r="D162" s="2"/>
      <c r="E162" s="2"/>
      <c r="F162" s="19">
        <f t="shared" si="28"/>
        <v>0</v>
      </c>
      <c r="G162" s="2"/>
      <c r="H162" s="2">
        <v>7.3</v>
      </c>
      <c r="I162" s="2"/>
      <c r="J162" s="19">
        <f t="shared" si="29"/>
        <v>3.0562416411006125E-6</v>
      </c>
      <c r="K162" s="2"/>
      <c r="L162" s="2">
        <f t="shared" si="30"/>
        <v>-7.3</v>
      </c>
      <c r="M162" s="2"/>
      <c r="N162" s="19">
        <f t="shared" si="31"/>
        <v>-1</v>
      </c>
      <c r="O162" s="11"/>
      <c r="P162" s="2"/>
      <c r="Q162" s="2"/>
      <c r="R162" s="19">
        <f t="shared" si="32"/>
        <v>0</v>
      </c>
      <c r="S162" s="2"/>
      <c r="T162" s="2">
        <v>122.53</v>
      </c>
      <c r="U162" s="2"/>
      <c r="V162" s="19">
        <f t="shared" si="33"/>
        <v>1.2915404408907352E-5</v>
      </c>
      <c r="W162" s="2"/>
      <c r="X162" s="2">
        <f t="shared" si="34"/>
        <v>-122.53</v>
      </c>
      <c r="Y162" s="2"/>
      <c r="Z162" s="19">
        <f t="shared" si="35"/>
        <v>-1</v>
      </c>
    </row>
    <row r="163" spans="1:26" s="24" customFormat="1" hidden="1" outlineLevel="1" x14ac:dyDescent="0.25">
      <c r="A163" s="44"/>
      <c r="B163" s="11" t="str">
        <f>CONCATENATE("          ", "5501", " - ", "FREIGHT-IN-NEW TEXT")</f>
        <v xml:space="preserve">          5501 - FREIGHT-IN-NEW TEXT</v>
      </c>
      <c r="C163" s="11"/>
      <c r="D163" s="2">
        <v>7155.21</v>
      </c>
      <c r="E163" s="2"/>
      <c r="F163" s="19">
        <f t="shared" si="28"/>
        <v>5.4702790457672994E-3</v>
      </c>
      <c r="G163" s="2"/>
      <c r="H163" s="2">
        <v>3407.43</v>
      </c>
      <c r="I163" s="2"/>
      <c r="J163" s="19">
        <f t="shared" si="29"/>
        <v>1.4265656787856794E-3</v>
      </c>
      <c r="K163" s="2"/>
      <c r="L163" s="2">
        <f t="shared" si="30"/>
        <v>3747.78</v>
      </c>
      <c r="M163" s="2"/>
      <c r="N163" s="19">
        <f t="shared" si="31"/>
        <v>1.0998846638082074</v>
      </c>
      <c r="O163" s="11"/>
      <c r="P163" s="2">
        <v>44618.79</v>
      </c>
      <c r="Q163" s="2"/>
      <c r="R163" s="19">
        <f t="shared" si="32"/>
        <v>8.4473690930501107E-3</v>
      </c>
      <c r="S163" s="2"/>
      <c r="T163" s="2">
        <v>42077.369999999995</v>
      </c>
      <c r="U163" s="2"/>
      <c r="V163" s="19">
        <f t="shared" si="33"/>
        <v>4.4352097446602942E-3</v>
      </c>
      <c r="W163" s="2"/>
      <c r="X163" s="2">
        <f t="shared" si="34"/>
        <v>2541.4200000000055</v>
      </c>
      <c r="Y163" s="2"/>
      <c r="Z163" s="19">
        <f t="shared" si="35"/>
        <v>6.0398736898242593E-2</v>
      </c>
    </row>
    <row r="164" spans="1:26" s="24" customFormat="1" hidden="1" outlineLevel="1" x14ac:dyDescent="0.25">
      <c r="A164" s="44"/>
      <c r="B164" s="11" t="str">
        <f>CONCATENATE("          ", "5502", " - ", "FREIGHT-IN-USED TEXT")</f>
        <v xml:space="preserve">          5502 - FREIGHT-IN-USED TEXT</v>
      </c>
      <c r="C164" s="11"/>
      <c r="D164" s="2">
        <v>2129.7399999999998</v>
      </c>
      <c r="E164" s="2"/>
      <c r="F164" s="19">
        <f t="shared" si="28"/>
        <v>1.6282222457387619E-3</v>
      </c>
      <c r="G164" s="2"/>
      <c r="H164" s="2">
        <v>4124.8100000000004</v>
      </c>
      <c r="I164" s="2"/>
      <c r="J164" s="19">
        <f t="shared" si="29"/>
        <v>1.7269063128257833E-3</v>
      </c>
      <c r="K164" s="2"/>
      <c r="L164" s="2">
        <f t="shared" si="30"/>
        <v>-1995.0700000000006</v>
      </c>
      <c r="M164" s="2"/>
      <c r="N164" s="19">
        <f t="shared" si="31"/>
        <v>-0.48367561172514623</v>
      </c>
      <c r="O164" s="11"/>
      <c r="P164" s="2">
        <v>15652.310000000001</v>
      </c>
      <c r="Q164" s="2"/>
      <c r="R164" s="19">
        <f t="shared" si="32"/>
        <v>2.9633443607242414E-3</v>
      </c>
      <c r="S164" s="2"/>
      <c r="T164" s="2">
        <v>11778.23</v>
      </c>
      <c r="U164" s="2"/>
      <c r="V164" s="19">
        <f t="shared" si="33"/>
        <v>1.2414968062607102E-3</v>
      </c>
      <c r="W164" s="2"/>
      <c r="X164" s="2">
        <f t="shared" si="34"/>
        <v>3874.0800000000017</v>
      </c>
      <c r="Y164" s="2"/>
      <c r="Z164" s="19">
        <f t="shared" si="35"/>
        <v>0.32891869151816544</v>
      </c>
    </row>
    <row r="165" spans="1:26" s="24" customFormat="1" hidden="1" outlineLevel="1" x14ac:dyDescent="0.25">
      <c r="A165" s="44"/>
      <c r="B165" s="11" t="str">
        <f>CONCATENATE("          ", "5504", " - ", "FREIGHT-IN-DIGITAL TEXT")</f>
        <v xml:space="preserve">          5504 - FREIGHT-IN-DIGITAL TEXT</v>
      </c>
      <c r="C165" s="11"/>
      <c r="D165" s="2"/>
      <c r="E165" s="2"/>
      <c r="F165" s="19">
        <f t="shared" si="28"/>
        <v>0</v>
      </c>
      <c r="G165" s="2"/>
      <c r="H165" s="2"/>
      <c r="I165" s="2"/>
      <c r="J165" s="19">
        <f t="shared" si="29"/>
        <v>0</v>
      </c>
      <c r="K165" s="2"/>
      <c r="L165" s="2">
        <f t="shared" si="30"/>
        <v>0</v>
      </c>
      <c r="M165" s="2"/>
      <c r="N165" s="19">
        <f t="shared" si="31"/>
        <v>0</v>
      </c>
      <c r="O165" s="11"/>
      <c r="P165" s="2">
        <v>21.98</v>
      </c>
      <c r="Q165" s="2"/>
      <c r="R165" s="19">
        <f t="shared" si="32"/>
        <v>4.1613224532812618E-6</v>
      </c>
      <c r="S165" s="2"/>
      <c r="T165" s="2">
        <v>105.97</v>
      </c>
      <c r="U165" s="2"/>
      <c r="V165" s="19">
        <f t="shared" si="33"/>
        <v>1.1169880071916363E-5</v>
      </c>
      <c r="W165" s="2"/>
      <c r="X165" s="2">
        <f t="shared" si="34"/>
        <v>-83.99</v>
      </c>
      <c r="Y165" s="2"/>
      <c r="Z165" s="19">
        <f t="shared" si="35"/>
        <v>-0.79258280645465695</v>
      </c>
    </row>
    <row r="166" spans="1:26" s="24" customFormat="1" hidden="1" outlineLevel="1" x14ac:dyDescent="0.25">
      <c r="A166" s="44"/>
      <c r="B166" s="11" t="str">
        <f>CONCATENATE("          ", "5513", " - ", "FREIGHT-IN-TRADE BOOKS")</f>
        <v xml:space="preserve">          5513 - FREIGHT-IN-TRADE BOOKS</v>
      </c>
      <c r="C166" s="11"/>
      <c r="D166" s="2">
        <v>7.06</v>
      </c>
      <c r="E166" s="2"/>
      <c r="F166" s="19">
        <f t="shared" si="28"/>
        <v>5.3974893906841488E-6</v>
      </c>
      <c r="G166" s="2"/>
      <c r="H166" s="2"/>
      <c r="I166" s="2"/>
      <c r="J166" s="19">
        <f t="shared" si="29"/>
        <v>0</v>
      </c>
      <c r="K166" s="2"/>
      <c r="L166" s="2">
        <f t="shared" si="30"/>
        <v>7.06</v>
      </c>
      <c r="M166" s="2"/>
      <c r="N166" s="19">
        <f t="shared" si="31"/>
        <v>0</v>
      </c>
      <c r="O166" s="11"/>
      <c r="P166" s="2">
        <v>33.520000000000003</v>
      </c>
      <c r="Q166" s="2"/>
      <c r="R166" s="19">
        <f t="shared" si="32"/>
        <v>6.3461114028201962E-6</v>
      </c>
      <c r="S166" s="2"/>
      <c r="T166" s="2">
        <v>21.41</v>
      </c>
      <c r="U166" s="2"/>
      <c r="V166" s="19">
        <f t="shared" si="33"/>
        <v>2.2567437231266334E-6</v>
      </c>
      <c r="W166" s="2"/>
      <c r="X166" s="2">
        <f t="shared" si="34"/>
        <v>12.110000000000003</v>
      </c>
      <c r="Y166" s="2"/>
      <c r="Z166" s="19">
        <f t="shared" si="35"/>
        <v>0.56562354040168161</v>
      </c>
    </row>
    <row r="167" spans="1:26" s="24" customFormat="1" hidden="1" outlineLevel="1" x14ac:dyDescent="0.25">
      <c r="A167" s="44"/>
      <c r="B167" s="11" t="str">
        <f>CONCATENATE("          ", "5518", " - ", "FREIGHT-IN-STUDY GUIDES")</f>
        <v xml:space="preserve">          5518 - FREIGHT-IN-STUDY GUIDES</v>
      </c>
      <c r="C167" s="11"/>
      <c r="D167" s="2"/>
      <c r="E167" s="2"/>
      <c r="F167" s="19">
        <f t="shared" si="28"/>
        <v>0</v>
      </c>
      <c r="G167" s="2"/>
      <c r="H167" s="2"/>
      <c r="I167" s="2"/>
      <c r="J167" s="19">
        <f t="shared" si="29"/>
        <v>0</v>
      </c>
      <c r="K167" s="2"/>
      <c r="L167" s="2">
        <f t="shared" si="30"/>
        <v>0</v>
      </c>
      <c r="M167" s="2"/>
      <c r="N167" s="19">
        <f t="shared" si="31"/>
        <v>0</v>
      </c>
      <c r="O167" s="11"/>
      <c r="P167" s="2"/>
      <c r="Q167" s="2"/>
      <c r="R167" s="19">
        <f t="shared" si="32"/>
        <v>0</v>
      </c>
      <c r="S167" s="2"/>
      <c r="T167" s="2">
        <v>21.13</v>
      </c>
      <c r="U167" s="2"/>
      <c r="V167" s="19">
        <f t="shared" si="33"/>
        <v>2.2272300266074619E-6</v>
      </c>
      <c r="W167" s="2"/>
      <c r="X167" s="2">
        <f t="shared" si="34"/>
        <v>-21.13</v>
      </c>
      <c r="Y167" s="2"/>
      <c r="Z167" s="19">
        <f t="shared" si="35"/>
        <v>-1</v>
      </c>
    </row>
    <row r="168" spans="1:26" s="24" customFormat="1" hidden="1" outlineLevel="1" x14ac:dyDescent="0.25">
      <c r="A168" s="44"/>
      <c r="B168" s="11" t="str">
        <f>CONCATENATE("          ", "5525", " - ", "FREIGHT-IN-TEST FORMS")</f>
        <v xml:space="preserve">          5525 - FREIGHT-IN-TEST FORMS</v>
      </c>
      <c r="C168" s="11"/>
      <c r="D168" s="2"/>
      <c r="E168" s="2"/>
      <c r="F168" s="19">
        <f t="shared" si="28"/>
        <v>0</v>
      </c>
      <c r="G168" s="2"/>
      <c r="H168" s="2"/>
      <c r="I168" s="2"/>
      <c r="J168" s="19">
        <f t="shared" si="29"/>
        <v>0</v>
      </c>
      <c r="K168" s="2"/>
      <c r="L168" s="2">
        <f t="shared" si="30"/>
        <v>0</v>
      </c>
      <c r="M168" s="2"/>
      <c r="N168" s="19">
        <f t="shared" si="31"/>
        <v>0</v>
      </c>
      <c r="O168" s="11"/>
      <c r="P168" s="2">
        <v>48.14</v>
      </c>
      <c r="Q168" s="2"/>
      <c r="R168" s="19">
        <f t="shared" si="32"/>
        <v>9.1140156005896249E-6</v>
      </c>
      <c r="S168" s="2"/>
      <c r="T168" s="2">
        <v>622.41</v>
      </c>
      <c r="U168" s="2"/>
      <c r="V168" s="19">
        <f t="shared" si="33"/>
        <v>6.560578518034787E-5</v>
      </c>
      <c r="W168" s="2"/>
      <c r="X168" s="2">
        <f t="shared" si="34"/>
        <v>-574.27</v>
      </c>
      <c r="Y168" s="2"/>
      <c r="Z168" s="19">
        <f t="shared" si="35"/>
        <v>-0.92265548432705136</v>
      </c>
    </row>
    <row r="169" spans="1:26" s="24" customFormat="1" hidden="1" outlineLevel="1" x14ac:dyDescent="0.25">
      <c r="A169" s="44"/>
      <c r="B169" s="11" t="str">
        <f>CONCATENATE("          ", "5526", " - ", "FREIGHT-IN-WRITING INSTRUMENTS")</f>
        <v xml:space="preserve">          5526 - FREIGHT-IN-WRITING INSTRUMENTS</v>
      </c>
      <c r="C169" s="11"/>
      <c r="D169" s="2"/>
      <c r="E169" s="2"/>
      <c r="F169" s="19">
        <f t="shared" si="28"/>
        <v>0</v>
      </c>
      <c r="G169" s="2"/>
      <c r="H169" s="2"/>
      <c r="I169" s="2"/>
      <c r="J169" s="19">
        <f t="shared" si="29"/>
        <v>0</v>
      </c>
      <c r="K169" s="2"/>
      <c r="L169" s="2">
        <f t="shared" si="30"/>
        <v>0</v>
      </c>
      <c r="M169" s="2"/>
      <c r="N169" s="19">
        <f t="shared" si="31"/>
        <v>0</v>
      </c>
      <c r="O169" s="11"/>
      <c r="P169" s="2"/>
      <c r="Q169" s="2"/>
      <c r="R169" s="19">
        <f t="shared" si="32"/>
        <v>0</v>
      </c>
      <c r="S169" s="2"/>
      <c r="T169" s="2">
        <v>260.35000000000002</v>
      </c>
      <c r="U169" s="2"/>
      <c r="V169" s="19">
        <f t="shared" si="33"/>
        <v>2.7442467459879452E-5</v>
      </c>
      <c r="W169" s="2"/>
      <c r="X169" s="2">
        <f t="shared" si="34"/>
        <v>-260.35000000000002</v>
      </c>
      <c r="Y169" s="2"/>
      <c r="Z169" s="19">
        <f t="shared" si="35"/>
        <v>-1</v>
      </c>
    </row>
    <row r="170" spans="1:26" s="24" customFormat="1" hidden="1" outlineLevel="1" x14ac:dyDescent="0.25">
      <c r="A170" s="44"/>
      <c r="B170" s="11" t="str">
        <f>CONCATENATE("          ", "5527", " - ", "FREIGHT-IN-SCHOOL SUPPLIES")</f>
        <v xml:space="preserve">          5527 - FREIGHT-IN-SCHOOL SUPPLIES</v>
      </c>
      <c r="C170" s="11"/>
      <c r="D170" s="2"/>
      <c r="E170" s="2"/>
      <c r="F170" s="19">
        <f t="shared" si="28"/>
        <v>0</v>
      </c>
      <c r="G170" s="2"/>
      <c r="H170" s="2">
        <v>321.92</v>
      </c>
      <c r="I170" s="2"/>
      <c r="J170" s="19">
        <f t="shared" si="29"/>
        <v>1.3477606974015194E-4</v>
      </c>
      <c r="K170" s="2"/>
      <c r="L170" s="2">
        <f t="shared" si="30"/>
        <v>-321.92</v>
      </c>
      <c r="M170" s="2"/>
      <c r="N170" s="19">
        <f t="shared" si="31"/>
        <v>-1</v>
      </c>
      <c r="O170" s="11"/>
      <c r="P170" s="2">
        <v>177.5</v>
      </c>
      <c r="Q170" s="2"/>
      <c r="R170" s="19">
        <f t="shared" si="32"/>
        <v>3.3604856026270422E-5</v>
      </c>
      <c r="S170" s="2"/>
      <c r="T170" s="2">
        <v>1219.8399999999999</v>
      </c>
      <c r="U170" s="2"/>
      <c r="V170" s="19">
        <f t="shared" si="33"/>
        <v>1.2857852700694968E-4</v>
      </c>
      <c r="W170" s="2"/>
      <c r="X170" s="2">
        <f t="shared" si="34"/>
        <v>-1042.3399999999999</v>
      </c>
      <c r="Y170" s="2"/>
      <c r="Z170" s="19">
        <f t="shared" si="35"/>
        <v>-0.85448911332633792</v>
      </c>
    </row>
    <row r="171" spans="1:26" s="24" customFormat="1" hidden="1" outlineLevel="1" x14ac:dyDescent="0.25">
      <c r="A171" s="44"/>
      <c r="B171" s="11" t="str">
        <f>CONCATENATE("          ", "5528", " - ", "FREIGHT-IN-ART/TECH")</f>
        <v xml:space="preserve">          5528 - FREIGHT-IN-ART/TECH</v>
      </c>
      <c r="C171" s="11"/>
      <c r="D171" s="2">
        <v>48.53</v>
      </c>
      <c r="E171" s="2"/>
      <c r="F171" s="19">
        <f t="shared" si="28"/>
        <v>3.7102005684122062E-5</v>
      </c>
      <c r="G171" s="2"/>
      <c r="H171" s="2">
        <v>220.82</v>
      </c>
      <c r="I171" s="2"/>
      <c r="J171" s="19">
        <f t="shared" si="29"/>
        <v>9.244921632710099E-5</v>
      </c>
      <c r="K171" s="2"/>
      <c r="L171" s="2">
        <f t="shared" si="30"/>
        <v>-172.29</v>
      </c>
      <c r="M171" s="2"/>
      <c r="N171" s="19">
        <f t="shared" si="31"/>
        <v>-0.78022824019563441</v>
      </c>
      <c r="O171" s="11"/>
      <c r="P171" s="2">
        <v>338.74</v>
      </c>
      <c r="Q171" s="2"/>
      <c r="R171" s="19">
        <f t="shared" si="32"/>
        <v>6.4131317917401944E-5</v>
      </c>
      <c r="S171" s="2"/>
      <c r="T171" s="2">
        <v>1331.46</v>
      </c>
      <c r="U171" s="2"/>
      <c r="V171" s="19">
        <f t="shared" si="33"/>
        <v>1.4034395131219931E-4</v>
      </c>
      <c r="W171" s="2"/>
      <c r="X171" s="2">
        <f t="shared" si="34"/>
        <v>-992.72</v>
      </c>
      <c r="Y171" s="2"/>
      <c r="Z171" s="19">
        <f t="shared" si="35"/>
        <v>-0.74558755050846437</v>
      </c>
    </row>
    <row r="172" spans="1:26" s="24" customFormat="1" hidden="1" outlineLevel="1" x14ac:dyDescent="0.25">
      <c r="A172" s="44"/>
      <c r="B172" s="11" t="str">
        <f>CONCATENATE("          ", "5540", " - ", "FREIGHT-IN-LOGO CLOTHING")</f>
        <v xml:space="preserve">          5540 - FREIGHT-IN-LOGO CLOTHING</v>
      </c>
      <c r="C172" s="11"/>
      <c r="D172" s="2">
        <v>347.67</v>
      </c>
      <c r="E172" s="2"/>
      <c r="F172" s="19">
        <f t="shared" si="28"/>
        <v>2.6579959439931421E-4</v>
      </c>
      <c r="G172" s="2"/>
      <c r="H172" s="2">
        <v>1400.5</v>
      </c>
      <c r="I172" s="2"/>
      <c r="J172" s="19">
        <f t="shared" si="29"/>
        <v>5.8633786552895995E-4</v>
      </c>
      <c r="K172" s="2"/>
      <c r="L172" s="2">
        <f t="shared" si="30"/>
        <v>-1052.83</v>
      </c>
      <c r="M172" s="2"/>
      <c r="N172" s="19">
        <f t="shared" si="31"/>
        <v>-0.75175294537665116</v>
      </c>
      <c r="O172" s="11"/>
      <c r="P172" s="2">
        <v>5790.63</v>
      </c>
      <c r="Q172" s="2"/>
      <c r="R172" s="19">
        <f t="shared" si="32"/>
        <v>1.0963002109938159E-3</v>
      </c>
      <c r="S172" s="2"/>
      <c r="T172" s="2">
        <v>25677.89</v>
      </c>
      <c r="U172" s="2"/>
      <c r="V172" s="19">
        <f t="shared" si="33"/>
        <v>2.7066051882595117E-3</v>
      </c>
      <c r="W172" s="2"/>
      <c r="X172" s="2">
        <f t="shared" si="34"/>
        <v>-19887.259999999998</v>
      </c>
      <c r="Y172" s="2"/>
      <c r="Z172" s="19">
        <f t="shared" si="35"/>
        <v>-0.77448964848747304</v>
      </c>
    </row>
    <row r="173" spans="1:26" s="24" customFormat="1" hidden="1" outlineLevel="1" x14ac:dyDescent="0.25">
      <c r="A173" s="44"/>
      <c r="B173" s="11" t="str">
        <f>CONCATENATE("          ", "5541", " - ", "FREIGHT-IN-LOGO GIFTS")</f>
        <v xml:space="preserve">          5541 - FREIGHT-IN-LOGO GIFTS</v>
      </c>
      <c r="C173" s="11"/>
      <c r="D173" s="2">
        <v>182.93</v>
      </c>
      <c r="E173" s="2"/>
      <c r="F173" s="19">
        <f t="shared" si="28"/>
        <v>1.3985307850394497E-4</v>
      </c>
      <c r="G173" s="2"/>
      <c r="H173" s="2">
        <v>24.8</v>
      </c>
      <c r="I173" s="2"/>
      <c r="J173" s="19">
        <f t="shared" si="29"/>
        <v>1.0382848314971944E-5</v>
      </c>
      <c r="K173" s="2"/>
      <c r="L173" s="2">
        <f t="shared" si="30"/>
        <v>158.13</v>
      </c>
      <c r="M173" s="2"/>
      <c r="N173" s="19">
        <f t="shared" si="31"/>
        <v>6.3762096774193546</v>
      </c>
      <c r="O173" s="11"/>
      <c r="P173" s="2">
        <v>1702.87</v>
      </c>
      <c r="Q173" s="2"/>
      <c r="R173" s="19">
        <f t="shared" si="32"/>
        <v>3.2239268271242317E-4</v>
      </c>
      <c r="S173" s="2"/>
      <c r="T173" s="2">
        <v>3587.57</v>
      </c>
      <c r="U173" s="2"/>
      <c r="V173" s="19">
        <f t="shared" si="33"/>
        <v>3.7815161507601201E-4</v>
      </c>
      <c r="W173" s="2"/>
      <c r="X173" s="2">
        <f t="shared" si="34"/>
        <v>-1884.7000000000003</v>
      </c>
      <c r="Y173" s="2"/>
      <c r="Z173" s="19">
        <f t="shared" si="35"/>
        <v>-0.52534166580721775</v>
      </c>
    </row>
    <row r="174" spans="1:26" s="24" customFormat="1" hidden="1" outlineLevel="1" x14ac:dyDescent="0.25">
      <c r="A174" s="44"/>
      <c r="B174" s="11" t="str">
        <f>CONCATENATE("          ", "5542", " - ", "FREIGHT-IN-EVERYDAY GIFTS")</f>
        <v xml:space="preserve">          5542 - FREIGHT-IN-EVERYDAY GIFTS</v>
      </c>
      <c r="C174" s="11"/>
      <c r="D174" s="2">
        <v>187.38</v>
      </c>
      <c r="E174" s="2"/>
      <c r="F174" s="19">
        <f t="shared" si="28"/>
        <v>1.4325517875727988E-4</v>
      </c>
      <c r="G174" s="2"/>
      <c r="H174" s="2"/>
      <c r="I174" s="2"/>
      <c r="J174" s="19">
        <f t="shared" si="29"/>
        <v>0</v>
      </c>
      <c r="K174" s="2"/>
      <c r="L174" s="2">
        <f t="shared" si="30"/>
        <v>187.38</v>
      </c>
      <c r="M174" s="2"/>
      <c r="N174" s="19">
        <f t="shared" si="31"/>
        <v>0</v>
      </c>
      <c r="O174" s="11"/>
      <c r="P174" s="2">
        <v>383.93</v>
      </c>
      <c r="Q174" s="2"/>
      <c r="R174" s="19">
        <f t="shared" si="32"/>
        <v>7.268683027699157E-5</v>
      </c>
      <c r="S174" s="2"/>
      <c r="T174" s="2">
        <v>1708.33</v>
      </c>
      <c r="U174" s="2"/>
      <c r="V174" s="19">
        <f t="shared" si="33"/>
        <v>1.800683327664139E-4</v>
      </c>
      <c r="W174" s="2"/>
      <c r="X174" s="2">
        <f t="shared" si="34"/>
        <v>-1324.3999999999999</v>
      </c>
      <c r="Y174" s="2"/>
      <c r="Z174" s="19">
        <f t="shared" si="35"/>
        <v>-0.77526004928790104</v>
      </c>
    </row>
    <row r="175" spans="1:26" s="24" customFormat="1" hidden="1" outlineLevel="1" x14ac:dyDescent="0.25">
      <c r="A175" s="44"/>
      <c r="B175" s="11" t="str">
        <f>CONCATENATE("          ", "5543", " - ", "FREIGHT-IN-CARDS")</f>
        <v xml:space="preserve">          5543 - FREIGHT-IN-CARDS</v>
      </c>
      <c r="C175" s="11"/>
      <c r="D175" s="2">
        <v>1992.81</v>
      </c>
      <c r="E175" s="2"/>
      <c r="F175" s="19">
        <f t="shared" si="28"/>
        <v>1.5235369451344588E-3</v>
      </c>
      <c r="G175" s="2"/>
      <c r="H175" s="2"/>
      <c r="I175" s="2"/>
      <c r="J175" s="19">
        <f t="shared" si="29"/>
        <v>0</v>
      </c>
      <c r="K175" s="2"/>
      <c r="L175" s="2">
        <f t="shared" si="30"/>
        <v>1992.81</v>
      </c>
      <c r="M175" s="2"/>
      <c r="N175" s="19">
        <f t="shared" si="31"/>
        <v>0</v>
      </c>
      <c r="O175" s="11"/>
      <c r="P175" s="2">
        <v>9110.5300000000007</v>
      </c>
      <c r="Q175" s="2"/>
      <c r="R175" s="19">
        <f t="shared" si="32"/>
        <v>1.7248340787212255E-3</v>
      </c>
      <c r="S175" s="2"/>
      <c r="T175" s="2">
        <v>121.35</v>
      </c>
      <c r="U175" s="2"/>
      <c r="V175" s="19">
        <f t="shared" si="33"/>
        <v>1.2791025259290843E-5</v>
      </c>
      <c r="W175" s="2"/>
      <c r="X175" s="2">
        <f t="shared" si="34"/>
        <v>8989.18</v>
      </c>
      <c r="Y175" s="2"/>
      <c r="Z175" s="19">
        <f t="shared" si="35"/>
        <v>74.07647301194892</v>
      </c>
    </row>
    <row r="176" spans="1:26" s="24" customFormat="1" hidden="1" outlineLevel="1" x14ac:dyDescent="0.25">
      <c r="A176" s="44"/>
      <c r="B176" s="11" t="str">
        <f>CONCATENATE("          ", "5544", " - ", "FREIGHT-IN-ACCESSORIES")</f>
        <v xml:space="preserve">          5544 - FREIGHT-IN-ACCESSORIES</v>
      </c>
      <c r="C176" s="11"/>
      <c r="D176" s="2"/>
      <c r="E176" s="2"/>
      <c r="F176" s="19">
        <f t="shared" si="28"/>
        <v>0</v>
      </c>
      <c r="G176" s="2"/>
      <c r="H176" s="2"/>
      <c r="I176" s="2"/>
      <c r="J176" s="19">
        <f t="shared" si="29"/>
        <v>0</v>
      </c>
      <c r="K176" s="2"/>
      <c r="L176" s="2">
        <f t="shared" si="30"/>
        <v>0</v>
      </c>
      <c r="M176" s="2"/>
      <c r="N176" s="19">
        <f t="shared" si="31"/>
        <v>0</v>
      </c>
      <c r="O176" s="11"/>
      <c r="P176" s="2"/>
      <c r="Q176" s="2"/>
      <c r="R176" s="19">
        <f t="shared" si="32"/>
        <v>0</v>
      </c>
      <c r="S176" s="2"/>
      <c r="T176" s="2">
        <v>442.31</v>
      </c>
      <c r="U176" s="2"/>
      <c r="V176" s="19">
        <f t="shared" si="33"/>
        <v>4.6622153954980907E-5</v>
      </c>
      <c r="W176" s="2"/>
      <c r="X176" s="2">
        <f t="shared" si="34"/>
        <v>-442.31</v>
      </c>
      <c r="Y176" s="2"/>
      <c r="Z176" s="19">
        <f t="shared" si="35"/>
        <v>-1</v>
      </c>
    </row>
    <row r="177" spans="1:26" s="24" customFormat="1" hidden="1" outlineLevel="1" x14ac:dyDescent="0.25">
      <c r="A177" s="44"/>
      <c r="B177" s="11" t="str">
        <f>CONCATENATE("          ", "5545", " - ", "FREIGHT-IN-SPECIAL ORDERS")</f>
        <v xml:space="preserve">          5545 - FREIGHT-IN-SPECIAL ORDERS</v>
      </c>
      <c r="C177" s="11"/>
      <c r="D177" s="2"/>
      <c r="E177" s="2"/>
      <c r="F177" s="19">
        <f t="shared" si="28"/>
        <v>0</v>
      </c>
      <c r="G177" s="2"/>
      <c r="H177" s="2">
        <v>14.23</v>
      </c>
      <c r="I177" s="2"/>
      <c r="J177" s="19">
        <f t="shared" si="29"/>
        <v>5.9575778839536598E-6</v>
      </c>
      <c r="K177" s="2"/>
      <c r="L177" s="2">
        <f t="shared" si="30"/>
        <v>-14.23</v>
      </c>
      <c r="M177" s="2"/>
      <c r="N177" s="19">
        <f t="shared" si="31"/>
        <v>-1</v>
      </c>
      <c r="O177" s="11"/>
      <c r="P177" s="2">
        <v>1113.79</v>
      </c>
      <c r="Q177" s="2"/>
      <c r="R177" s="19">
        <f t="shared" si="32"/>
        <v>2.1086621179436472E-4</v>
      </c>
      <c r="S177" s="2"/>
      <c r="T177" s="2">
        <v>841.9</v>
      </c>
      <c r="U177" s="2"/>
      <c r="V177" s="19">
        <f t="shared" si="33"/>
        <v>8.874136106960825E-5</v>
      </c>
      <c r="W177" s="2"/>
      <c r="X177" s="2">
        <f t="shared" si="34"/>
        <v>271.89</v>
      </c>
      <c r="Y177" s="2"/>
      <c r="Z177" s="19">
        <f t="shared" si="35"/>
        <v>0.32294809359781446</v>
      </c>
    </row>
    <row r="178" spans="1:26" s="24" customFormat="1" hidden="1" outlineLevel="1" x14ac:dyDescent="0.25">
      <c r="A178" s="44"/>
      <c r="B178" s="11" t="str">
        <f>CONCATENATE("          ", "5581", " - ", "FREIGHT-IN-ELECTRONICS")</f>
        <v xml:space="preserve">          5581 - FREIGHT-IN-ELECTRONICS</v>
      </c>
      <c r="C178" s="11"/>
      <c r="D178" s="2"/>
      <c r="E178" s="2"/>
      <c r="F178" s="19">
        <f t="shared" si="28"/>
        <v>0</v>
      </c>
      <c r="G178" s="2"/>
      <c r="H178" s="2"/>
      <c r="I178" s="2"/>
      <c r="J178" s="19">
        <f t="shared" si="29"/>
        <v>0</v>
      </c>
      <c r="K178" s="2"/>
      <c r="L178" s="2">
        <f t="shared" si="30"/>
        <v>0</v>
      </c>
      <c r="M178" s="2"/>
      <c r="N178" s="19">
        <f t="shared" si="31"/>
        <v>0</v>
      </c>
      <c r="O178" s="11"/>
      <c r="P178" s="2">
        <v>31</v>
      </c>
      <c r="Q178" s="2"/>
      <c r="R178" s="19">
        <f t="shared" si="32"/>
        <v>5.8690171088134259E-6</v>
      </c>
      <c r="S178" s="2"/>
      <c r="T178" s="2">
        <v>105.75</v>
      </c>
      <c r="U178" s="2"/>
      <c r="V178" s="19">
        <f t="shared" si="33"/>
        <v>1.1146690738937015E-5</v>
      </c>
      <c r="W178" s="2"/>
      <c r="X178" s="2">
        <f t="shared" si="34"/>
        <v>-74.75</v>
      </c>
      <c r="Y178" s="2"/>
      <c r="Z178" s="19">
        <f t="shared" si="35"/>
        <v>-0.70685579196217496</v>
      </c>
    </row>
    <row r="179" spans="1:26" s="24" customFormat="1" hidden="1" outlineLevel="1" x14ac:dyDescent="0.25">
      <c r="A179" s="44"/>
      <c r="B179" s="11" t="str">
        <f>CONCATENATE("          ", "5582", " - ", "FREIGHT-IN-COMPUTER HARDWARE")</f>
        <v xml:space="preserve">          5582 - FREIGHT-IN-COMPUTER HARDWARE</v>
      </c>
      <c r="C179" s="11"/>
      <c r="D179" s="2"/>
      <c r="E179" s="2"/>
      <c r="F179" s="19">
        <f t="shared" si="28"/>
        <v>0</v>
      </c>
      <c r="G179" s="2"/>
      <c r="H179" s="2"/>
      <c r="I179" s="2"/>
      <c r="J179" s="19">
        <f t="shared" si="29"/>
        <v>0</v>
      </c>
      <c r="K179" s="2"/>
      <c r="L179" s="2">
        <f t="shared" si="30"/>
        <v>0</v>
      </c>
      <c r="M179" s="2"/>
      <c r="N179" s="19">
        <f t="shared" si="31"/>
        <v>0</v>
      </c>
      <c r="O179" s="11"/>
      <c r="P179" s="2">
        <v>94</v>
      </c>
      <c r="Q179" s="2"/>
      <c r="R179" s="19">
        <f t="shared" si="32"/>
        <v>1.7796374458982648E-5</v>
      </c>
      <c r="S179" s="2"/>
      <c r="T179" s="2">
        <v>4.84</v>
      </c>
      <c r="U179" s="2"/>
      <c r="V179" s="19">
        <f t="shared" si="33"/>
        <v>5.1016532554567515E-7</v>
      </c>
      <c r="W179" s="2"/>
      <c r="X179" s="2">
        <f t="shared" si="34"/>
        <v>89.16</v>
      </c>
      <c r="Y179" s="2"/>
      <c r="Z179" s="19">
        <f t="shared" si="35"/>
        <v>18.421487603305785</v>
      </c>
    </row>
    <row r="180" spans="1:26" s="24" customFormat="1" hidden="1" outlineLevel="1" x14ac:dyDescent="0.25">
      <c r="A180" s="44"/>
      <c r="B180" s="11" t="str">
        <f>CONCATENATE("          ", "5583", " - ", "FREIGHT-IN-COMPUTER EQUIPMENT")</f>
        <v xml:space="preserve">          5583 - FREIGHT-IN-COMPUTER EQUIPMENT</v>
      </c>
      <c r="C180" s="11"/>
      <c r="D180" s="2">
        <v>10.06</v>
      </c>
      <c r="E180" s="2"/>
      <c r="F180" s="19">
        <f t="shared" si="28"/>
        <v>7.6910401232694815E-6</v>
      </c>
      <c r="G180" s="2"/>
      <c r="H180" s="2"/>
      <c r="I180" s="2"/>
      <c r="J180" s="19">
        <f t="shared" si="29"/>
        <v>0</v>
      </c>
      <c r="K180" s="2"/>
      <c r="L180" s="2">
        <f t="shared" si="30"/>
        <v>10.06</v>
      </c>
      <c r="M180" s="2"/>
      <c r="N180" s="19">
        <f t="shared" si="31"/>
        <v>0</v>
      </c>
      <c r="O180" s="11"/>
      <c r="P180" s="2">
        <v>242.46</v>
      </c>
      <c r="Q180" s="2"/>
      <c r="R180" s="19">
        <f t="shared" si="32"/>
        <v>4.5903286716222688E-5</v>
      </c>
      <c r="S180" s="2"/>
      <c r="T180" s="2">
        <v>49.12</v>
      </c>
      <c r="U180" s="2"/>
      <c r="V180" s="19">
        <f t="shared" si="33"/>
        <v>5.177545617934621E-6</v>
      </c>
      <c r="W180" s="2"/>
      <c r="X180" s="2">
        <f t="shared" si="34"/>
        <v>193.34</v>
      </c>
      <c r="Y180" s="2"/>
      <c r="Z180" s="19">
        <f t="shared" si="35"/>
        <v>3.9360749185667756</v>
      </c>
    </row>
    <row r="181" spans="1:26" s="24" customFormat="1" hidden="1" outlineLevel="1" x14ac:dyDescent="0.25">
      <c r="A181" s="44"/>
      <c r="B181" s="11" t="str">
        <f>CONCATENATE("          ", "5586", " - ", "FREIGHT-IN-COMPUTER SUPPLIES")</f>
        <v xml:space="preserve">          5586 - FREIGHT-IN-COMPUTER SUPPLIES</v>
      </c>
      <c r="C181" s="11"/>
      <c r="D181" s="2"/>
      <c r="E181" s="2"/>
      <c r="F181" s="19">
        <f t="shared" si="28"/>
        <v>0</v>
      </c>
      <c r="G181" s="2"/>
      <c r="H181" s="2">
        <v>33.31</v>
      </c>
      <c r="I181" s="2"/>
      <c r="J181" s="19">
        <f t="shared" si="29"/>
        <v>1.3945672474665947E-5</v>
      </c>
      <c r="K181" s="2"/>
      <c r="L181" s="2">
        <f t="shared" si="30"/>
        <v>-33.31</v>
      </c>
      <c r="M181" s="2"/>
      <c r="N181" s="19">
        <f t="shared" si="31"/>
        <v>-1</v>
      </c>
      <c r="O181" s="11"/>
      <c r="P181" s="2">
        <v>24.12</v>
      </c>
      <c r="Q181" s="2"/>
      <c r="R181" s="19">
        <f t="shared" si="32"/>
        <v>4.5664739569219304E-6</v>
      </c>
      <c r="S181" s="2"/>
      <c r="T181" s="2">
        <v>195.82</v>
      </c>
      <c r="U181" s="2"/>
      <c r="V181" s="19">
        <f t="shared" si="33"/>
        <v>2.0640614472800437E-5</v>
      </c>
      <c r="W181" s="2"/>
      <c r="X181" s="2">
        <f t="shared" si="34"/>
        <v>-171.7</v>
      </c>
      <c r="Y181" s="2"/>
      <c r="Z181" s="19">
        <f t="shared" si="35"/>
        <v>-0.87682565621489117</v>
      </c>
    </row>
    <row r="182" spans="1:26" s="24" customFormat="1" hidden="1" outlineLevel="1" x14ac:dyDescent="0.25">
      <c r="A182" s="44"/>
      <c r="B182" s="11" t="str">
        <f>CONCATENATE("          ", "5592", " - ", "FREIGHT-IN-GRAD MERCH")</f>
        <v xml:space="preserve">          5592 - FREIGHT-IN-GRAD MERCH</v>
      </c>
      <c r="C182" s="11"/>
      <c r="D182" s="2"/>
      <c r="E182" s="2"/>
      <c r="F182" s="19">
        <f t="shared" si="28"/>
        <v>0</v>
      </c>
      <c r="G182" s="2"/>
      <c r="H182" s="2"/>
      <c r="I182" s="2"/>
      <c r="J182" s="19">
        <f t="shared" si="29"/>
        <v>0</v>
      </c>
      <c r="K182" s="2"/>
      <c r="L182" s="2">
        <f t="shared" si="30"/>
        <v>0</v>
      </c>
      <c r="M182" s="2"/>
      <c r="N182" s="19">
        <f t="shared" si="31"/>
        <v>0</v>
      </c>
      <c r="O182" s="11"/>
      <c r="P182" s="2"/>
      <c r="Q182" s="2"/>
      <c r="R182" s="19">
        <f t="shared" si="32"/>
        <v>0</v>
      </c>
      <c r="S182" s="2"/>
      <c r="T182" s="2">
        <v>105.78</v>
      </c>
      <c r="U182" s="2"/>
      <c r="V182" s="19">
        <f t="shared" si="33"/>
        <v>1.1149852920706926E-5</v>
      </c>
      <c r="W182" s="2"/>
      <c r="X182" s="2">
        <f t="shared" si="34"/>
        <v>-105.78</v>
      </c>
      <c r="Y182" s="2"/>
      <c r="Z182" s="19">
        <f t="shared" si="35"/>
        <v>-1</v>
      </c>
    </row>
    <row r="183" spans="1:26" x14ac:dyDescent="0.25">
      <c r="A183" s="9"/>
      <c r="B183" s="10"/>
      <c r="C183" s="10"/>
      <c r="D183" s="3"/>
      <c r="E183" s="3"/>
      <c r="F183" s="8"/>
      <c r="G183" s="3"/>
      <c r="H183" s="3"/>
      <c r="I183" s="3"/>
      <c r="J183" s="8"/>
      <c r="K183" s="3"/>
      <c r="L183" s="3"/>
      <c r="M183" s="3"/>
      <c r="N183" s="8"/>
      <c r="O183" s="10"/>
      <c r="P183" s="3"/>
      <c r="Q183" s="3"/>
      <c r="R183" s="8"/>
      <c r="S183" s="3"/>
      <c r="T183" s="3"/>
      <c r="U183" s="3"/>
      <c r="V183" s="8"/>
      <c r="W183" s="3"/>
      <c r="X183" s="3"/>
      <c r="Y183" s="3"/>
      <c r="Z183" s="8"/>
    </row>
    <row r="184" spans="1:26" s="23" customFormat="1" x14ac:dyDescent="0.25">
      <c r="A184" s="10"/>
      <c r="B184" s="28" t="s">
        <v>6</v>
      </c>
      <c r="C184" s="28"/>
      <c r="D184" s="20">
        <f>D12-D125</f>
        <v>425853.2000000003</v>
      </c>
      <c r="E184" s="14"/>
      <c r="F184" s="22">
        <f>IF(D$12=0,0,D184/D$12)</f>
        <v>0.32557197294460294</v>
      </c>
      <c r="G184" s="14"/>
      <c r="H184" s="20">
        <f>H12-H125</f>
        <v>1017769.7300000002</v>
      </c>
      <c r="I184" s="14"/>
      <c r="J184" s="22">
        <f>IF(H$12=0,0,H184/H$12)</f>
        <v>0.42610277121612711</v>
      </c>
      <c r="K184" s="15"/>
      <c r="L184" s="20">
        <f>+D184-H184</f>
        <v>-591916.52999999991</v>
      </c>
      <c r="M184" s="15"/>
      <c r="N184" s="22">
        <f>IF(H184=0,0,L184/H184)</f>
        <v>-0.5815819753255973</v>
      </c>
      <c r="O184" s="29"/>
      <c r="P184" s="20">
        <f>P12-P125</f>
        <v>1449222.109999998</v>
      </c>
      <c r="Q184" s="14"/>
      <c r="R184" s="22">
        <f>IF(P$12=0,0,P184/P$12)</f>
        <v>0.27437126961486069</v>
      </c>
      <c r="S184" s="14"/>
      <c r="T184" s="20">
        <f>T12-T125</f>
        <v>3488861.9899999956</v>
      </c>
      <c r="U184" s="14"/>
      <c r="V184" s="22">
        <f>IF(T$12=0,0,T184/T$12)</f>
        <v>0.36774719275047107</v>
      </c>
      <c r="W184" s="15"/>
      <c r="X184" s="20">
        <f>+P184-T184</f>
        <v>-2039639.8799999976</v>
      </c>
      <c r="Y184" s="15"/>
      <c r="Z184" s="22">
        <f>IF(T184=0,0,X184/T184)</f>
        <v>-0.5846146639924843</v>
      </c>
    </row>
    <row r="185" spans="1:26" x14ac:dyDescent="0.25">
      <c r="A185" s="9"/>
      <c r="B185" s="10"/>
      <c r="C185" s="9"/>
      <c r="D185" s="1"/>
      <c r="E185" s="1"/>
      <c r="F185" s="5"/>
      <c r="G185" s="1"/>
      <c r="H185" s="1"/>
      <c r="I185" s="1"/>
      <c r="J185" s="5"/>
      <c r="K185" s="1"/>
      <c r="L185" s="1"/>
      <c r="M185" s="1"/>
      <c r="N185" s="5"/>
      <c r="O185" s="37"/>
      <c r="P185" s="1"/>
      <c r="Q185" s="1"/>
      <c r="R185" s="5"/>
      <c r="S185" s="1"/>
      <c r="T185" s="1"/>
      <c r="U185" s="1"/>
      <c r="V185" s="5"/>
      <c r="W185" s="1"/>
      <c r="X185" s="1"/>
      <c r="Y185" s="1"/>
      <c r="Z185" s="5"/>
    </row>
    <row r="186" spans="1:26" s="23" customFormat="1" x14ac:dyDescent="0.25">
      <c r="A186" s="10"/>
      <c r="B186" s="29" t="s">
        <v>9</v>
      </c>
      <c r="C186" s="10"/>
      <c r="D186" s="21">
        <f>SUM(OSRRefD22x_0)</f>
        <v>313228.53000000014</v>
      </c>
      <c r="E186" s="21"/>
      <c r="F186" s="35">
        <f t="shared" ref="F186:F197" si="36">IF(D$12=0,0,D186/D$12)</f>
        <v>0.23946850814937573</v>
      </c>
      <c r="G186" s="21"/>
      <c r="H186" s="21">
        <f>SUM(OSRRefH22x_0)</f>
        <v>487627.04000000015</v>
      </c>
      <c r="I186" s="21"/>
      <c r="J186" s="35">
        <f t="shared" ref="J186:J197" si="37">IF(H$12=0,0,H186/H$12)</f>
        <v>0.20415151574994991</v>
      </c>
      <c r="K186" s="4"/>
      <c r="L186" s="21">
        <f t="shared" ref="L186:L197" si="38">+D186-H186</f>
        <v>-174398.51</v>
      </c>
      <c r="M186" s="4"/>
      <c r="N186" s="35">
        <f t="shared" ref="N186:N197" si="39">IF(H186=0,0,L186/H186)</f>
        <v>-0.3576473322726319</v>
      </c>
      <c r="O186" s="10"/>
      <c r="P186" s="21">
        <f>SUM(OSRRefP22x_0)</f>
        <v>2000880.1299999994</v>
      </c>
      <c r="Q186" s="21"/>
      <c r="R186" s="35">
        <f t="shared" ref="R186:R197" si="40">IF(P$12=0,0,P186/P$12)</f>
        <v>0.37881289405338159</v>
      </c>
      <c r="S186" s="21"/>
      <c r="T186" s="21">
        <f>SUM(OSRRefT22x_0)</f>
        <v>2856147.3600000008</v>
      </c>
      <c r="U186" s="21"/>
      <c r="V186" s="35">
        <f t="shared" ref="V186:V197" si="41">IF(T$12=0,0,T186/T$12)</f>
        <v>0.30105523713240107</v>
      </c>
      <c r="W186" s="4"/>
      <c r="X186" s="21">
        <f t="shared" ref="X186:X197" si="42">+P186-T186</f>
        <v>-855267.23000000138</v>
      </c>
      <c r="Y186" s="4"/>
      <c r="Z186" s="35">
        <f t="shared" ref="Z186:Z197" si="43">IF(T186=0,0,X186/T186)</f>
        <v>-0.2994478653230277</v>
      </c>
    </row>
    <row r="187" spans="1:26" s="26" customFormat="1" outlineLevel="1" collapsed="1" x14ac:dyDescent="0.25">
      <c r="A187" s="27"/>
      <c r="B187" s="13" t="str">
        <f>CONCATENATE("     ","*Benefits                                         ")</f>
        <v xml:space="preserve">     *Benefits                                         </v>
      </c>
      <c r="C187" s="13"/>
      <c r="D187" s="1">
        <f>SUM(OSRRefD22_0x_0)</f>
        <v>54338.799999999996</v>
      </c>
      <c r="E187" s="1"/>
      <c r="F187" s="5">
        <f t="shared" si="36"/>
        <v>4.1542931515935952E-2</v>
      </c>
      <c r="G187" s="1"/>
      <c r="H187" s="1">
        <f>SUM(OSRRefH22_0x_0)</f>
        <v>51322.009999999995</v>
      </c>
      <c r="I187" s="1"/>
      <c r="J187" s="5">
        <f t="shared" si="37"/>
        <v>2.148663891328521E-2</v>
      </c>
      <c r="K187" s="1"/>
      <c r="L187" s="1">
        <f t="shared" si="38"/>
        <v>3016.7900000000009</v>
      </c>
      <c r="M187" s="1"/>
      <c r="N187" s="5">
        <f t="shared" si="39"/>
        <v>5.8781602669108264E-2</v>
      </c>
      <c r="O187" s="13"/>
      <c r="P187" s="1">
        <f>SUM(OSRRefP22_0x_0)</f>
        <v>340022.27999999997</v>
      </c>
      <c r="Q187" s="1"/>
      <c r="R187" s="5">
        <f t="shared" si="40"/>
        <v>6.4374083183798364E-2</v>
      </c>
      <c r="S187" s="1"/>
      <c r="T187" s="1">
        <f>SUM(OSRRefT22_0x_0)</f>
        <v>371289.59000000008</v>
      </c>
      <c r="U187" s="1"/>
      <c r="V187" s="5">
        <f t="shared" si="41"/>
        <v>3.9136172428526926E-2</v>
      </c>
      <c r="W187" s="1"/>
      <c r="X187" s="1">
        <f t="shared" si="42"/>
        <v>-31267.310000000114</v>
      </c>
      <c r="Y187" s="1"/>
      <c r="Z187" s="5">
        <f t="shared" si="43"/>
        <v>-8.4212730014865511E-2</v>
      </c>
    </row>
    <row r="188" spans="1:26" s="24" customFormat="1" hidden="1" outlineLevel="2" x14ac:dyDescent="0.25">
      <c r="A188" s="25"/>
      <c r="B188" s="11" t="str">
        <f>CONCATENATE("          ", "6111", " - ", "F.I.C.A.")</f>
        <v xml:space="preserve">          6111 - F.I.C.A.</v>
      </c>
      <c r="C188" s="11"/>
      <c r="D188" s="6">
        <v>8380.7099999999991</v>
      </c>
      <c r="E188" s="2"/>
      <c r="F188" s="7">
        <f t="shared" si="36"/>
        <v>6.4071945200284072E-3</v>
      </c>
      <c r="G188" s="2"/>
      <c r="H188" s="6">
        <v>7647.92</v>
      </c>
      <c r="I188" s="2"/>
      <c r="J188" s="7">
        <f t="shared" si="37"/>
        <v>3.2019029550419448E-3</v>
      </c>
      <c r="K188" s="2"/>
      <c r="L188" s="6">
        <f t="shared" si="38"/>
        <v>732.78999999999905</v>
      </c>
      <c r="M188" s="2"/>
      <c r="N188" s="7">
        <f t="shared" si="39"/>
        <v>9.5815594305379642E-2</v>
      </c>
      <c r="O188" s="11"/>
      <c r="P188" s="6">
        <v>67288.31</v>
      </c>
      <c r="Q188" s="2"/>
      <c r="R188" s="7">
        <f t="shared" si="40"/>
        <v>1.2739233632681986E-2</v>
      </c>
      <c r="S188" s="2"/>
      <c r="T188" s="6">
        <v>72435.86</v>
      </c>
      <c r="U188" s="2"/>
      <c r="V188" s="7">
        <f t="shared" si="41"/>
        <v>7.6351785326613537E-3</v>
      </c>
      <c r="W188" s="2"/>
      <c r="X188" s="6">
        <f t="shared" si="42"/>
        <v>-5147.5500000000029</v>
      </c>
      <c r="Y188" s="2"/>
      <c r="Z188" s="7">
        <f t="shared" si="43"/>
        <v>-7.106355885054727E-2</v>
      </c>
    </row>
    <row r="189" spans="1:26" s="24" customFormat="1" hidden="1" outlineLevel="2" x14ac:dyDescent="0.25">
      <c r="A189" s="25"/>
      <c r="B189" s="11" t="str">
        <f>CONCATENATE("          ", "6112", " - ", "COMPENSATION INSURANCE")</f>
        <v xml:space="preserve">          6112 - COMPENSATION INSURANCE</v>
      </c>
      <c r="C189" s="11"/>
      <c r="D189" s="6">
        <v>850.35</v>
      </c>
      <c r="E189" s="2"/>
      <c r="F189" s="7">
        <f t="shared" si="36"/>
        <v>6.5010695515131255E-4</v>
      </c>
      <c r="G189" s="2"/>
      <c r="H189" s="6">
        <v>3704.39</v>
      </c>
      <c r="I189" s="2"/>
      <c r="J189" s="7">
        <f t="shared" si="37"/>
        <v>1.5508919140926982E-3</v>
      </c>
      <c r="K189" s="2"/>
      <c r="L189" s="6">
        <f t="shared" si="38"/>
        <v>-2854.04</v>
      </c>
      <c r="M189" s="2"/>
      <c r="N189" s="7">
        <f t="shared" si="39"/>
        <v>-0.77044803597893308</v>
      </c>
      <c r="O189" s="11"/>
      <c r="P189" s="6">
        <v>17518.289999999997</v>
      </c>
      <c r="Q189" s="2"/>
      <c r="R189" s="7">
        <f t="shared" si="40"/>
        <v>3.3166175395856496E-3</v>
      </c>
      <c r="S189" s="2"/>
      <c r="T189" s="6">
        <v>18114.8</v>
      </c>
      <c r="U189" s="2"/>
      <c r="V189" s="7">
        <f t="shared" si="41"/>
        <v>1.9094096775195862E-3</v>
      </c>
      <c r="W189" s="2"/>
      <c r="X189" s="6">
        <f t="shared" si="42"/>
        <v>-596.51000000000204</v>
      </c>
      <c r="Y189" s="2"/>
      <c r="Z189" s="7">
        <f t="shared" si="43"/>
        <v>-3.2929427871133107E-2</v>
      </c>
    </row>
    <row r="190" spans="1:26" s="24" customFormat="1" hidden="1" outlineLevel="2" x14ac:dyDescent="0.25">
      <c r="A190" s="25"/>
      <c r="B190" s="11" t="str">
        <f>CONCATENATE("          ", "6113", " - ", "GROUP INSURANCE")</f>
        <v xml:space="preserve">          6113 - GROUP INSURANCE</v>
      </c>
      <c r="C190" s="11"/>
      <c r="D190" s="6">
        <v>22674.14</v>
      </c>
      <c r="E190" s="2"/>
      <c r="F190" s="7">
        <f t="shared" si="36"/>
        <v>1.7334763469247463E-2</v>
      </c>
      <c r="G190" s="2"/>
      <c r="H190" s="6">
        <v>18811.96</v>
      </c>
      <c r="I190" s="2"/>
      <c r="J190" s="7">
        <f t="shared" si="37"/>
        <v>7.875876096262887E-3</v>
      </c>
      <c r="K190" s="2"/>
      <c r="L190" s="6">
        <f t="shared" si="38"/>
        <v>3862.1800000000003</v>
      </c>
      <c r="M190" s="2"/>
      <c r="N190" s="7">
        <f t="shared" si="39"/>
        <v>0.20530449777694618</v>
      </c>
      <c r="O190" s="11"/>
      <c r="P190" s="6">
        <v>117286.62000000001</v>
      </c>
      <c r="Q190" s="2"/>
      <c r="R190" s="7">
        <f t="shared" si="40"/>
        <v>2.2205070303706421E-2</v>
      </c>
      <c r="S190" s="2"/>
      <c r="T190" s="6">
        <v>136166.71</v>
      </c>
      <c r="U190" s="2"/>
      <c r="V190" s="7">
        <f t="shared" si="41"/>
        <v>1.4352796267692881E-2</v>
      </c>
      <c r="W190" s="2"/>
      <c r="X190" s="6">
        <f t="shared" si="42"/>
        <v>-18880.089999999982</v>
      </c>
      <c r="Y190" s="2"/>
      <c r="Z190" s="7">
        <f t="shared" si="43"/>
        <v>-0.13865422760085769</v>
      </c>
    </row>
    <row r="191" spans="1:26" s="24" customFormat="1" hidden="1" outlineLevel="2" x14ac:dyDescent="0.25">
      <c r="A191" s="25"/>
      <c r="B191" s="11" t="str">
        <f>CONCATENATE("          ", "6114", " - ", "STATE UNEMPLOYMENT INSURANCE")</f>
        <v xml:space="preserve">          6114 - STATE UNEMPLOYMENT INSURANCE</v>
      </c>
      <c r="C191" s="11"/>
      <c r="D191" s="6">
        <v>710.58</v>
      </c>
      <c r="E191" s="2"/>
      <c r="F191" s="7">
        <f t="shared" si="36"/>
        <v>5.4325042652016186E-4</v>
      </c>
      <c r="G191" s="2"/>
      <c r="H191" s="6">
        <v>583.25</v>
      </c>
      <c r="I191" s="2"/>
      <c r="J191" s="7">
        <f t="shared" si="37"/>
        <v>2.4418533385916878E-4</v>
      </c>
      <c r="K191" s="2"/>
      <c r="L191" s="6">
        <f t="shared" si="38"/>
        <v>127.33000000000004</v>
      </c>
      <c r="M191" s="2"/>
      <c r="N191" s="7">
        <f t="shared" si="39"/>
        <v>0.21831118731247329</v>
      </c>
      <c r="O191" s="11"/>
      <c r="P191" s="6">
        <v>2775.54</v>
      </c>
      <c r="Q191" s="2"/>
      <c r="R191" s="7">
        <f t="shared" si="40"/>
        <v>5.2547392729664576E-4</v>
      </c>
      <c r="S191" s="2"/>
      <c r="T191" s="6">
        <v>3700.32</v>
      </c>
      <c r="U191" s="2"/>
      <c r="V191" s="7">
        <f t="shared" si="41"/>
        <v>3.9003614822792827E-4</v>
      </c>
      <c r="W191" s="2"/>
      <c r="X191" s="6">
        <f t="shared" si="42"/>
        <v>-924.7800000000002</v>
      </c>
      <c r="Y191" s="2"/>
      <c r="Z191" s="7">
        <f t="shared" si="43"/>
        <v>-0.24991892593073037</v>
      </c>
    </row>
    <row r="192" spans="1:26" s="24" customFormat="1" hidden="1" outlineLevel="2" x14ac:dyDescent="0.25">
      <c r="A192" s="25"/>
      <c r="B192" s="11" t="str">
        <f>CONCATENATE("          ", "6115", " - ", "P.E.R.S.")</f>
        <v xml:space="preserve">          6115 - P.E.R.S.</v>
      </c>
      <c r="C192" s="11"/>
      <c r="D192" s="6">
        <v>9771.85</v>
      </c>
      <c r="E192" s="2"/>
      <c r="F192" s="7">
        <f t="shared" si="36"/>
        <v>7.4707445754046611E-3</v>
      </c>
      <c r="G192" s="2"/>
      <c r="H192" s="6">
        <v>9305.31</v>
      </c>
      <c r="I192" s="2"/>
      <c r="J192" s="7">
        <f t="shared" si="37"/>
        <v>3.8957912199109506E-3</v>
      </c>
      <c r="K192" s="2"/>
      <c r="L192" s="6">
        <f t="shared" si="38"/>
        <v>466.54000000000087</v>
      </c>
      <c r="M192" s="2"/>
      <c r="N192" s="7">
        <f t="shared" si="39"/>
        <v>5.0136964808265481E-2</v>
      </c>
      <c r="O192" s="11"/>
      <c r="P192" s="6">
        <v>50936.630000000005</v>
      </c>
      <c r="Q192" s="2"/>
      <c r="R192" s="7">
        <f t="shared" si="40"/>
        <v>9.6434823527515885E-3</v>
      </c>
      <c r="S192" s="2"/>
      <c r="T192" s="6">
        <v>52358.270000000004</v>
      </c>
      <c r="U192" s="2"/>
      <c r="V192" s="7">
        <f t="shared" si="41"/>
        <v>5.5188788966029668E-3</v>
      </c>
      <c r="W192" s="2"/>
      <c r="X192" s="6">
        <f t="shared" si="42"/>
        <v>-1421.6399999999994</v>
      </c>
      <c r="Y192" s="2"/>
      <c r="Z192" s="7">
        <f t="shared" si="43"/>
        <v>-2.7152157624764899E-2</v>
      </c>
    </row>
    <row r="193" spans="1:26" s="24" customFormat="1" hidden="1" outlineLevel="2" x14ac:dyDescent="0.25">
      <c r="A193" s="25"/>
      <c r="B193" s="11" t="str">
        <f>CONCATENATE("          ", "6116", " - ", "EDUCATIONAL BENEFITS")</f>
        <v xml:space="preserve">          6116 - EDUCATIONAL BENEFITS</v>
      </c>
      <c r="C193" s="11"/>
      <c r="D193" s="6"/>
      <c r="E193" s="2"/>
      <c r="F193" s="7">
        <f t="shared" si="36"/>
        <v>0</v>
      </c>
      <c r="G193" s="2"/>
      <c r="H193" s="6"/>
      <c r="I193" s="2"/>
      <c r="J193" s="7">
        <f t="shared" si="37"/>
        <v>0</v>
      </c>
      <c r="K193" s="2"/>
      <c r="L193" s="6">
        <f t="shared" si="38"/>
        <v>0</v>
      </c>
      <c r="M193" s="2"/>
      <c r="N193" s="7">
        <f t="shared" si="39"/>
        <v>0</v>
      </c>
      <c r="O193" s="11"/>
      <c r="P193" s="6">
        <v>0</v>
      </c>
      <c r="Q193" s="2"/>
      <c r="R193" s="7">
        <f t="shared" si="40"/>
        <v>0</v>
      </c>
      <c r="S193" s="2"/>
      <c r="T193" s="6"/>
      <c r="U193" s="2"/>
      <c r="V193" s="7">
        <f t="shared" si="41"/>
        <v>0</v>
      </c>
      <c r="W193" s="2"/>
      <c r="X193" s="6">
        <f t="shared" si="42"/>
        <v>0</v>
      </c>
      <c r="Y193" s="2"/>
      <c r="Z193" s="7">
        <f t="shared" si="43"/>
        <v>0</v>
      </c>
    </row>
    <row r="194" spans="1:26" s="24" customFormat="1" hidden="1" outlineLevel="2" x14ac:dyDescent="0.25">
      <c r="A194" s="25"/>
      <c r="B194" s="11" t="str">
        <f>CONCATENATE("          ", "6117", " - ", "RETIREMENT STAFF HOURLY")</f>
        <v xml:space="preserve">          6117 - RETIREMENT STAFF HOURLY</v>
      </c>
      <c r="C194" s="11"/>
      <c r="D194" s="6">
        <v>682.92</v>
      </c>
      <c r="E194" s="2"/>
      <c r="F194" s="7">
        <f t="shared" si="36"/>
        <v>5.2210388876572508E-4</v>
      </c>
      <c r="G194" s="2"/>
      <c r="H194" s="6">
        <v>376.62</v>
      </c>
      <c r="I194" s="2"/>
      <c r="J194" s="7">
        <f t="shared" si="37"/>
        <v>1.5767694888648118E-4</v>
      </c>
      <c r="K194" s="2"/>
      <c r="L194" s="6">
        <f t="shared" si="38"/>
        <v>306.29999999999995</v>
      </c>
      <c r="M194" s="2"/>
      <c r="N194" s="7">
        <f t="shared" si="39"/>
        <v>0.81328660187987878</v>
      </c>
      <c r="O194" s="11"/>
      <c r="P194" s="6">
        <v>3522.08</v>
      </c>
      <c r="Q194" s="2"/>
      <c r="R194" s="7">
        <f t="shared" si="40"/>
        <v>6.6681121866482551E-4</v>
      </c>
      <c r="S194" s="2"/>
      <c r="T194" s="6">
        <v>2147.59</v>
      </c>
      <c r="U194" s="2"/>
      <c r="V194" s="7">
        <f t="shared" si="41"/>
        <v>2.2636899824145387E-4</v>
      </c>
      <c r="W194" s="2"/>
      <c r="X194" s="6">
        <f t="shared" si="42"/>
        <v>1374.4899999999998</v>
      </c>
      <c r="Y194" s="2"/>
      <c r="Z194" s="7">
        <f t="shared" si="43"/>
        <v>0.64001508667855578</v>
      </c>
    </row>
    <row r="195" spans="1:26" s="24" customFormat="1" hidden="1" outlineLevel="2" x14ac:dyDescent="0.25">
      <c r="A195" s="25"/>
      <c r="B195" s="11" t="str">
        <f>CONCATENATE("          ", "6118", " - ", "VACATION")</f>
        <v xml:space="preserve">          6118 - VACATION</v>
      </c>
      <c r="C195" s="11"/>
      <c r="D195" s="6">
        <v>6046.1</v>
      </c>
      <c r="E195" s="2"/>
      <c r="F195" s="7">
        <f t="shared" si="36"/>
        <v>4.6223456947613933E-3</v>
      </c>
      <c r="G195" s="2"/>
      <c r="H195" s="6">
        <v>4385.49</v>
      </c>
      <c r="I195" s="2"/>
      <c r="J195" s="7">
        <f t="shared" si="37"/>
        <v>1.8360434458397704E-3</v>
      </c>
      <c r="K195" s="2"/>
      <c r="L195" s="6">
        <f t="shared" si="38"/>
        <v>1660.6100000000006</v>
      </c>
      <c r="M195" s="2"/>
      <c r="N195" s="7">
        <f t="shared" si="39"/>
        <v>0.37866008131360479</v>
      </c>
      <c r="O195" s="11"/>
      <c r="P195" s="6">
        <v>40021.89</v>
      </c>
      <c r="Q195" s="2"/>
      <c r="R195" s="7">
        <f t="shared" si="40"/>
        <v>7.5770695850660959E-3</v>
      </c>
      <c r="S195" s="2"/>
      <c r="T195" s="6">
        <v>39557.879999999997</v>
      </c>
      <c r="U195" s="2"/>
      <c r="V195" s="7">
        <f t="shared" si="41"/>
        <v>4.1696402330778414E-3</v>
      </c>
      <c r="W195" s="2"/>
      <c r="X195" s="6">
        <f t="shared" si="42"/>
        <v>464.01000000000204</v>
      </c>
      <c r="Y195" s="2"/>
      <c r="Z195" s="7">
        <f t="shared" si="43"/>
        <v>1.1729900591234972E-2</v>
      </c>
    </row>
    <row r="196" spans="1:26" s="24" customFormat="1" hidden="1" outlineLevel="2" x14ac:dyDescent="0.25">
      <c r="A196" s="25"/>
      <c r="B196" s="11" t="str">
        <f>CONCATENATE("          ", "6119", " - ", "SICK LEAVE")</f>
        <v xml:space="preserve">          6119 - SICK LEAVE</v>
      </c>
      <c r="C196" s="11"/>
      <c r="D196" s="6">
        <v>4206.97</v>
      </c>
      <c r="E196" s="2"/>
      <c r="F196" s="7">
        <f t="shared" si="36"/>
        <v>3.2162997084881724E-3</v>
      </c>
      <c r="G196" s="2"/>
      <c r="H196" s="6">
        <v>3553.89</v>
      </c>
      <c r="I196" s="2"/>
      <c r="J196" s="7">
        <f t="shared" si="37"/>
        <v>1.4878830966974048E-3</v>
      </c>
      <c r="K196" s="2"/>
      <c r="L196" s="6">
        <f t="shared" si="38"/>
        <v>653.08000000000038</v>
      </c>
      <c r="M196" s="2"/>
      <c r="N196" s="7">
        <f t="shared" si="39"/>
        <v>0.18376483233864874</v>
      </c>
      <c r="O196" s="11"/>
      <c r="P196" s="6">
        <v>29272.37</v>
      </c>
      <c r="Q196" s="2"/>
      <c r="R196" s="7">
        <f t="shared" si="40"/>
        <v>5.5419367853392536E-3</v>
      </c>
      <c r="S196" s="2"/>
      <c r="T196" s="6">
        <v>31371.260000000002</v>
      </c>
      <c r="U196" s="2"/>
      <c r="V196" s="7">
        <f t="shared" si="41"/>
        <v>3.3067208823714914E-3</v>
      </c>
      <c r="W196" s="2"/>
      <c r="X196" s="6">
        <f t="shared" si="42"/>
        <v>-2098.8900000000031</v>
      </c>
      <c r="Y196" s="2"/>
      <c r="Z196" s="7">
        <f t="shared" si="43"/>
        <v>-6.6904867703751869E-2</v>
      </c>
    </row>
    <row r="197" spans="1:26" s="24" customFormat="1" hidden="1" outlineLevel="2" x14ac:dyDescent="0.25">
      <c r="A197" s="25"/>
      <c r="B197" s="11" t="str">
        <f>CONCATENATE("          ", "6156", " - ", "EMPLOYEE MEALS")</f>
        <v xml:space="preserve">          6156 - EMPLOYEE MEALS</v>
      </c>
      <c r="C197" s="11"/>
      <c r="D197" s="6">
        <v>1015.18</v>
      </c>
      <c r="E197" s="2"/>
      <c r="F197" s="7">
        <f t="shared" si="36"/>
        <v>7.7612227756865932E-4</v>
      </c>
      <c r="G197" s="2"/>
      <c r="H197" s="6">
        <v>2953.18</v>
      </c>
      <c r="I197" s="2"/>
      <c r="J197" s="7">
        <f t="shared" si="37"/>
        <v>1.2363879026939049E-3</v>
      </c>
      <c r="K197" s="2"/>
      <c r="L197" s="6">
        <f t="shared" si="38"/>
        <v>-1938</v>
      </c>
      <c r="M197" s="2"/>
      <c r="N197" s="7">
        <f t="shared" si="39"/>
        <v>-0.65624174618546793</v>
      </c>
      <c r="O197" s="11"/>
      <c r="P197" s="6">
        <v>11400.55</v>
      </c>
      <c r="Q197" s="2"/>
      <c r="R197" s="7">
        <f t="shared" si="40"/>
        <v>2.1583878387059002E-3</v>
      </c>
      <c r="S197" s="2"/>
      <c r="T197" s="6">
        <v>15436.9</v>
      </c>
      <c r="U197" s="2"/>
      <c r="V197" s="7">
        <f t="shared" si="41"/>
        <v>1.6271427921314117E-3</v>
      </c>
      <c r="W197" s="2"/>
      <c r="X197" s="6">
        <f t="shared" si="42"/>
        <v>-4036.3500000000004</v>
      </c>
      <c r="Y197" s="2"/>
      <c r="Z197" s="7">
        <f t="shared" si="43"/>
        <v>-0.26147413016862198</v>
      </c>
    </row>
    <row r="198" spans="1:26" s="26" customFormat="1" outlineLevel="1" collapsed="1" x14ac:dyDescent="0.25">
      <c r="A198" s="27"/>
      <c r="B198" s="13" t="str">
        <f>CONCATENATE("     ","*Payroll                                          ")</f>
        <v xml:space="preserve">     *Payroll                                          </v>
      </c>
      <c r="C198" s="13"/>
      <c r="D198" s="1">
        <f>SUM(OSRRefD22_1x_0)</f>
        <v>174778.48000000004</v>
      </c>
      <c r="E198" s="1"/>
      <c r="F198" s="5">
        <f t="shared" ref="F198:F205" si="44">IF(D$12=0,0,D198/D$12)</f>
        <v>0.13362110361471699</v>
      </c>
      <c r="G198" s="1"/>
      <c r="H198" s="1">
        <f>SUM(OSRRefH22_1x_0)</f>
        <v>279314.69</v>
      </c>
      <c r="I198" s="1"/>
      <c r="J198" s="5">
        <f t="shared" ref="J198:J205" si="45">IF(H$12=0,0,H198/H$12)</f>
        <v>0.11693879267796012</v>
      </c>
      <c r="K198" s="1"/>
      <c r="L198" s="1">
        <f t="shared" ref="L198:L205" si="46">+D198-H198</f>
        <v>-104536.20999999996</v>
      </c>
      <c r="M198" s="1"/>
      <c r="N198" s="5">
        <f t="shared" ref="N198:N205" si="47">IF(H198=0,0,L198/H198)</f>
        <v>-0.37425962093150189</v>
      </c>
      <c r="O198" s="13"/>
      <c r="P198" s="1">
        <f>SUM(OSRRefP22_1x_0)</f>
        <v>952429.11999999988</v>
      </c>
      <c r="Q198" s="1"/>
      <c r="R198" s="5">
        <f t="shared" ref="R198:R205" si="48">IF(P$12=0,0,P198/P$12)</f>
        <v>0.18031686452297147</v>
      </c>
      <c r="S198" s="1"/>
      <c r="T198" s="1">
        <f>SUM(OSRRefT22_1x_0)</f>
        <v>1371374.3399999999</v>
      </c>
      <c r="U198" s="1"/>
      <c r="V198" s="5">
        <f t="shared" ref="V198:V205" si="49">IF(T$12=0,0,T198/T$12)</f>
        <v>0.14455116458906722</v>
      </c>
      <c r="W198" s="1"/>
      <c r="X198" s="1">
        <f t="shared" ref="X198:X205" si="50">+P198-T198</f>
        <v>-418945.22</v>
      </c>
      <c r="Y198" s="1"/>
      <c r="Z198" s="5">
        <f t="shared" ref="Z198:Z205" si="51">IF(T198=0,0,X198/T198)</f>
        <v>-0.30549296992096264</v>
      </c>
    </row>
    <row r="199" spans="1:26" s="24" customFormat="1" hidden="1" outlineLevel="2" x14ac:dyDescent="0.25">
      <c r="A199" s="25"/>
      <c r="B199" s="11" t="str">
        <f>CONCATENATE("          ", "6001", " - ", "ADMINISTRATIVE SALARIES")</f>
        <v xml:space="preserve">          6001 - ADMINISTRATIVE SALARIES</v>
      </c>
      <c r="C199" s="11"/>
      <c r="D199" s="6">
        <v>5332.74</v>
      </c>
      <c r="E199" s="2"/>
      <c r="F199" s="7">
        <f t="shared" si="44"/>
        <v>4.0769699112290355E-3</v>
      </c>
      <c r="G199" s="2"/>
      <c r="H199" s="6">
        <v>12324.43</v>
      </c>
      <c r="I199" s="2"/>
      <c r="J199" s="7">
        <f t="shared" si="45"/>
        <v>5.1597857765520033E-3</v>
      </c>
      <c r="K199" s="2"/>
      <c r="L199" s="6">
        <f t="shared" si="46"/>
        <v>-6991.6900000000005</v>
      </c>
      <c r="M199" s="2"/>
      <c r="N199" s="7">
        <f t="shared" si="47"/>
        <v>-0.56730331544744872</v>
      </c>
      <c r="O199" s="11"/>
      <c r="P199" s="6">
        <v>30215.85</v>
      </c>
      <c r="Q199" s="2"/>
      <c r="R199" s="7">
        <f t="shared" si="48"/>
        <v>5.7205593744303279E-3</v>
      </c>
      <c r="S199" s="2"/>
      <c r="T199" s="6">
        <v>79306.540000000008</v>
      </c>
      <c r="U199" s="2"/>
      <c r="V199" s="7">
        <f t="shared" si="49"/>
        <v>8.35938983409114E-3</v>
      </c>
      <c r="W199" s="2"/>
      <c r="X199" s="6">
        <f t="shared" si="50"/>
        <v>-49090.69000000001</v>
      </c>
      <c r="Y199" s="2"/>
      <c r="Z199" s="7">
        <f t="shared" si="51"/>
        <v>-0.61899926538214889</v>
      </c>
    </row>
    <row r="200" spans="1:26" s="24" customFormat="1" hidden="1" outlineLevel="2" x14ac:dyDescent="0.25">
      <c r="A200" s="25"/>
      <c r="B200" s="11" t="str">
        <f>CONCATENATE("          ", "6002", " - ", "STAFF SALARIES")</f>
        <v xml:space="preserve">          6002 - STAFF SALARIES</v>
      </c>
      <c r="C200" s="11"/>
      <c r="D200" s="6">
        <v>82169.560000000012</v>
      </c>
      <c r="E200" s="2"/>
      <c r="F200" s="7">
        <f t="shared" si="44"/>
        <v>6.2820018178071493E-2</v>
      </c>
      <c r="G200" s="2"/>
      <c r="H200" s="6">
        <v>71840.429999999993</v>
      </c>
      <c r="I200" s="2"/>
      <c r="J200" s="7">
        <f t="shared" si="45"/>
        <v>3.0076947079530635E-2</v>
      </c>
      <c r="K200" s="2"/>
      <c r="L200" s="6">
        <f t="shared" si="46"/>
        <v>10329.130000000019</v>
      </c>
      <c r="M200" s="2"/>
      <c r="N200" s="7">
        <f t="shared" si="47"/>
        <v>0.14377878862918861</v>
      </c>
      <c r="O200" s="11"/>
      <c r="P200" s="6">
        <v>430919.10000000003</v>
      </c>
      <c r="Q200" s="2"/>
      <c r="R200" s="7">
        <f t="shared" si="48"/>
        <v>8.1582953884338186E-2</v>
      </c>
      <c r="S200" s="2"/>
      <c r="T200" s="6">
        <v>440101.89</v>
      </c>
      <c r="U200" s="2"/>
      <c r="V200" s="7">
        <f t="shared" si="49"/>
        <v>4.6389405782048955E-2</v>
      </c>
      <c r="W200" s="2"/>
      <c r="X200" s="6">
        <f t="shared" si="50"/>
        <v>-9182.789999999979</v>
      </c>
      <c r="Y200" s="2"/>
      <c r="Z200" s="7">
        <f t="shared" si="51"/>
        <v>-2.086514556890446E-2</v>
      </c>
    </row>
    <row r="201" spans="1:26" s="24" customFormat="1" hidden="1" outlineLevel="2" x14ac:dyDescent="0.25">
      <c r="A201" s="25"/>
      <c r="B201" s="11" t="str">
        <f>CONCATENATE("          ", "6004", " - ", "STAFF HOURLY")</f>
        <v xml:space="preserve">          6004 - STAFF HOURLY</v>
      </c>
      <c r="C201" s="11"/>
      <c r="D201" s="6">
        <v>22328.73</v>
      </c>
      <c r="E201" s="2"/>
      <c r="F201" s="7">
        <f t="shared" si="44"/>
        <v>1.7070691683066696E-2</v>
      </c>
      <c r="G201" s="2"/>
      <c r="H201" s="6">
        <v>4901.03</v>
      </c>
      <c r="I201" s="2"/>
      <c r="J201" s="7">
        <f t="shared" si="45"/>
        <v>2.0518810918196346E-3</v>
      </c>
      <c r="K201" s="2"/>
      <c r="L201" s="6">
        <f t="shared" si="46"/>
        <v>17427.7</v>
      </c>
      <c r="M201" s="2"/>
      <c r="N201" s="7">
        <f t="shared" si="47"/>
        <v>3.5559259992287338</v>
      </c>
      <c r="O201" s="11"/>
      <c r="P201" s="6">
        <v>134701.79999999999</v>
      </c>
      <c r="Q201" s="2"/>
      <c r="R201" s="7">
        <f t="shared" si="48"/>
        <v>2.5502166735095623E-2</v>
      </c>
      <c r="S201" s="2"/>
      <c r="T201" s="6">
        <v>20845.27</v>
      </c>
      <c r="U201" s="2"/>
      <c r="V201" s="7">
        <f t="shared" si="49"/>
        <v>2.1972177594292348E-3</v>
      </c>
      <c r="W201" s="2"/>
      <c r="X201" s="6">
        <f t="shared" si="50"/>
        <v>113856.52999999998</v>
      </c>
      <c r="Y201" s="2"/>
      <c r="Z201" s="7">
        <f t="shared" si="51"/>
        <v>5.4619839416807734</v>
      </c>
    </row>
    <row r="202" spans="1:26" s="24" customFormat="1" hidden="1" outlineLevel="2" x14ac:dyDescent="0.25">
      <c r="A202" s="25"/>
      <c r="B202" s="11" t="str">
        <f>CONCATENATE("          ", "6005", " - ", "TEMPORARY WAGES-HOURLY")</f>
        <v xml:space="preserve">          6005 - TEMPORARY WAGES-HOURLY</v>
      </c>
      <c r="C202" s="11"/>
      <c r="D202" s="6">
        <v>12550.77</v>
      </c>
      <c r="E202" s="2"/>
      <c r="F202" s="7">
        <f t="shared" si="44"/>
        <v>9.5952759093366723E-3</v>
      </c>
      <c r="G202" s="2"/>
      <c r="H202" s="6">
        <v>23134.2</v>
      </c>
      <c r="I202" s="2"/>
      <c r="J202" s="7">
        <f t="shared" si="45"/>
        <v>9.6854390922670938E-3</v>
      </c>
      <c r="K202" s="2"/>
      <c r="L202" s="6">
        <f t="shared" si="46"/>
        <v>-10583.43</v>
      </c>
      <c r="M202" s="2"/>
      <c r="N202" s="7">
        <f t="shared" si="47"/>
        <v>-0.45747983504940737</v>
      </c>
      <c r="O202" s="11"/>
      <c r="P202" s="6">
        <v>110194.22</v>
      </c>
      <c r="Q202" s="2"/>
      <c r="R202" s="7">
        <f t="shared" si="48"/>
        <v>2.0862314918462924E-2</v>
      </c>
      <c r="S202" s="2"/>
      <c r="T202" s="6">
        <v>150998.21</v>
      </c>
      <c r="U202" s="2"/>
      <c r="V202" s="7">
        <f t="shared" si="49"/>
        <v>1.5916126231707486E-2</v>
      </c>
      <c r="W202" s="2"/>
      <c r="X202" s="6">
        <f t="shared" si="50"/>
        <v>-40803.989999999991</v>
      </c>
      <c r="Y202" s="2"/>
      <c r="Z202" s="7">
        <f t="shared" si="51"/>
        <v>-0.27022830270636977</v>
      </c>
    </row>
    <row r="203" spans="1:26" s="24" customFormat="1" hidden="1" outlineLevel="2" x14ac:dyDescent="0.25">
      <c r="A203" s="25"/>
      <c r="B203" s="11" t="str">
        <f>CONCATENATE("          ", "6006", " - ", "TEMPORARY PART TIME")</f>
        <v xml:space="preserve">          6006 - TEMPORARY PART TIME</v>
      </c>
      <c r="C203" s="11"/>
      <c r="D203" s="6"/>
      <c r="E203" s="2"/>
      <c r="F203" s="7">
        <f t="shared" si="44"/>
        <v>0</v>
      </c>
      <c r="G203" s="2"/>
      <c r="H203" s="6">
        <v>1311.18</v>
      </c>
      <c r="I203" s="2"/>
      <c r="J203" s="7">
        <f t="shared" si="45"/>
        <v>5.489428650655207E-4</v>
      </c>
      <c r="K203" s="2"/>
      <c r="L203" s="6">
        <f t="shared" si="46"/>
        <v>-1311.18</v>
      </c>
      <c r="M203" s="2"/>
      <c r="N203" s="7">
        <f t="shared" si="47"/>
        <v>-1</v>
      </c>
      <c r="O203" s="11"/>
      <c r="P203" s="6">
        <v>9987.9599999999991</v>
      </c>
      <c r="Q203" s="2"/>
      <c r="R203" s="7">
        <f t="shared" si="48"/>
        <v>1.8909518749078756E-3</v>
      </c>
      <c r="S203" s="2"/>
      <c r="T203" s="6">
        <v>30061.09</v>
      </c>
      <c r="U203" s="2"/>
      <c r="V203" s="7">
        <f t="shared" si="49"/>
        <v>3.1686210260553392E-3</v>
      </c>
      <c r="W203" s="2"/>
      <c r="X203" s="6">
        <f t="shared" si="50"/>
        <v>-20073.13</v>
      </c>
      <c r="Y203" s="2"/>
      <c r="Z203" s="7">
        <f t="shared" si="51"/>
        <v>-0.66774458278126314</v>
      </c>
    </row>
    <row r="204" spans="1:26" s="24" customFormat="1" hidden="1" outlineLevel="2" x14ac:dyDescent="0.25">
      <c r="A204" s="25"/>
      <c r="B204" s="11" t="str">
        <f>CONCATENATE("          ", "6007", " - ", "STUDENT HOURLY")</f>
        <v xml:space="preserve">          6007 - STUDENT HOURLY</v>
      </c>
      <c r="C204" s="11"/>
      <c r="D204" s="6">
        <v>51151.8</v>
      </c>
      <c r="E204" s="2"/>
      <c r="F204" s="7">
        <f t="shared" si="44"/>
        <v>3.9106416121019477E-2</v>
      </c>
      <c r="G204" s="2"/>
      <c r="H204" s="6">
        <v>161244.03</v>
      </c>
      <c r="I204" s="2"/>
      <c r="J204" s="7">
        <f t="shared" si="45"/>
        <v>6.7506947789709087E-2</v>
      </c>
      <c r="K204" s="2"/>
      <c r="L204" s="6">
        <f t="shared" si="46"/>
        <v>-110092.23</v>
      </c>
      <c r="M204" s="2"/>
      <c r="N204" s="7">
        <f t="shared" si="47"/>
        <v>-0.68276778991445453</v>
      </c>
      <c r="O204" s="11"/>
      <c r="P204" s="6">
        <v>230234.86000000002</v>
      </c>
      <c r="Q204" s="2"/>
      <c r="R204" s="7">
        <f t="shared" si="48"/>
        <v>4.3588784915653676E-2</v>
      </c>
      <c r="S204" s="2"/>
      <c r="T204" s="6">
        <v>639058.69999999995</v>
      </c>
      <c r="U204" s="2"/>
      <c r="V204" s="7">
        <f t="shared" si="49"/>
        <v>6.7360659034771897E-2</v>
      </c>
      <c r="W204" s="2"/>
      <c r="X204" s="6">
        <f t="shared" si="50"/>
        <v>-408823.83999999997</v>
      </c>
      <c r="Y204" s="2"/>
      <c r="Z204" s="7">
        <f t="shared" si="51"/>
        <v>-0.63972815016836482</v>
      </c>
    </row>
    <row r="205" spans="1:26" s="24" customFormat="1" hidden="1" outlineLevel="2" x14ac:dyDescent="0.25">
      <c r="A205" s="25"/>
      <c r="B205" s="11" t="str">
        <f>CONCATENATE("          ", "6008", " - ", "STUDENT HOURLY-FICA EXEMPT")</f>
        <v xml:space="preserve">          6008 - STUDENT HOURLY-FICA EXEMPT</v>
      </c>
      <c r="C205" s="11"/>
      <c r="D205" s="6">
        <v>1244.8800000000001</v>
      </c>
      <c r="E205" s="2"/>
      <c r="F205" s="7">
        <f t="shared" si="44"/>
        <v>9.5173181199360965E-4</v>
      </c>
      <c r="G205" s="2"/>
      <c r="H205" s="6">
        <v>4559.3900000000003</v>
      </c>
      <c r="I205" s="2"/>
      <c r="J205" s="7">
        <f t="shared" si="45"/>
        <v>1.9088489830161263E-3</v>
      </c>
      <c r="K205" s="2"/>
      <c r="L205" s="6">
        <f t="shared" si="46"/>
        <v>-3314.51</v>
      </c>
      <c r="M205" s="2"/>
      <c r="N205" s="7">
        <f t="shared" si="47"/>
        <v>-0.72696347537718864</v>
      </c>
      <c r="O205" s="11"/>
      <c r="P205" s="6">
        <v>6175.33</v>
      </c>
      <c r="Q205" s="2"/>
      <c r="R205" s="7">
        <f t="shared" si="48"/>
        <v>1.1691328200828649E-3</v>
      </c>
      <c r="S205" s="2"/>
      <c r="T205" s="6">
        <v>11002.64</v>
      </c>
      <c r="U205" s="2"/>
      <c r="V205" s="7">
        <f t="shared" si="49"/>
        <v>1.1597449209631958E-3</v>
      </c>
      <c r="W205" s="2"/>
      <c r="X205" s="6">
        <f t="shared" si="50"/>
        <v>-4827.3099999999995</v>
      </c>
      <c r="Y205" s="2"/>
      <c r="Z205" s="7">
        <f t="shared" si="51"/>
        <v>-0.43874106578057626</v>
      </c>
    </row>
    <row r="206" spans="1:26" s="26" customFormat="1" outlineLevel="1" collapsed="1" x14ac:dyDescent="0.25">
      <c r="A206" s="27"/>
      <c r="B206" s="13" t="str">
        <f>CONCATENATE("     ","Advertising/Promo                                 ")</f>
        <v xml:space="preserve">     Advertising/Promo                                 </v>
      </c>
      <c r="C206" s="13"/>
      <c r="D206" s="1">
        <f>SUM(OSRRefD22_2x_0)</f>
        <v>1681.68</v>
      </c>
      <c r="E206" s="1"/>
      <c r="F206" s="5">
        <f t="shared" ref="F206:F210" si="52">IF(D$12=0,0,D206/D$12)</f>
        <v>1.2856727986580341E-3</v>
      </c>
      <c r="G206" s="1"/>
      <c r="H206" s="1">
        <f>SUM(OSRRefH22_2x_0)</f>
        <v>3193.95</v>
      </c>
      <c r="I206" s="1"/>
      <c r="J206" s="5">
        <f t="shared" ref="J206:J210" si="53">IF(H$12=0,0,H206/H$12)</f>
        <v>1.3371894506292192E-3</v>
      </c>
      <c r="K206" s="1"/>
      <c r="L206" s="1">
        <f t="shared" ref="L206:L210" si="54">+D206-H206</f>
        <v>-1512.2699999999998</v>
      </c>
      <c r="M206" s="1"/>
      <c r="N206" s="5">
        <f t="shared" ref="N206:N210" si="55">IF(H206=0,0,L206/H206)</f>
        <v>-0.4734795472690555</v>
      </c>
      <c r="O206" s="13"/>
      <c r="P206" s="1">
        <f>SUM(OSRRefP22_2x_0)</f>
        <v>16633.070000000003</v>
      </c>
      <c r="Q206" s="1"/>
      <c r="R206" s="5">
        <f t="shared" ref="R206:R210" si="56">IF(P$12=0,0,P206/P$12)</f>
        <v>3.1490249161964952E-3</v>
      </c>
      <c r="S206" s="1"/>
      <c r="T206" s="1">
        <f>SUM(OSRRefT22_2x_0)</f>
        <v>42003.859999999993</v>
      </c>
      <c r="U206" s="1"/>
      <c r="V206" s="5">
        <f t="shared" ref="V206:V210" si="57">IF(T$12=0,0,T206/T$12)</f>
        <v>4.4274613452634217E-3</v>
      </c>
      <c r="W206" s="1"/>
      <c r="X206" s="1">
        <f t="shared" ref="X206:X210" si="58">+P206-T206</f>
        <v>-25370.78999999999</v>
      </c>
      <c r="Y206" s="1"/>
      <c r="Z206" s="5">
        <f t="shared" ref="Z206:Z210" si="59">IF(T206=0,0,X206/T206)</f>
        <v>-0.60401091709190524</v>
      </c>
    </row>
    <row r="207" spans="1:26" s="24" customFormat="1" hidden="1" outlineLevel="2" x14ac:dyDescent="0.25">
      <c r="A207" s="25"/>
      <c r="B207" s="11" t="str">
        <f>CONCATENATE("          ", "6362", " - ", "ADVERTISING EXPENSE")</f>
        <v xml:space="preserve">          6362 - ADVERTISING EXPENSE</v>
      </c>
      <c r="C207" s="11"/>
      <c r="D207" s="6">
        <v>1681.68</v>
      </c>
      <c r="E207" s="2"/>
      <c r="F207" s="7">
        <f t="shared" si="52"/>
        <v>1.2856727986580341E-3</v>
      </c>
      <c r="G207" s="2"/>
      <c r="H207" s="6">
        <v>3193.95</v>
      </c>
      <c r="I207" s="2"/>
      <c r="J207" s="7">
        <f t="shared" si="53"/>
        <v>1.3371894506292192E-3</v>
      </c>
      <c r="K207" s="2"/>
      <c r="L207" s="6">
        <f t="shared" si="54"/>
        <v>-1512.2699999999998</v>
      </c>
      <c r="M207" s="2"/>
      <c r="N207" s="7">
        <f t="shared" si="55"/>
        <v>-0.4734795472690555</v>
      </c>
      <c r="O207" s="11"/>
      <c r="P207" s="6">
        <v>16633.070000000003</v>
      </c>
      <c r="Q207" s="2"/>
      <c r="R207" s="7">
        <f t="shared" si="56"/>
        <v>3.1490249161964952E-3</v>
      </c>
      <c r="S207" s="2"/>
      <c r="T207" s="6">
        <v>42003.859999999993</v>
      </c>
      <c r="U207" s="2"/>
      <c r="V207" s="7">
        <f t="shared" si="57"/>
        <v>4.4274613452634217E-3</v>
      </c>
      <c r="W207" s="2"/>
      <c r="X207" s="6">
        <f t="shared" si="58"/>
        <v>-25370.78999999999</v>
      </c>
      <c r="Y207" s="2"/>
      <c r="Z207" s="7">
        <f t="shared" si="59"/>
        <v>-0.60401091709190524</v>
      </c>
    </row>
    <row r="208" spans="1:26" s="26" customFormat="1" outlineLevel="1" collapsed="1" x14ac:dyDescent="0.25">
      <c r="A208" s="27"/>
      <c r="B208" s="13" t="str">
        <f>CONCATENATE("     ","Bad Debts/Over/Short                              ")</f>
        <v xml:space="preserve">     Bad Debts/Over/Short                              </v>
      </c>
      <c r="C208" s="13"/>
      <c r="D208" s="1">
        <f>SUM(OSRRefD22_3x_0)</f>
        <v>1872.1</v>
      </c>
      <c r="E208" s="1"/>
      <c r="F208" s="5">
        <f t="shared" si="52"/>
        <v>1.4312521088243337E-3</v>
      </c>
      <c r="G208" s="1"/>
      <c r="H208" s="1">
        <f>SUM(OSRRefH22_3x_0)</f>
        <v>-95</v>
      </c>
      <c r="I208" s="1"/>
      <c r="J208" s="5">
        <f t="shared" si="53"/>
        <v>-3.9773007658158653E-5</v>
      </c>
      <c r="K208" s="1"/>
      <c r="L208" s="1">
        <f t="shared" si="54"/>
        <v>1967.1</v>
      </c>
      <c r="M208" s="1"/>
      <c r="N208" s="5">
        <f t="shared" si="55"/>
        <v>-20.706315789473685</v>
      </c>
      <c r="O208" s="13"/>
      <c r="P208" s="1">
        <f>SUM(OSRRefP22_3x_0)</f>
        <v>1918.06</v>
      </c>
      <c r="Q208" s="1"/>
      <c r="R208" s="5">
        <f t="shared" si="56"/>
        <v>3.6313312760421546E-4</v>
      </c>
      <c r="S208" s="1"/>
      <c r="T208" s="1">
        <f>SUM(OSRRefT22_3x_0)</f>
        <v>55.019999999999996</v>
      </c>
      <c r="U208" s="1"/>
      <c r="V208" s="5">
        <f t="shared" si="57"/>
        <v>5.7994413660171586E-6</v>
      </c>
      <c r="W208" s="1"/>
      <c r="X208" s="1">
        <f t="shared" si="58"/>
        <v>1863.04</v>
      </c>
      <c r="Y208" s="1"/>
      <c r="Z208" s="5">
        <f t="shared" si="59"/>
        <v>33.86114140312614</v>
      </c>
    </row>
    <row r="209" spans="1:26" s="24" customFormat="1" hidden="1" outlineLevel="2" x14ac:dyDescent="0.25">
      <c r="A209" s="25"/>
      <c r="B209" s="11" t="str">
        <f>CONCATENATE("          ", "6272", " - ", "CASH (OVER/SHORT)")</f>
        <v xml:space="preserve">          6272 - CASH (OVER/SHORT)</v>
      </c>
      <c r="C209" s="11"/>
      <c r="D209" s="6">
        <v>-124.68</v>
      </c>
      <c r="E209" s="2"/>
      <c r="F209" s="7">
        <f t="shared" si="52"/>
        <v>-9.5319968446246428E-5</v>
      </c>
      <c r="G209" s="2"/>
      <c r="H209" s="6">
        <v>-95</v>
      </c>
      <c r="I209" s="2"/>
      <c r="J209" s="7">
        <f t="shared" si="53"/>
        <v>-3.9773007658158653E-5</v>
      </c>
      <c r="K209" s="2"/>
      <c r="L209" s="6">
        <f t="shared" si="54"/>
        <v>-29.680000000000007</v>
      </c>
      <c r="M209" s="2"/>
      <c r="N209" s="7">
        <f t="shared" si="55"/>
        <v>0.31242105263157904</v>
      </c>
      <c r="O209" s="11"/>
      <c r="P209" s="6">
        <v>-78.72</v>
      </c>
      <c r="Q209" s="2"/>
      <c r="R209" s="7">
        <f t="shared" si="56"/>
        <v>-1.4903516993735255E-5</v>
      </c>
      <c r="S209" s="2"/>
      <c r="T209" s="6">
        <v>10.220000000000001</v>
      </c>
      <c r="U209" s="2"/>
      <c r="V209" s="7">
        <f t="shared" si="57"/>
        <v>1.0772499229497523E-6</v>
      </c>
      <c r="W209" s="2"/>
      <c r="X209" s="6">
        <f t="shared" si="58"/>
        <v>-88.94</v>
      </c>
      <c r="Y209" s="2"/>
      <c r="Z209" s="7">
        <f t="shared" si="59"/>
        <v>-8.7025440313111542</v>
      </c>
    </row>
    <row r="210" spans="1:26" s="24" customFormat="1" hidden="1" outlineLevel="2" x14ac:dyDescent="0.25">
      <c r="A210" s="25"/>
      <c r="B210" s="11" t="str">
        <f>CONCATENATE("          ", "6342", " - ", "BAD DEBT")</f>
        <v xml:space="preserve">          6342 - BAD DEBT</v>
      </c>
      <c r="C210" s="11"/>
      <c r="D210" s="6">
        <v>1996.78</v>
      </c>
      <c r="E210" s="2"/>
      <c r="F210" s="7">
        <f t="shared" si="52"/>
        <v>1.52657207727058E-3</v>
      </c>
      <c r="G210" s="2"/>
      <c r="H210" s="6"/>
      <c r="I210" s="2"/>
      <c r="J210" s="7">
        <f t="shared" si="53"/>
        <v>0</v>
      </c>
      <c r="K210" s="2"/>
      <c r="L210" s="6">
        <f t="shared" si="54"/>
        <v>1996.78</v>
      </c>
      <c r="M210" s="2"/>
      <c r="N210" s="7">
        <f t="shared" si="55"/>
        <v>0</v>
      </c>
      <c r="O210" s="11"/>
      <c r="P210" s="6">
        <v>1996.78</v>
      </c>
      <c r="Q210" s="2"/>
      <c r="R210" s="7">
        <f t="shared" si="56"/>
        <v>3.7803664459795075E-4</v>
      </c>
      <c r="S210" s="2"/>
      <c r="T210" s="6">
        <v>44.8</v>
      </c>
      <c r="U210" s="2"/>
      <c r="V210" s="7">
        <f t="shared" si="57"/>
        <v>4.7221914430674067E-6</v>
      </c>
      <c r="W210" s="2"/>
      <c r="X210" s="6">
        <f t="shared" si="58"/>
        <v>1951.98</v>
      </c>
      <c r="Y210" s="2"/>
      <c r="Z210" s="7">
        <f t="shared" si="59"/>
        <v>43.570982142857147</v>
      </c>
    </row>
    <row r="211" spans="1:26" s="26" customFormat="1" outlineLevel="1" collapsed="1" x14ac:dyDescent="0.25">
      <c r="A211" s="27"/>
      <c r="B211" s="13" t="str">
        <f>CONCATENATE("     ","Bank/card Fees                                    ")</f>
        <v xml:space="preserve">     Bank/card Fees                                    </v>
      </c>
      <c r="C211" s="13"/>
      <c r="D211" s="1">
        <f>SUM(OSRRefD22_4x_0)</f>
        <v>14947.88</v>
      </c>
      <c r="E211" s="1"/>
      <c r="F211" s="5">
        <f t="shared" ref="F211:F215" si="60">IF(D$12=0,0,D211/D$12)</f>
        <v>1.1427907041532546E-2</v>
      </c>
      <c r="G211" s="1"/>
      <c r="H211" s="1">
        <f>SUM(OSRRefH22_4x_0)</f>
        <v>25656.59</v>
      </c>
      <c r="I211" s="1"/>
      <c r="J211" s="5">
        <f t="shared" ref="J211:J215" si="61">IF(H$12=0,0,H211/H$12)</f>
        <v>1.0741471058444597E-2</v>
      </c>
      <c r="K211" s="1"/>
      <c r="L211" s="1">
        <f t="shared" ref="L211:L215" si="62">+D211-H211</f>
        <v>-10708.710000000001</v>
      </c>
      <c r="M211" s="1"/>
      <c r="N211" s="5">
        <f t="shared" ref="N211:N215" si="63">IF(H211=0,0,L211/H211)</f>
        <v>-0.41738633232241701</v>
      </c>
      <c r="O211" s="13"/>
      <c r="P211" s="1">
        <f>SUM(OSRRefP22_4x_0)</f>
        <v>61744.659999999996</v>
      </c>
      <c r="Q211" s="1"/>
      <c r="R211" s="5">
        <f t="shared" ref="R211:R215" si="64">IF(P$12=0,0,P211/P$12)</f>
        <v>1.1689692448963484E-2</v>
      </c>
      <c r="S211" s="1"/>
      <c r="T211" s="1">
        <f>SUM(OSRRefT22_4x_0)</f>
        <v>117324.77</v>
      </c>
      <c r="U211" s="1"/>
      <c r="V211" s="5">
        <f t="shared" ref="V211:V215" si="65">IF(T$12=0,0,T211/T$12)</f>
        <v>1.2366741628434187E-2</v>
      </c>
      <c r="W211" s="1"/>
      <c r="X211" s="1">
        <f t="shared" ref="X211:X215" si="66">+P211-T211</f>
        <v>-55580.110000000008</v>
      </c>
      <c r="Y211" s="1"/>
      <c r="Z211" s="5">
        <f t="shared" ref="Z211:Z215" si="67">IF(T211=0,0,X211/T211)</f>
        <v>-0.47372869343788193</v>
      </c>
    </row>
    <row r="212" spans="1:26" s="24" customFormat="1" hidden="1" outlineLevel="2" x14ac:dyDescent="0.25">
      <c r="A212" s="25"/>
      <c r="B212" s="11" t="str">
        <f>CONCATENATE("          ", "6381", " - ", "BANK/CREDIT CARD FEES")</f>
        <v xml:space="preserve">          6381 - BANK/CREDIT CARD FEES</v>
      </c>
      <c r="C212" s="11"/>
      <c r="D212" s="6">
        <v>14947.88</v>
      </c>
      <c r="E212" s="2"/>
      <c r="F212" s="7">
        <f t="shared" si="60"/>
        <v>1.1427907041532546E-2</v>
      </c>
      <c r="G212" s="2"/>
      <c r="H212" s="6">
        <v>25656.59</v>
      </c>
      <c r="I212" s="2"/>
      <c r="J212" s="7">
        <f t="shared" si="61"/>
        <v>1.0741471058444597E-2</v>
      </c>
      <c r="K212" s="2"/>
      <c r="L212" s="6">
        <f t="shared" si="62"/>
        <v>-10708.710000000001</v>
      </c>
      <c r="M212" s="2"/>
      <c r="N212" s="7">
        <f t="shared" si="63"/>
        <v>-0.41738633232241701</v>
      </c>
      <c r="O212" s="11"/>
      <c r="P212" s="6">
        <v>61744.659999999996</v>
      </c>
      <c r="Q212" s="2"/>
      <c r="R212" s="7">
        <f t="shared" si="64"/>
        <v>1.1689692448963484E-2</v>
      </c>
      <c r="S212" s="2"/>
      <c r="T212" s="6">
        <v>117324.77</v>
      </c>
      <c r="U212" s="2"/>
      <c r="V212" s="7">
        <f t="shared" si="65"/>
        <v>1.2366741628434187E-2</v>
      </c>
      <c r="W212" s="2"/>
      <c r="X212" s="6">
        <f t="shared" si="66"/>
        <v>-55580.110000000008</v>
      </c>
      <c r="Y212" s="2"/>
      <c r="Z212" s="7">
        <f t="shared" si="67"/>
        <v>-0.47372869343788193</v>
      </c>
    </row>
    <row r="213" spans="1:26" s="26" customFormat="1" outlineLevel="1" collapsed="1" x14ac:dyDescent="0.25">
      <c r="A213" s="27"/>
      <c r="B213" s="13" t="str">
        <f>CONCATENATE("     ","Depreciation                                      ")</f>
        <v xml:space="preserve">     Depreciation                                      </v>
      </c>
      <c r="C213" s="13"/>
      <c r="D213" s="1">
        <f>SUM(OSRRefD22_5x_0)</f>
        <v>31016.29</v>
      </c>
      <c r="E213" s="1"/>
      <c r="F213" s="5">
        <f t="shared" si="60"/>
        <v>2.3712478217193043E-2</v>
      </c>
      <c r="G213" s="1"/>
      <c r="H213" s="1">
        <f>SUM(OSRRefH22_5x_0)</f>
        <v>30057.75</v>
      </c>
      <c r="I213" s="1"/>
      <c r="J213" s="5">
        <f t="shared" si="61"/>
        <v>1.2584074957231772E-2</v>
      </c>
      <c r="K213" s="1"/>
      <c r="L213" s="1">
        <f t="shared" si="62"/>
        <v>958.54000000000087</v>
      </c>
      <c r="M213" s="1"/>
      <c r="N213" s="5">
        <f t="shared" si="63"/>
        <v>3.1889945188844838E-2</v>
      </c>
      <c r="O213" s="13"/>
      <c r="P213" s="1">
        <f>SUM(OSRRefP22_5x_0)</f>
        <v>217409.52000000002</v>
      </c>
      <c r="Q213" s="1"/>
      <c r="R213" s="5">
        <f t="shared" si="64"/>
        <v>4.1160651370932735E-2</v>
      </c>
      <c r="S213" s="1"/>
      <c r="T213" s="1">
        <f>SUM(OSRRefT22_5x_0)</f>
        <v>209554.84999999998</v>
      </c>
      <c r="U213" s="1"/>
      <c r="V213" s="5">
        <f t="shared" si="65"/>
        <v>2.2088350882215935E-2</v>
      </c>
      <c r="W213" s="1"/>
      <c r="X213" s="1">
        <f t="shared" si="66"/>
        <v>7854.6700000000419</v>
      </c>
      <c r="Y213" s="1"/>
      <c r="Z213" s="5">
        <f t="shared" si="67"/>
        <v>3.7482644758639765E-2</v>
      </c>
    </row>
    <row r="214" spans="1:26" s="24" customFormat="1" hidden="1" outlineLevel="2" x14ac:dyDescent="0.25">
      <c r="A214" s="25"/>
      <c r="B214" s="11" t="str">
        <f>CONCATENATE("          ", "6321", " - ", "BUILDING DEPRECIATION")</f>
        <v xml:space="preserve">          6321 - BUILDING DEPRECIATION</v>
      </c>
      <c r="C214" s="11"/>
      <c r="D214" s="6">
        <v>16396.52</v>
      </c>
      <c r="E214" s="2"/>
      <c r="F214" s="7">
        <f t="shared" si="60"/>
        <v>1.2535416819283354E-2</v>
      </c>
      <c r="G214" s="2"/>
      <c r="H214" s="6">
        <v>16396.52</v>
      </c>
      <c r="I214" s="2"/>
      <c r="J214" s="7">
        <f t="shared" si="61"/>
        <v>6.8646201634437005E-3</v>
      </c>
      <c r="K214" s="2"/>
      <c r="L214" s="6">
        <f t="shared" si="62"/>
        <v>0</v>
      </c>
      <c r="M214" s="2"/>
      <c r="N214" s="7">
        <f t="shared" si="63"/>
        <v>0</v>
      </c>
      <c r="O214" s="11"/>
      <c r="P214" s="6">
        <v>114775.64</v>
      </c>
      <c r="Q214" s="2"/>
      <c r="R214" s="7">
        <f t="shared" si="64"/>
        <v>2.1729683704355181E-2</v>
      </c>
      <c r="S214" s="2"/>
      <c r="T214" s="6">
        <v>114775.64</v>
      </c>
      <c r="U214" s="2"/>
      <c r="V214" s="7">
        <f t="shared" si="65"/>
        <v>1.2098047881263061E-2</v>
      </c>
      <c r="W214" s="2"/>
      <c r="X214" s="6">
        <f t="shared" si="66"/>
        <v>0</v>
      </c>
      <c r="Y214" s="2"/>
      <c r="Z214" s="7">
        <f t="shared" si="67"/>
        <v>0</v>
      </c>
    </row>
    <row r="215" spans="1:26" s="24" customFormat="1" hidden="1" outlineLevel="2" x14ac:dyDescent="0.25">
      <c r="A215" s="25"/>
      <c r="B215" s="11" t="str">
        <f>CONCATENATE("          ", "6322", " - ", "EQUIPMENT DEPRECIATION EXPENSE")</f>
        <v xml:space="preserve">          6322 - EQUIPMENT DEPRECIATION EXPENSE</v>
      </c>
      <c r="C215" s="11"/>
      <c r="D215" s="6">
        <v>14619.77</v>
      </c>
      <c r="E215" s="2"/>
      <c r="F215" s="7">
        <f t="shared" si="60"/>
        <v>1.117706139790969E-2</v>
      </c>
      <c r="G215" s="2"/>
      <c r="H215" s="6">
        <v>13661.23</v>
      </c>
      <c r="I215" s="2"/>
      <c r="J215" s="7">
        <f t="shared" si="61"/>
        <v>5.7194547937880705E-3</v>
      </c>
      <c r="K215" s="2"/>
      <c r="L215" s="6">
        <f t="shared" si="62"/>
        <v>958.54000000000087</v>
      </c>
      <c r="M215" s="2"/>
      <c r="N215" s="7">
        <f t="shared" si="63"/>
        <v>7.0164985144090308E-2</v>
      </c>
      <c r="O215" s="11"/>
      <c r="P215" s="6">
        <v>102633.88</v>
      </c>
      <c r="Q215" s="2"/>
      <c r="R215" s="7">
        <f t="shared" si="64"/>
        <v>1.9430967666577554E-2</v>
      </c>
      <c r="S215" s="2"/>
      <c r="T215" s="6">
        <v>94779.209999999992</v>
      </c>
      <c r="U215" s="2"/>
      <c r="V215" s="7">
        <f t="shared" si="65"/>
        <v>9.9903030009528739E-3</v>
      </c>
      <c r="W215" s="2"/>
      <c r="X215" s="6">
        <f t="shared" si="66"/>
        <v>7854.6700000000128</v>
      </c>
      <c r="Y215" s="2"/>
      <c r="Z215" s="7">
        <f t="shared" si="67"/>
        <v>8.2873343215247447E-2</v>
      </c>
    </row>
    <row r="216" spans="1:26" s="26" customFormat="1" outlineLevel="1" collapsed="1" x14ac:dyDescent="0.25">
      <c r="A216" s="27"/>
      <c r="B216" s="13" t="str">
        <f>CONCATENATE("     ","Discounts and Markdowns                           ")</f>
        <v xml:space="preserve">     Discounts and Markdowns                           </v>
      </c>
      <c r="C216" s="13"/>
      <c r="D216" s="1">
        <f>SUM(OSRRefD22_6x_0)</f>
        <v>-42.86</v>
      </c>
      <c r="E216" s="1"/>
      <c r="F216" s="5">
        <f t="shared" ref="F216:F218" si="68">IF(D$12=0,0,D216/D$12)</f>
        <v>-3.2767194799535782E-5</v>
      </c>
      <c r="G216" s="1"/>
      <c r="H216" s="1">
        <f>SUM(OSRRefH22_6x_0)</f>
        <v>38396.86</v>
      </c>
      <c r="I216" s="1"/>
      <c r="J216" s="5">
        <f t="shared" ref="J216:J218" si="69">IF(H$12=0,0,H216/H$12)</f>
        <v>1.6075353756097324E-2</v>
      </c>
      <c r="K216" s="1"/>
      <c r="L216" s="1">
        <f t="shared" ref="L216:L218" si="70">+D216-H216</f>
        <v>-38439.72</v>
      </c>
      <c r="M216" s="1"/>
      <c r="N216" s="5">
        <f t="shared" ref="N216:N218" si="71">IF(H216=0,0,L216/H216)</f>
        <v>-1.0011162371089719</v>
      </c>
      <c r="O216" s="13"/>
      <c r="P216" s="1">
        <f>SUM(OSRRefP22_6x_0)</f>
        <v>-42.86</v>
      </c>
      <c r="Q216" s="1"/>
      <c r="R216" s="5">
        <f t="shared" ref="R216:R218" si="72">IF(P$12=0,0,P216/P$12)</f>
        <v>-8.1143894607659178E-6</v>
      </c>
      <c r="S216" s="1"/>
      <c r="T216" s="1">
        <f>SUM(OSRRefT22_6x_0)</f>
        <v>275371.86</v>
      </c>
      <c r="U216" s="1"/>
      <c r="V216" s="5">
        <f t="shared" ref="V216:V218" si="73">IF(T$12=0,0,T216/T$12)</f>
        <v>2.9025862521284727E-2</v>
      </c>
      <c r="W216" s="1"/>
      <c r="X216" s="1">
        <f t="shared" ref="X216:X218" si="74">+P216-T216</f>
        <v>-275414.71999999997</v>
      </c>
      <c r="Y216" s="1"/>
      <c r="Z216" s="5">
        <f t="shared" ref="Z216:Z218" si="75">IF(T216=0,0,X216/T216)</f>
        <v>-1.0001556440806987</v>
      </c>
    </row>
    <row r="217" spans="1:26" s="24" customFormat="1" hidden="1" outlineLevel="2" x14ac:dyDescent="0.25">
      <c r="A217" s="25"/>
      <c r="B217" s="11" t="str">
        <f>CONCATENATE("          ", "6382", " - ", "DISCOUNTS/MARK DOWNS")</f>
        <v xml:space="preserve">          6382 - DISCOUNTS/MARK DOWNS</v>
      </c>
      <c r="C217" s="11"/>
      <c r="D217" s="6"/>
      <c r="E217" s="2"/>
      <c r="F217" s="7">
        <f t="shared" si="68"/>
        <v>0</v>
      </c>
      <c r="G217" s="2"/>
      <c r="H217" s="6">
        <v>38817.360000000001</v>
      </c>
      <c r="I217" s="2"/>
      <c r="J217" s="7">
        <f t="shared" si="69"/>
        <v>1.6251401647889491E-2</v>
      </c>
      <c r="K217" s="2"/>
      <c r="L217" s="6">
        <f t="shared" si="70"/>
        <v>-38817.360000000001</v>
      </c>
      <c r="M217" s="2"/>
      <c r="N217" s="7">
        <f t="shared" si="71"/>
        <v>-1</v>
      </c>
      <c r="O217" s="11"/>
      <c r="P217" s="6">
        <v>0</v>
      </c>
      <c r="Q217" s="2"/>
      <c r="R217" s="7">
        <f t="shared" si="72"/>
        <v>0</v>
      </c>
      <c r="S217" s="2"/>
      <c r="T217" s="6">
        <v>278278.86</v>
      </c>
      <c r="U217" s="2"/>
      <c r="V217" s="7">
        <f t="shared" si="73"/>
        <v>2.9332277934789125E-2</v>
      </c>
      <c r="W217" s="2"/>
      <c r="X217" s="6">
        <f t="shared" si="74"/>
        <v>-278278.86</v>
      </c>
      <c r="Y217" s="2"/>
      <c r="Z217" s="7">
        <f t="shared" si="75"/>
        <v>-1</v>
      </c>
    </row>
    <row r="218" spans="1:26" s="24" customFormat="1" hidden="1" outlineLevel="2" x14ac:dyDescent="0.25">
      <c r="A218" s="25"/>
      <c r="B218" s="11" t="str">
        <f>CONCATENATE("          ", "9175", " - ", "EARNED DISCOUNTS")</f>
        <v xml:space="preserve">          9175 - EARNED DISCOUNTS</v>
      </c>
      <c r="C218" s="11"/>
      <c r="D218" s="6">
        <v>-42.86</v>
      </c>
      <c r="E218" s="2"/>
      <c r="F218" s="7">
        <f t="shared" si="68"/>
        <v>-3.2767194799535782E-5</v>
      </c>
      <c r="G218" s="2"/>
      <c r="H218" s="6">
        <v>-420.5</v>
      </c>
      <c r="I218" s="2"/>
      <c r="J218" s="7">
        <f t="shared" si="69"/>
        <v>-1.7604789179216543E-4</v>
      </c>
      <c r="K218" s="2"/>
      <c r="L218" s="6">
        <f t="shared" si="70"/>
        <v>377.64</v>
      </c>
      <c r="M218" s="2"/>
      <c r="N218" s="7">
        <f t="shared" si="71"/>
        <v>-0.89807372175980971</v>
      </c>
      <c r="O218" s="11"/>
      <c r="P218" s="6">
        <v>-42.86</v>
      </c>
      <c r="Q218" s="2"/>
      <c r="R218" s="7">
        <f t="shared" si="72"/>
        <v>-8.1143894607659178E-6</v>
      </c>
      <c r="S218" s="2"/>
      <c r="T218" s="6">
        <v>-2907</v>
      </c>
      <c r="U218" s="2"/>
      <c r="V218" s="7">
        <f t="shared" si="73"/>
        <v>-3.0641541350439624E-4</v>
      </c>
      <c r="W218" s="2"/>
      <c r="X218" s="6">
        <f t="shared" si="74"/>
        <v>2864.14</v>
      </c>
      <c r="Y218" s="2"/>
      <c r="Z218" s="7">
        <f t="shared" si="75"/>
        <v>-0.98525627794977633</v>
      </c>
    </row>
    <row r="219" spans="1:26" s="26" customFormat="1" outlineLevel="1" collapsed="1" x14ac:dyDescent="0.25">
      <c r="A219" s="27"/>
      <c r="B219" s="13" t="str">
        <f>CONCATENATE("     ","Donations                                         ")</f>
        <v xml:space="preserve">     Donations                                         </v>
      </c>
      <c r="C219" s="13"/>
      <c r="D219" s="1">
        <f>SUM(OSRRefD22_7x_0)</f>
        <v>0</v>
      </c>
      <c r="E219" s="1"/>
      <c r="F219" s="5">
        <f t="shared" ref="F219:F227" si="76">IF(D$12=0,0,D219/D$12)</f>
        <v>0</v>
      </c>
      <c r="G219" s="1"/>
      <c r="H219" s="1">
        <f>SUM(OSRRefH22_7x_0)</f>
        <v>0</v>
      </c>
      <c r="I219" s="1"/>
      <c r="J219" s="5">
        <f t="shared" ref="J219:J227" si="77">IF(H$12=0,0,H219/H$12)</f>
        <v>0</v>
      </c>
      <c r="K219" s="1"/>
      <c r="L219" s="1">
        <f t="shared" ref="L219:L227" si="78">+D219-H219</f>
        <v>0</v>
      </c>
      <c r="M219" s="1"/>
      <c r="N219" s="5">
        <f t="shared" ref="N219:N227" si="79">IF(H219=0,0,L219/H219)</f>
        <v>0</v>
      </c>
      <c r="O219" s="13"/>
      <c r="P219" s="1">
        <f>SUM(OSRRefP22_7x_0)</f>
        <v>0</v>
      </c>
      <c r="Q219" s="1"/>
      <c r="R219" s="5">
        <f t="shared" ref="R219:R227" si="80">IF(P$12=0,0,P219/P$12)</f>
        <v>0</v>
      </c>
      <c r="S219" s="1"/>
      <c r="T219" s="1">
        <f>SUM(OSRRefT22_7x_0)</f>
        <v>9798.2199999999993</v>
      </c>
      <c r="U219" s="1"/>
      <c r="V219" s="5">
        <f t="shared" ref="V219:V227" si="81">IF(T$12=0,0,T219/T$12)</f>
        <v>1.0327917553859805E-3</v>
      </c>
      <c r="W219" s="1"/>
      <c r="X219" s="1">
        <f t="shared" ref="X219:X227" si="82">+P219-T219</f>
        <v>-9798.2199999999993</v>
      </c>
      <c r="Y219" s="1"/>
      <c r="Z219" s="5">
        <f t="shared" ref="Z219:Z227" si="83">IF(T219=0,0,X219/T219)</f>
        <v>-1</v>
      </c>
    </row>
    <row r="220" spans="1:26" s="24" customFormat="1" hidden="1" outlineLevel="2" x14ac:dyDescent="0.25">
      <c r="A220" s="25"/>
      <c r="B220" s="11" t="str">
        <f>CONCATENATE("          ", "6399", " - ", "DONATION-ON CAMPUS")</f>
        <v xml:space="preserve">          6399 - DONATION-ON CAMPUS</v>
      </c>
      <c r="C220" s="11"/>
      <c r="D220" s="6"/>
      <c r="E220" s="2"/>
      <c r="F220" s="7">
        <f t="shared" si="76"/>
        <v>0</v>
      </c>
      <c r="G220" s="2"/>
      <c r="H220" s="6"/>
      <c r="I220" s="2"/>
      <c r="J220" s="7">
        <f t="shared" si="77"/>
        <v>0</v>
      </c>
      <c r="K220" s="2"/>
      <c r="L220" s="6">
        <f t="shared" si="78"/>
        <v>0</v>
      </c>
      <c r="M220" s="2"/>
      <c r="N220" s="7">
        <f t="shared" si="79"/>
        <v>0</v>
      </c>
      <c r="O220" s="11"/>
      <c r="P220" s="6"/>
      <c r="Q220" s="2"/>
      <c r="R220" s="7">
        <f t="shared" si="80"/>
        <v>0</v>
      </c>
      <c r="S220" s="2"/>
      <c r="T220" s="6">
        <v>9798.2199999999993</v>
      </c>
      <c r="U220" s="2"/>
      <c r="V220" s="7">
        <f t="shared" si="81"/>
        <v>1.0327917553859805E-3</v>
      </c>
      <c r="W220" s="2"/>
      <c r="X220" s="6">
        <f t="shared" si="82"/>
        <v>-9798.2199999999993</v>
      </c>
      <c r="Y220" s="2"/>
      <c r="Z220" s="7">
        <f t="shared" si="83"/>
        <v>-1</v>
      </c>
    </row>
    <row r="221" spans="1:26" s="26" customFormat="1" outlineLevel="1" collapsed="1" x14ac:dyDescent="0.25">
      <c r="A221" s="27"/>
      <c r="B221" s="13" t="str">
        <f>CONCATENATE("     ","Employees' Appreciation                           ")</f>
        <v xml:space="preserve">     Employees' Appreciation                           </v>
      </c>
      <c r="C221" s="13"/>
      <c r="D221" s="1">
        <f>SUM(OSRRefD22_8x_0)</f>
        <v>78.33</v>
      </c>
      <c r="E221" s="1"/>
      <c r="F221" s="5">
        <f t="shared" si="76"/>
        <v>5.988460962780303E-5</v>
      </c>
      <c r="G221" s="1"/>
      <c r="H221" s="1">
        <f>SUM(OSRRefH22_8x_0)</f>
        <v>0</v>
      </c>
      <c r="I221" s="1"/>
      <c r="J221" s="5">
        <f t="shared" si="77"/>
        <v>0</v>
      </c>
      <c r="K221" s="1"/>
      <c r="L221" s="1">
        <f t="shared" si="78"/>
        <v>78.33</v>
      </c>
      <c r="M221" s="1"/>
      <c r="N221" s="5">
        <f t="shared" si="79"/>
        <v>0</v>
      </c>
      <c r="O221" s="13"/>
      <c r="P221" s="1">
        <f>SUM(OSRRefP22_8x_0)</f>
        <v>186.03</v>
      </c>
      <c r="Q221" s="1"/>
      <c r="R221" s="5">
        <f t="shared" si="80"/>
        <v>3.5219782346856829E-5</v>
      </c>
      <c r="S221" s="1"/>
      <c r="T221" s="1">
        <f>SUM(OSRRefT22_8x_0)</f>
        <v>1194.04</v>
      </c>
      <c r="U221" s="1"/>
      <c r="V221" s="5">
        <f t="shared" si="81"/>
        <v>1.2585905068482602E-4</v>
      </c>
      <c r="W221" s="1"/>
      <c r="X221" s="1">
        <f t="shared" si="82"/>
        <v>-1008.01</v>
      </c>
      <c r="Y221" s="1"/>
      <c r="Z221" s="5">
        <f t="shared" si="83"/>
        <v>-0.84420119928980608</v>
      </c>
    </row>
    <row r="222" spans="1:26" s="24" customFormat="1" hidden="1" outlineLevel="2" x14ac:dyDescent="0.25">
      <c r="A222" s="25"/>
      <c r="B222" s="11" t="str">
        <f>CONCATENATE("          ", "6277", " - ", "EMPLOYEE APPRECIATION")</f>
        <v xml:space="preserve">          6277 - EMPLOYEE APPRECIATION</v>
      </c>
      <c r="C222" s="11"/>
      <c r="D222" s="6">
        <v>78.33</v>
      </c>
      <c r="E222" s="2"/>
      <c r="F222" s="7">
        <f t="shared" si="76"/>
        <v>5.988460962780303E-5</v>
      </c>
      <c r="G222" s="2"/>
      <c r="H222" s="6"/>
      <c r="I222" s="2"/>
      <c r="J222" s="7">
        <f t="shared" si="77"/>
        <v>0</v>
      </c>
      <c r="K222" s="2"/>
      <c r="L222" s="6">
        <f t="shared" si="78"/>
        <v>78.33</v>
      </c>
      <c r="M222" s="2"/>
      <c r="N222" s="7">
        <f t="shared" si="79"/>
        <v>0</v>
      </c>
      <c r="O222" s="11"/>
      <c r="P222" s="6">
        <v>186.03</v>
      </c>
      <c r="Q222" s="2"/>
      <c r="R222" s="7">
        <f t="shared" si="80"/>
        <v>3.5219782346856829E-5</v>
      </c>
      <c r="S222" s="2"/>
      <c r="T222" s="6">
        <v>1194.04</v>
      </c>
      <c r="U222" s="2"/>
      <c r="V222" s="7">
        <f t="shared" si="81"/>
        <v>1.2585905068482602E-4</v>
      </c>
      <c r="W222" s="2"/>
      <c r="X222" s="6">
        <f t="shared" si="82"/>
        <v>-1008.01</v>
      </c>
      <c r="Y222" s="2"/>
      <c r="Z222" s="7">
        <f t="shared" si="83"/>
        <v>-0.84420119928980608</v>
      </c>
    </row>
    <row r="223" spans="1:26" s="26" customFormat="1" outlineLevel="1" collapsed="1" x14ac:dyDescent="0.25">
      <c r="A223" s="27"/>
      <c r="B223" s="13" t="str">
        <f>CONCATENATE("     ","Equipment Rental                                  ")</f>
        <v xml:space="preserve">     Equipment Rental                                  </v>
      </c>
      <c r="C223" s="13"/>
      <c r="D223" s="1">
        <f>SUM(OSRRefD22_9x_0)</f>
        <v>1388.16</v>
      </c>
      <c r="E223" s="1"/>
      <c r="F223" s="5">
        <f t="shared" si="76"/>
        <v>1.0612717949818851E-3</v>
      </c>
      <c r="G223" s="1"/>
      <c r="H223" s="1">
        <f>SUM(OSRRefH22_9x_0)</f>
        <v>1388.16</v>
      </c>
      <c r="I223" s="1"/>
      <c r="J223" s="5">
        <f t="shared" si="77"/>
        <v>5.8117156116578442E-4</v>
      </c>
      <c r="K223" s="1"/>
      <c r="L223" s="1">
        <f t="shared" si="78"/>
        <v>0</v>
      </c>
      <c r="M223" s="1"/>
      <c r="N223" s="5">
        <f t="shared" si="79"/>
        <v>0</v>
      </c>
      <c r="O223" s="13"/>
      <c r="P223" s="1">
        <f>SUM(OSRRefP22_9x_0)</f>
        <v>10364.9</v>
      </c>
      <c r="Q223" s="1"/>
      <c r="R223" s="5">
        <f t="shared" si="80"/>
        <v>1.9623153364883962E-3</v>
      </c>
      <c r="S223" s="1"/>
      <c r="T223" s="1">
        <f>SUM(OSRRefT22_9x_0)</f>
        <v>12478.3</v>
      </c>
      <c r="U223" s="1"/>
      <c r="V223" s="5">
        <f t="shared" si="81"/>
        <v>1.3152884259827683E-3</v>
      </c>
      <c r="W223" s="1"/>
      <c r="X223" s="1">
        <f t="shared" si="82"/>
        <v>-2113.3999999999996</v>
      </c>
      <c r="Y223" s="1"/>
      <c r="Z223" s="5">
        <f t="shared" si="83"/>
        <v>-0.1693660194096952</v>
      </c>
    </row>
    <row r="224" spans="1:26" s="24" customFormat="1" hidden="1" outlineLevel="2" x14ac:dyDescent="0.25">
      <c r="A224" s="25"/>
      <c r="B224" s="11" t="str">
        <f>CONCATENATE("          ", "6351", " - ", "EQUIPMENT RENTAL")</f>
        <v xml:space="preserve">          6351 - EQUIPMENT RENTAL</v>
      </c>
      <c r="C224" s="11"/>
      <c r="D224" s="6">
        <v>1388.16</v>
      </c>
      <c r="E224" s="2"/>
      <c r="F224" s="7">
        <f t="shared" si="76"/>
        <v>1.0612717949818851E-3</v>
      </c>
      <c r="G224" s="2"/>
      <c r="H224" s="6">
        <v>1388.16</v>
      </c>
      <c r="I224" s="2"/>
      <c r="J224" s="7">
        <f t="shared" si="77"/>
        <v>5.8117156116578442E-4</v>
      </c>
      <c r="K224" s="2"/>
      <c r="L224" s="6">
        <f t="shared" si="78"/>
        <v>0</v>
      </c>
      <c r="M224" s="2"/>
      <c r="N224" s="7">
        <f t="shared" si="79"/>
        <v>0</v>
      </c>
      <c r="O224" s="11"/>
      <c r="P224" s="6">
        <v>10364.9</v>
      </c>
      <c r="Q224" s="2"/>
      <c r="R224" s="7">
        <f t="shared" si="80"/>
        <v>1.9623153364883962E-3</v>
      </c>
      <c r="S224" s="2"/>
      <c r="T224" s="6">
        <v>12478.3</v>
      </c>
      <c r="U224" s="2"/>
      <c r="V224" s="7">
        <f t="shared" si="81"/>
        <v>1.3152884259827683E-3</v>
      </c>
      <c r="W224" s="2"/>
      <c r="X224" s="6">
        <f t="shared" si="82"/>
        <v>-2113.3999999999996</v>
      </c>
      <c r="Y224" s="2"/>
      <c r="Z224" s="7">
        <f t="shared" si="83"/>
        <v>-0.1693660194096952</v>
      </c>
    </row>
    <row r="225" spans="1:26" s="26" customFormat="1" outlineLevel="1" collapsed="1" x14ac:dyDescent="0.25">
      <c r="A225" s="27"/>
      <c r="B225" s="13" t="str">
        <f>CONCATENATE("     ","Freight out/Postage                               ")</f>
        <v xml:space="preserve">     Freight out/Postage                               </v>
      </c>
      <c r="C225" s="13"/>
      <c r="D225" s="1">
        <f>SUM(OSRRefD22_10x_0)</f>
        <v>-21647.59</v>
      </c>
      <c r="E225" s="1"/>
      <c r="F225" s="5">
        <f t="shared" si="76"/>
        <v>-1.6549948634402307E-2</v>
      </c>
      <c r="G225" s="1"/>
      <c r="H225" s="1">
        <f>SUM(OSRRefH22_10x_0)</f>
        <v>-13215.979999999998</v>
      </c>
      <c r="I225" s="1"/>
      <c r="J225" s="5">
        <f t="shared" si="77"/>
        <v>-5.5330449868428583E-3</v>
      </c>
      <c r="K225" s="1"/>
      <c r="L225" s="1">
        <f t="shared" si="78"/>
        <v>-8431.6100000000024</v>
      </c>
      <c r="M225" s="1"/>
      <c r="N225" s="5">
        <f t="shared" si="79"/>
        <v>0.63798598363496339</v>
      </c>
      <c r="O225" s="13"/>
      <c r="P225" s="1">
        <f>SUM(OSRRefP22_10x_0)</f>
        <v>-35825.279999999999</v>
      </c>
      <c r="Q225" s="1"/>
      <c r="R225" s="5">
        <f t="shared" si="80"/>
        <v>-6.7825542338074661E-3</v>
      </c>
      <c r="S225" s="1"/>
      <c r="T225" s="1">
        <f>SUM(OSRRefT22_10x_0)</f>
        <v>-6616.0899999999965</v>
      </c>
      <c r="U225" s="1"/>
      <c r="V225" s="5">
        <f t="shared" si="81"/>
        <v>-6.9737597286972822E-4</v>
      </c>
      <c r="W225" s="1"/>
      <c r="X225" s="1">
        <f t="shared" si="82"/>
        <v>-29209.190000000002</v>
      </c>
      <c r="Y225" s="1"/>
      <c r="Z225" s="5">
        <f t="shared" si="83"/>
        <v>4.4148719258655822</v>
      </c>
    </row>
    <row r="226" spans="1:26" s="24" customFormat="1" hidden="1" outlineLevel="2" x14ac:dyDescent="0.25">
      <c r="A226" s="25"/>
      <c r="B226" s="11" t="str">
        <f>CONCATENATE("          ", "6305", " - ", "FREIGHT OUT")</f>
        <v xml:space="preserve">          6305 - FREIGHT OUT</v>
      </c>
      <c r="C226" s="11"/>
      <c r="D226" s="6">
        <v>18838.63</v>
      </c>
      <c r="E226" s="2"/>
      <c r="F226" s="7">
        <f t="shared" si="76"/>
        <v>1.4402451212468009E-2</v>
      </c>
      <c r="G226" s="2"/>
      <c r="H226" s="6">
        <v>2307.9899999999998</v>
      </c>
      <c r="I226" s="2"/>
      <c r="J226" s="7">
        <f t="shared" si="77"/>
        <v>9.6627056784161669E-4</v>
      </c>
      <c r="K226" s="2"/>
      <c r="L226" s="6">
        <f t="shared" si="78"/>
        <v>16530.64</v>
      </c>
      <c r="M226" s="2"/>
      <c r="N226" s="7">
        <f t="shared" si="79"/>
        <v>7.1623533897460563</v>
      </c>
      <c r="O226" s="11"/>
      <c r="P226" s="6">
        <v>136470.71</v>
      </c>
      <c r="Q226" s="2"/>
      <c r="R226" s="7">
        <f t="shared" si="80"/>
        <v>2.5837062317481146E-2</v>
      </c>
      <c r="S226" s="2"/>
      <c r="T226" s="6">
        <v>37061.72</v>
      </c>
      <c r="U226" s="2"/>
      <c r="V226" s="7">
        <f t="shared" si="81"/>
        <v>3.9065298448517898E-3</v>
      </c>
      <c r="W226" s="2"/>
      <c r="X226" s="6">
        <f t="shared" si="82"/>
        <v>99408.989999999991</v>
      </c>
      <c r="Y226" s="2"/>
      <c r="Z226" s="7">
        <f t="shared" si="83"/>
        <v>2.682255167865927</v>
      </c>
    </row>
    <row r="227" spans="1:26" s="24" customFormat="1" hidden="1" outlineLevel="2" x14ac:dyDescent="0.25">
      <c r="A227" s="25"/>
      <c r="B227" s="11" t="str">
        <f>CONCATENATE("          ", "6307", " - ", "POSTAGE")</f>
        <v xml:space="preserve">          6307 - POSTAGE</v>
      </c>
      <c r="C227" s="11"/>
      <c r="D227" s="6">
        <v>-40486.22</v>
      </c>
      <c r="E227" s="2"/>
      <c r="F227" s="7">
        <f t="shared" si="76"/>
        <v>-3.0952399846870315E-2</v>
      </c>
      <c r="G227" s="2"/>
      <c r="H227" s="6">
        <v>-15523.969999999998</v>
      </c>
      <c r="I227" s="2"/>
      <c r="J227" s="7">
        <f t="shared" si="77"/>
        <v>-6.4993155546844749E-3</v>
      </c>
      <c r="K227" s="2"/>
      <c r="L227" s="6">
        <f t="shared" si="78"/>
        <v>-24962.250000000004</v>
      </c>
      <c r="M227" s="2"/>
      <c r="N227" s="7">
        <f t="shared" si="79"/>
        <v>1.6079810770054315</v>
      </c>
      <c r="O227" s="11"/>
      <c r="P227" s="6">
        <v>-172295.99</v>
      </c>
      <c r="Q227" s="2"/>
      <c r="R227" s="7">
        <f t="shared" si="80"/>
        <v>-3.2619616551288609E-2</v>
      </c>
      <c r="S227" s="2"/>
      <c r="T227" s="6">
        <v>-43677.81</v>
      </c>
      <c r="U227" s="2"/>
      <c r="V227" s="7">
        <f t="shared" si="81"/>
        <v>-4.6039058177215174E-3</v>
      </c>
      <c r="W227" s="2"/>
      <c r="X227" s="6">
        <f t="shared" si="82"/>
        <v>-128618.18</v>
      </c>
      <c r="Y227" s="2"/>
      <c r="Z227" s="7">
        <f t="shared" si="83"/>
        <v>2.9447030425747078</v>
      </c>
    </row>
    <row r="228" spans="1:26" s="26" customFormat="1" outlineLevel="1" collapsed="1" x14ac:dyDescent="0.25">
      <c r="A228" s="27"/>
      <c r="B228" s="13" t="str">
        <f>CONCATENATE("     ","General                                           ")</f>
        <v xml:space="preserve">     General                                           </v>
      </c>
      <c r="C228" s="13"/>
      <c r="D228" s="1">
        <f>SUM(OSRRefD22_11x_0)</f>
        <v>223.63</v>
      </c>
      <c r="E228" s="1"/>
      <c r="F228" s="5">
        <f t="shared" ref="F228:F242" si="84">IF(D$12=0,0,D228/D$12)</f>
        <v>1.709689167760193E-4</v>
      </c>
      <c r="G228" s="1"/>
      <c r="H228" s="1">
        <f>SUM(OSRRefH22_11x_0)</f>
        <v>316.16000000000003</v>
      </c>
      <c r="I228" s="1"/>
      <c r="J228" s="5">
        <f t="shared" ref="J228:J242" si="85">IF(H$12=0,0,H228/H$12)</f>
        <v>1.3236456948635201E-4</v>
      </c>
      <c r="K228" s="1"/>
      <c r="L228" s="1">
        <f t="shared" ref="L228:L242" si="86">+D228-H228</f>
        <v>-92.53000000000003</v>
      </c>
      <c r="M228" s="1"/>
      <c r="N228" s="5">
        <f t="shared" ref="N228:N242" si="87">IF(H228=0,0,L228/H228)</f>
        <v>-0.29266826923076927</v>
      </c>
      <c r="O228" s="13"/>
      <c r="P228" s="1">
        <f>SUM(OSRRefP22_11x_0)</f>
        <v>2483.85</v>
      </c>
      <c r="Q228" s="1"/>
      <c r="R228" s="5">
        <f t="shared" ref="R228:R242" si="88">IF(P$12=0,0,P228/P$12)</f>
        <v>4.7025026276536222E-4</v>
      </c>
      <c r="S228" s="1"/>
      <c r="T228" s="1">
        <f>SUM(OSRRefT22_11x_0)</f>
        <v>-1031.5899999999999</v>
      </c>
      <c r="U228" s="1"/>
      <c r="V228" s="5">
        <f t="shared" ref="V228:V242" si="89">IF(T$12=0,0,T228/T$12)</f>
        <v>-1.0873583640075682E-4</v>
      </c>
      <c r="W228" s="1"/>
      <c r="X228" s="1">
        <f t="shared" ref="X228:X242" si="90">+P228-T228</f>
        <v>3515.4399999999996</v>
      </c>
      <c r="Y228" s="1"/>
      <c r="Z228" s="5">
        <f t="shared" ref="Z228:Z242" si="91">IF(T228=0,0,X228/T228)</f>
        <v>-3.4077879777818705</v>
      </c>
    </row>
    <row r="229" spans="1:26" s="24" customFormat="1" hidden="1" outlineLevel="2" x14ac:dyDescent="0.25">
      <c r="A229" s="25"/>
      <c r="B229" s="11" t="str">
        <f>CONCATENATE("          ", "6279", " - ", "GENERAL EXPENSE")</f>
        <v xml:space="preserve">          6279 - GENERAL EXPENSE</v>
      </c>
      <c r="C229" s="11"/>
      <c r="D229" s="6">
        <v>223.63</v>
      </c>
      <c r="E229" s="2"/>
      <c r="F229" s="7">
        <f t="shared" si="84"/>
        <v>1.709689167760193E-4</v>
      </c>
      <c r="G229" s="2"/>
      <c r="H229" s="6">
        <v>316.16000000000003</v>
      </c>
      <c r="I229" s="2"/>
      <c r="J229" s="7">
        <f t="shared" si="85"/>
        <v>1.3236456948635201E-4</v>
      </c>
      <c r="K229" s="2"/>
      <c r="L229" s="6">
        <f t="shared" si="86"/>
        <v>-92.53000000000003</v>
      </c>
      <c r="M229" s="2"/>
      <c r="N229" s="7">
        <f t="shared" si="87"/>
        <v>-0.29266826923076927</v>
      </c>
      <c r="O229" s="11"/>
      <c r="P229" s="6">
        <v>2483.85</v>
      </c>
      <c r="Q229" s="2"/>
      <c r="R229" s="7">
        <f t="shared" si="88"/>
        <v>4.7025026276536222E-4</v>
      </c>
      <c r="S229" s="2"/>
      <c r="T229" s="6">
        <v>-1031.5899999999999</v>
      </c>
      <c r="U229" s="2"/>
      <c r="V229" s="7">
        <f t="shared" si="89"/>
        <v>-1.0873583640075682E-4</v>
      </c>
      <c r="W229" s="2"/>
      <c r="X229" s="6">
        <f t="shared" si="90"/>
        <v>3515.4399999999996</v>
      </c>
      <c r="Y229" s="2"/>
      <c r="Z229" s="7">
        <f t="shared" si="91"/>
        <v>-3.4077879777818705</v>
      </c>
    </row>
    <row r="230" spans="1:26" s="26" customFormat="1" outlineLevel="1" collapsed="1" x14ac:dyDescent="0.25">
      <c r="A230" s="27"/>
      <c r="B230" s="13" t="str">
        <f>CONCATENATE("     ","Insurance                                         ")</f>
        <v xml:space="preserve">     Insurance                                         </v>
      </c>
      <c r="C230" s="13"/>
      <c r="D230" s="1">
        <f>SUM(OSRRefD22_12x_0)</f>
        <v>4044.74</v>
      </c>
      <c r="E230" s="1"/>
      <c r="F230" s="5">
        <f t="shared" si="84"/>
        <v>3.092272130039066E-3</v>
      </c>
      <c r="G230" s="1"/>
      <c r="H230" s="1">
        <f>SUM(OSRRefH22_12x_0)</f>
        <v>4044.74</v>
      </c>
      <c r="I230" s="1"/>
      <c r="J230" s="5">
        <f t="shared" si="85"/>
        <v>1.693383947318533E-3</v>
      </c>
      <c r="K230" s="1"/>
      <c r="L230" s="1">
        <f t="shared" si="86"/>
        <v>0</v>
      </c>
      <c r="M230" s="1"/>
      <c r="N230" s="5">
        <f t="shared" si="87"/>
        <v>0</v>
      </c>
      <c r="O230" s="13"/>
      <c r="P230" s="1">
        <f>SUM(OSRRefP22_12x_0)</f>
        <v>28313.18</v>
      </c>
      <c r="Q230" s="1"/>
      <c r="R230" s="5">
        <f t="shared" si="88"/>
        <v>5.3603399298359396E-3</v>
      </c>
      <c r="S230" s="1"/>
      <c r="T230" s="1">
        <f>SUM(OSRRefT22_12x_0)</f>
        <v>28313.18</v>
      </c>
      <c r="U230" s="1"/>
      <c r="V230" s="5">
        <f t="shared" si="89"/>
        <v>2.9843807214738221E-3</v>
      </c>
      <c r="W230" s="1"/>
      <c r="X230" s="1">
        <f t="shared" si="90"/>
        <v>0</v>
      </c>
      <c r="Y230" s="1"/>
      <c r="Z230" s="5">
        <f t="shared" si="91"/>
        <v>0</v>
      </c>
    </row>
    <row r="231" spans="1:26" s="24" customFormat="1" hidden="1" outlineLevel="2" x14ac:dyDescent="0.25">
      <c r="A231" s="25"/>
      <c r="B231" s="11" t="str">
        <f>CONCATENATE("          ", "6314", " - ", "LIABILITY INSURANCE")</f>
        <v xml:space="preserve">          6314 - LIABILITY INSURANCE</v>
      </c>
      <c r="C231" s="11"/>
      <c r="D231" s="6">
        <v>4044.74</v>
      </c>
      <c r="E231" s="2"/>
      <c r="F231" s="7">
        <f t="shared" si="84"/>
        <v>3.092272130039066E-3</v>
      </c>
      <c r="G231" s="2"/>
      <c r="H231" s="6">
        <v>4044.74</v>
      </c>
      <c r="I231" s="2"/>
      <c r="J231" s="7">
        <f t="shared" si="85"/>
        <v>1.693383947318533E-3</v>
      </c>
      <c r="K231" s="2"/>
      <c r="L231" s="6">
        <f t="shared" si="86"/>
        <v>0</v>
      </c>
      <c r="M231" s="2"/>
      <c r="N231" s="7">
        <f t="shared" si="87"/>
        <v>0</v>
      </c>
      <c r="O231" s="11"/>
      <c r="P231" s="6">
        <v>28313.18</v>
      </c>
      <c r="Q231" s="2"/>
      <c r="R231" s="7">
        <f t="shared" si="88"/>
        <v>5.3603399298359396E-3</v>
      </c>
      <c r="S231" s="2"/>
      <c r="T231" s="6">
        <v>28313.18</v>
      </c>
      <c r="U231" s="2"/>
      <c r="V231" s="7">
        <f t="shared" si="89"/>
        <v>2.9843807214738221E-3</v>
      </c>
      <c r="W231" s="2"/>
      <c r="X231" s="6">
        <f t="shared" si="90"/>
        <v>0</v>
      </c>
      <c r="Y231" s="2"/>
      <c r="Z231" s="7">
        <f t="shared" si="91"/>
        <v>0</v>
      </c>
    </row>
    <row r="232" spans="1:26" s="26" customFormat="1" outlineLevel="1" collapsed="1" x14ac:dyDescent="0.25">
      <c r="A232" s="27"/>
      <c r="B232" s="13" t="str">
        <f>CONCATENATE("     ","Inventory Adjustment                              ")</f>
        <v xml:space="preserve">     Inventory Adjustment                              </v>
      </c>
      <c r="C232" s="13"/>
      <c r="D232" s="1">
        <f>SUM(OSRRefD22_13x_0)</f>
        <v>3350</v>
      </c>
      <c r="E232" s="1"/>
      <c r="F232" s="5">
        <f t="shared" si="84"/>
        <v>2.5611316513869547E-3</v>
      </c>
      <c r="G232" s="1"/>
      <c r="H232" s="1">
        <f>SUM(OSRRefH22_13x_0)</f>
        <v>4250</v>
      </c>
      <c r="I232" s="1"/>
      <c r="J232" s="5">
        <f t="shared" si="85"/>
        <v>1.7793187636544661E-3</v>
      </c>
      <c r="K232" s="1"/>
      <c r="L232" s="1">
        <f t="shared" si="86"/>
        <v>-900</v>
      </c>
      <c r="M232" s="1"/>
      <c r="N232" s="5">
        <f t="shared" si="87"/>
        <v>-0.21176470588235294</v>
      </c>
      <c r="O232" s="13"/>
      <c r="P232" s="1">
        <f>SUM(OSRRefP22_13x_0)</f>
        <v>28450</v>
      </c>
      <c r="Q232" s="1"/>
      <c r="R232" s="5">
        <f t="shared" si="88"/>
        <v>5.3862431208303863E-3</v>
      </c>
      <c r="S232" s="1"/>
      <c r="T232" s="1">
        <f>SUM(OSRRefT22_13x_0)</f>
        <v>35450</v>
      </c>
      <c r="U232" s="1"/>
      <c r="V232" s="5">
        <f t="shared" si="89"/>
        <v>3.7366447914450795E-3</v>
      </c>
      <c r="W232" s="1"/>
      <c r="X232" s="1">
        <f t="shared" si="90"/>
        <v>-7000</v>
      </c>
      <c r="Y232" s="1"/>
      <c r="Z232" s="5">
        <f t="shared" si="91"/>
        <v>-0.19746121297602257</v>
      </c>
    </row>
    <row r="233" spans="1:26" s="24" customFormat="1" hidden="1" outlineLevel="2" x14ac:dyDescent="0.25">
      <c r="A233" s="25"/>
      <c r="B233" s="11" t="str">
        <f>CONCATENATE("          ", "6408", " - ", "INVENTORY ADJUSTMENT")</f>
        <v xml:space="preserve">          6408 - INVENTORY ADJUSTMENT</v>
      </c>
      <c r="C233" s="11"/>
      <c r="D233" s="6">
        <v>3350</v>
      </c>
      <c r="E233" s="2"/>
      <c r="F233" s="7">
        <f t="shared" si="84"/>
        <v>2.5611316513869547E-3</v>
      </c>
      <c r="G233" s="2"/>
      <c r="H233" s="6">
        <v>4250</v>
      </c>
      <c r="I233" s="2"/>
      <c r="J233" s="7">
        <f t="shared" si="85"/>
        <v>1.7793187636544661E-3</v>
      </c>
      <c r="K233" s="2"/>
      <c r="L233" s="6">
        <f t="shared" si="86"/>
        <v>-900</v>
      </c>
      <c r="M233" s="2"/>
      <c r="N233" s="7">
        <f t="shared" si="87"/>
        <v>-0.21176470588235294</v>
      </c>
      <c r="O233" s="11"/>
      <c r="P233" s="6">
        <v>28450</v>
      </c>
      <c r="Q233" s="2"/>
      <c r="R233" s="7">
        <f t="shared" si="88"/>
        <v>5.3862431208303863E-3</v>
      </c>
      <c r="S233" s="2"/>
      <c r="T233" s="6">
        <v>35450</v>
      </c>
      <c r="U233" s="2"/>
      <c r="V233" s="7">
        <f t="shared" si="89"/>
        <v>3.7366447914450795E-3</v>
      </c>
      <c r="W233" s="2"/>
      <c r="X233" s="6">
        <f t="shared" si="90"/>
        <v>-7000</v>
      </c>
      <c r="Y233" s="2"/>
      <c r="Z233" s="7">
        <f t="shared" si="91"/>
        <v>-0.19746121297602257</v>
      </c>
    </row>
    <row r="234" spans="1:26" s="26" customFormat="1" outlineLevel="1" collapsed="1" x14ac:dyDescent="0.25">
      <c r="A234" s="27"/>
      <c r="B234" s="13" t="str">
        <f>CONCATENATE("     ","Professional Services                             ")</f>
        <v xml:space="preserve">     Professional Services                             </v>
      </c>
      <c r="C234" s="13"/>
      <c r="D234" s="1">
        <f>SUM(OSRRefD22_14x_0)</f>
        <v>0</v>
      </c>
      <c r="E234" s="1"/>
      <c r="F234" s="5">
        <f t="shared" si="84"/>
        <v>0</v>
      </c>
      <c r="G234" s="1"/>
      <c r="H234" s="1">
        <f>SUM(OSRRefH22_14x_0)</f>
        <v>0</v>
      </c>
      <c r="I234" s="1"/>
      <c r="J234" s="5">
        <f t="shared" si="85"/>
        <v>0</v>
      </c>
      <c r="K234" s="1"/>
      <c r="L234" s="1">
        <f t="shared" si="86"/>
        <v>0</v>
      </c>
      <c r="M234" s="1"/>
      <c r="N234" s="5">
        <f t="shared" si="87"/>
        <v>0</v>
      </c>
      <c r="O234" s="13"/>
      <c r="P234" s="1">
        <f>SUM(OSRRefP22_14x_0)</f>
        <v>0</v>
      </c>
      <c r="Q234" s="1"/>
      <c r="R234" s="5">
        <f t="shared" si="88"/>
        <v>0</v>
      </c>
      <c r="S234" s="1"/>
      <c r="T234" s="1">
        <f>SUM(OSRRefT22_14x_0)</f>
        <v>6199.56</v>
      </c>
      <c r="U234" s="1"/>
      <c r="V234" s="5">
        <f t="shared" si="89"/>
        <v>6.5347118711569141E-4</v>
      </c>
      <c r="W234" s="1"/>
      <c r="X234" s="1">
        <f t="shared" si="90"/>
        <v>-6199.56</v>
      </c>
      <c r="Y234" s="1"/>
      <c r="Z234" s="5">
        <f t="shared" si="91"/>
        <v>-1</v>
      </c>
    </row>
    <row r="235" spans="1:26" s="24" customFormat="1" hidden="1" outlineLevel="2" x14ac:dyDescent="0.25">
      <c r="A235" s="25"/>
      <c r="B235" s="11" t="str">
        <f>CONCATENATE("          ", "6336", " - ", "PROFESSIONAL SERVICES")</f>
        <v xml:space="preserve">          6336 - PROFESSIONAL SERVICES</v>
      </c>
      <c r="C235" s="11"/>
      <c r="D235" s="6"/>
      <c r="E235" s="2"/>
      <c r="F235" s="7">
        <f t="shared" si="84"/>
        <v>0</v>
      </c>
      <c r="G235" s="2"/>
      <c r="H235" s="6"/>
      <c r="I235" s="2"/>
      <c r="J235" s="7">
        <f t="shared" si="85"/>
        <v>0</v>
      </c>
      <c r="K235" s="2"/>
      <c r="L235" s="6">
        <f t="shared" si="86"/>
        <v>0</v>
      </c>
      <c r="M235" s="2"/>
      <c r="N235" s="7">
        <f t="shared" si="87"/>
        <v>0</v>
      </c>
      <c r="O235" s="11"/>
      <c r="P235" s="6"/>
      <c r="Q235" s="2"/>
      <c r="R235" s="7">
        <f t="shared" si="88"/>
        <v>0</v>
      </c>
      <c r="S235" s="2"/>
      <c r="T235" s="6">
        <v>6199.56</v>
      </c>
      <c r="U235" s="2"/>
      <c r="V235" s="7">
        <f t="shared" si="89"/>
        <v>6.5347118711569141E-4</v>
      </c>
      <c r="W235" s="2"/>
      <c r="X235" s="6">
        <f t="shared" si="90"/>
        <v>-6199.56</v>
      </c>
      <c r="Y235" s="2"/>
      <c r="Z235" s="7">
        <f t="shared" si="91"/>
        <v>-1</v>
      </c>
    </row>
    <row r="236" spans="1:26" s="26" customFormat="1" outlineLevel="1" collapsed="1" x14ac:dyDescent="0.25">
      <c r="A236" s="27"/>
      <c r="B236" s="13" t="str">
        <f>CONCATENATE("     ","Rent                                              ")</f>
        <v xml:space="preserve">     Rent                                              </v>
      </c>
      <c r="C236" s="13"/>
      <c r="D236" s="1">
        <f>SUM(OSRRefD22_15x_0)</f>
        <v>6100</v>
      </c>
      <c r="E236" s="1"/>
      <c r="F236" s="5">
        <f t="shared" si="84"/>
        <v>4.6635531562568425E-3</v>
      </c>
      <c r="G236" s="1"/>
      <c r="H236" s="1">
        <f>SUM(OSRRefH22_15x_0)</f>
        <v>7700</v>
      </c>
      <c r="I236" s="1"/>
      <c r="J236" s="5">
        <f t="shared" si="85"/>
        <v>3.2237069365033859E-3</v>
      </c>
      <c r="K236" s="1"/>
      <c r="L236" s="1">
        <f t="shared" si="86"/>
        <v>-1600</v>
      </c>
      <c r="M236" s="1"/>
      <c r="N236" s="5">
        <f t="shared" si="87"/>
        <v>-0.20779220779220781</v>
      </c>
      <c r="O236" s="13"/>
      <c r="P236" s="1">
        <f>SUM(OSRRefP22_15x_0)</f>
        <v>42700</v>
      </c>
      <c r="Q236" s="1"/>
      <c r="R236" s="5">
        <f t="shared" si="88"/>
        <v>8.084097759559138E-3</v>
      </c>
      <c r="S236" s="1"/>
      <c r="T236" s="1">
        <f>SUM(OSRRefT22_15x_0)</f>
        <v>44300</v>
      </c>
      <c r="U236" s="1"/>
      <c r="V236" s="5">
        <f t="shared" si="89"/>
        <v>4.6694884135688869E-3</v>
      </c>
      <c r="W236" s="1"/>
      <c r="X236" s="1">
        <f t="shared" si="90"/>
        <v>-1600</v>
      </c>
      <c r="Y236" s="1"/>
      <c r="Z236" s="5">
        <f t="shared" si="91"/>
        <v>-3.6117381489841983E-2</v>
      </c>
    </row>
    <row r="237" spans="1:26" s="24" customFormat="1" hidden="1" outlineLevel="2" x14ac:dyDescent="0.25">
      <c r="A237" s="25"/>
      <c r="B237" s="11" t="str">
        <f>CONCATENATE("          ", "6273", " - ", "RENT")</f>
        <v xml:space="preserve">          6273 - RENT</v>
      </c>
      <c r="C237" s="11"/>
      <c r="D237" s="6">
        <v>6100</v>
      </c>
      <c r="E237" s="2"/>
      <c r="F237" s="7">
        <f t="shared" si="84"/>
        <v>4.6635531562568425E-3</v>
      </c>
      <c r="G237" s="2"/>
      <c r="H237" s="6">
        <v>7700</v>
      </c>
      <c r="I237" s="2"/>
      <c r="J237" s="7">
        <f t="shared" si="85"/>
        <v>3.2237069365033859E-3</v>
      </c>
      <c r="K237" s="2"/>
      <c r="L237" s="6">
        <f t="shared" si="86"/>
        <v>-1600</v>
      </c>
      <c r="M237" s="2"/>
      <c r="N237" s="7">
        <f t="shared" si="87"/>
        <v>-0.20779220779220781</v>
      </c>
      <c r="O237" s="11"/>
      <c r="P237" s="6">
        <v>42700</v>
      </c>
      <c r="Q237" s="2"/>
      <c r="R237" s="7">
        <f t="shared" si="88"/>
        <v>8.084097759559138E-3</v>
      </c>
      <c r="S237" s="2"/>
      <c r="T237" s="6">
        <v>44300</v>
      </c>
      <c r="U237" s="2"/>
      <c r="V237" s="7">
        <f t="shared" si="89"/>
        <v>4.6694884135688869E-3</v>
      </c>
      <c r="W237" s="2"/>
      <c r="X237" s="6">
        <f t="shared" si="90"/>
        <v>-1600</v>
      </c>
      <c r="Y237" s="2"/>
      <c r="Z237" s="7">
        <f t="shared" si="91"/>
        <v>-3.6117381489841983E-2</v>
      </c>
    </row>
    <row r="238" spans="1:26" s="26" customFormat="1" outlineLevel="1" collapsed="1" x14ac:dyDescent="0.25">
      <c r="A238" s="27"/>
      <c r="B238" s="13" t="str">
        <f>CONCATENATE("     ","Repair and Maintenance                            ")</f>
        <v xml:space="preserve">     Repair and Maintenance                            </v>
      </c>
      <c r="C238" s="13"/>
      <c r="D238" s="1">
        <f>SUM(OSRRefD22_16x_0)</f>
        <v>3697</v>
      </c>
      <c r="E238" s="1"/>
      <c r="F238" s="5">
        <f t="shared" si="84"/>
        <v>2.8264190194559917E-3</v>
      </c>
      <c r="G238" s="1"/>
      <c r="H238" s="1">
        <f>SUM(OSRRefH22_16x_0)</f>
        <v>19358.940000000002</v>
      </c>
      <c r="I238" s="1"/>
      <c r="J238" s="5">
        <f t="shared" si="85"/>
        <v>8.1048765144614097E-3</v>
      </c>
      <c r="K238" s="1"/>
      <c r="L238" s="1">
        <f t="shared" si="86"/>
        <v>-15661.940000000002</v>
      </c>
      <c r="M238" s="1"/>
      <c r="N238" s="5">
        <f t="shared" si="87"/>
        <v>-0.80902880013058565</v>
      </c>
      <c r="O238" s="13"/>
      <c r="P238" s="1">
        <f>SUM(OSRRefP22_16x_0)</f>
        <v>112827.31999999999</v>
      </c>
      <c r="Q238" s="1"/>
      <c r="R238" s="5">
        <f t="shared" si="88"/>
        <v>2.1360821658760232E-2</v>
      </c>
      <c r="S238" s="1"/>
      <c r="T238" s="1">
        <f>SUM(OSRRefT22_16x_0)</f>
        <v>101710.95999999999</v>
      </c>
      <c r="U238" s="1"/>
      <c r="V238" s="5">
        <f t="shared" si="89"/>
        <v>1.0720951450405608E-2</v>
      </c>
      <c r="W238" s="1"/>
      <c r="X238" s="1">
        <f t="shared" si="90"/>
        <v>11116.36</v>
      </c>
      <c r="Y238" s="1"/>
      <c r="Z238" s="5">
        <f t="shared" si="91"/>
        <v>0.10929362971306142</v>
      </c>
    </row>
    <row r="239" spans="1:26" s="24" customFormat="1" hidden="1" outlineLevel="2" x14ac:dyDescent="0.25">
      <c r="A239" s="25"/>
      <c r="B239" s="11" t="str">
        <f>CONCATENATE("          ", "6371", " - ", "COMPUTER SOFTWARE MAINTENANCE")</f>
        <v xml:space="preserve">          6371 - COMPUTER SOFTWARE MAINTENANCE</v>
      </c>
      <c r="C239" s="11"/>
      <c r="D239" s="6"/>
      <c r="E239" s="2"/>
      <c r="F239" s="7">
        <f t="shared" si="84"/>
        <v>0</v>
      </c>
      <c r="G239" s="2"/>
      <c r="H239" s="6">
        <v>601</v>
      </c>
      <c r="I239" s="2"/>
      <c r="J239" s="7">
        <f t="shared" si="85"/>
        <v>2.5161660634266686E-4</v>
      </c>
      <c r="K239" s="2"/>
      <c r="L239" s="6">
        <f t="shared" si="86"/>
        <v>-601</v>
      </c>
      <c r="M239" s="2"/>
      <c r="N239" s="7">
        <f t="shared" si="87"/>
        <v>-1</v>
      </c>
      <c r="O239" s="11"/>
      <c r="P239" s="6">
        <v>58436.47</v>
      </c>
      <c r="Q239" s="2"/>
      <c r="R239" s="7">
        <f t="shared" si="88"/>
        <v>1.1063375555118146E-2</v>
      </c>
      <c r="S239" s="2"/>
      <c r="T239" s="6">
        <v>14554.4</v>
      </c>
      <c r="U239" s="2"/>
      <c r="V239" s="7">
        <f t="shared" si="89"/>
        <v>1.5341219450665238E-3</v>
      </c>
      <c r="W239" s="2"/>
      <c r="X239" s="6">
        <f t="shared" si="90"/>
        <v>43882.07</v>
      </c>
      <c r="Y239" s="2"/>
      <c r="Z239" s="7">
        <f t="shared" si="91"/>
        <v>3.0150380640905845</v>
      </c>
    </row>
    <row r="240" spans="1:26" s="24" customFormat="1" hidden="1" outlineLevel="2" x14ac:dyDescent="0.25">
      <c r="A240" s="25"/>
      <c r="B240" s="11" t="str">
        <f>CONCATENATE("          ", "6372", " - ", "COMPUTER HARDWARE MAINTENANCE")</f>
        <v xml:space="preserve">          6372 - COMPUTER HARDWARE MAINTENANCE</v>
      </c>
      <c r="C240" s="11"/>
      <c r="D240" s="6"/>
      <c r="E240" s="2"/>
      <c r="F240" s="7">
        <f t="shared" si="84"/>
        <v>0</v>
      </c>
      <c r="G240" s="2"/>
      <c r="H240" s="6">
        <v>52.32</v>
      </c>
      <c r="I240" s="2"/>
      <c r="J240" s="7">
        <f t="shared" si="85"/>
        <v>2.1904460638682745E-5</v>
      </c>
      <c r="K240" s="2"/>
      <c r="L240" s="6">
        <f t="shared" si="86"/>
        <v>-52.32</v>
      </c>
      <c r="M240" s="2"/>
      <c r="N240" s="7">
        <f t="shared" si="87"/>
        <v>-1</v>
      </c>
      <c r="O240" s="11"/>
      <c r="P240" s="6">
        <v>0</v>
      </c>
      <c r="Q240" s="2"/>
      <c r="R240" s="7">
        <f t="shared" si="88"/>
        <v>0</v>
      </c>
      <c r="S240" s="2"/>
      <c r="T240" s="6">
        <v>52.32</v>
      </c>
      <c r="U240" s="2"/>
      <c r="V240" s="7">
        <f t="shared" si="89"/>
        <v>5.5148450067251501E-6</v>
      </c>
      <c r="W240" s="2"/>
      <c r="X240" s="6">
        <f t="shared" si="90"/>
        <v>-52.32</v>
      </c>
      <c r="Y240" s="2"/>
      <c r="Z240" s="7">
        <f t="shared" si="91"/>
        <v>-1</v>
      </c>
    </row>
    <row r="241" spans="1:26" s="24" customFormat="1" hidden="1" outlineLevel="2" x14ac:dyDescent="0.25">
      <c r="A241" s="25"/>
      <c r="B241" s="11" t="str">
        <f>CONCATENATE("          ", "6373", " - ", "MAINTENANCE CONTRACTS")</f>
        <v xml:space="preserve">          6373 - MAINTENANCE CONTRACTS</v>
      </c>
      <c r="C241" s="11"/>
      <c r="D241" s="6">
        <v>1122</v>
      </c>
      <c r="E241" s="2"/>
      <c r="F241" s="7">
        <f t="shared" si="84"/>
        <v>8.5778797398691439E-4</v>
      </c>
      <c r="G241" s="2"/>
      <c r="H241" s="6">
        <v>12841.11</v>
      </c>
      <c r="I241" s="2"/>
      <c r="J241" s="7">
        <f t="shared" si="85"/>
        <v>5.3761006986237656E-3</v>
      </c>
      <c r="K241" s="2"/>
      <c r="L241" s="6">
        <f t="shared" si="86"/>
        <v>-11719.11</v>
      </c>
      <c r="M241" s="2"/>
      <c r="N241" s="7">
        <f t="shared" si="87"/>
        <v>-0.91262437593011825</v>
      </c>
      <c r="O241" s="11"/>
      <c r="P241" s="6">
        <v>40054.18</v>
      </c>
      <c r="Q241" s="2"/>
      <c r="R241" s="7">
        <f t="shared" si="88"/>
        <v>7.5831828290158889E-3</v>
      </c>
      <c r="S241" s="2"/>
      <c r="T241" s="6">
        <v>52539.5</v>
      </c>
      <c r="U241" s="2"/>
      <c r="V241" s="7">
        <f t="shared" si="89"/>
        <v>5.537981636675E-3</v>
      </c>
      <c r="W241" s="2"/>
      <c r="X241" s="6">
        <f t="shared" si="90"/>
        <v>-12485.32</v>
      </c>
      <c r="Y241" s="2"/>
      <c r="Z241" s="7">
        <f t="shared" si="91"/>
        <v>-0.23763682562643343</v>
      </c>
    </row>
    <row r="242" spans="1:26" s="24" customFormat="1" hidden="1" outlineLevel="2" x14ac:dyDescent="0.25">
      <c r="A242" s="25"/>
      <c r="B242" s="11" t="str">
        <f>CONCATENATE("          ", "6375", " - ", "OUTSIDE REPAIRS &amp; MAINTENANCE")</f>
        <v xml:space="preserve">          6375 - OUTSIDE REPAIRS &amp; MAINTENANCE</v>
      </c>
      <c r="C242" s="11"/>
      <c r="D242" s="6">
        <v>2575</v>
      </c>
      <c r="E242" s="2"/>
      <c r="F242" s="7">
        <f t="shared" si="84"/>
        <v>1.9686310454690771E-3</v>
      </c>
      <c r="G242" s="2"/>
      <c r="H242" s="6">
        <v>5864.51</v>
      </c>
      <c r="I242" s="2"/>
      <c r="J242" s="7">
        <f t="shared" si="85"/>
        <v>2.4552547488562951E-3</v>
      </c>
      <c r="K242" s="2"/>
      <c r="L242" s="6">
        <f t="shared" si="86"/>
        <v>-3289.51</v>
      </c>
      <c r="M242" s="2"/>
      <c r="N242" s="7">
        <f t="shared" si="87"/>
        <v>-0.56091813297274629</v>
      </c>
      <c r="O242" s="11"/>
      <c r="P242" s="6">
        <v>14336.67</v>
      </c>
      <c r="Q242" s="2"/>
      <c r="R242" s="7">
        <f t="shared" si="88"/>
        <v>2.7142632746261996E-3</v>
      </c>
      <c r="S242" s="2"/>
      <c r="T242" s="6">
        <v>34564.74</v>
      </c>
      <c r="U242" s="2"/>
      <c r="V242" s="7">
        <f t="shared" si="89"/>
        <v>3.6433330236573594E-3</v>
      </c>
      <c r="W242" s="2"/>
      <c r="X242" s="6">
        <f t="shared" si="90"/>
        <v>-20228.07</v>
      </c>
      <c r="Y242" s="2"/>
      <c r="Z242" s="7">
        <f t="shared" si="91"/>
        <v>-0.58522268647182074</v>
      </c>
    </row>
    <row r="243" spans="1:26" s="26" customFormat="1" outlineLevel="1" collapsed="1" x14ac:dyDescent="0.25">
      <c r="A243" s="27"/>
      <c r="B243" s="13" t="str">
        <f>CONCATENATE("     ","Royalty &amp; Commissions                             ")</f>
        <v xml:space="preserve">     Royalty &amp; Commissions                             </v>
      </c>
      <c r="C243" s="13"/>
      <c r="D243" s="1">
        <f>SUM(OSRRefD22_17x_0)</f>
        <v>7789.59</v>
      </c>
      <c r="E243" s="1"/>
      <c r="F243" s="5">
        <f t="shared" ref="F243:F246" si="92">IF(D$12=0,0,D243/D$12)</f>
        <v>5.9552732836797937E-3</v>
      </c>
      <c r="G243" s="1"/>
      <c r="H243" s="1">
        <f>SUM(OSRRefH22_17x_0)</f>
        <v>8601.39</v>
      </c>
      <c r="I243" s="1"/>
      <c r="J243" s="5">
        <f t="shared" ref="J243:J246" si="93">IF(H$12=0,0,H243/H$12)</f>
        <v>3.6010857930611501E-3</v>
      </c>
      <c r="K243" s="1"/>
      <c r="L243" s="1">
        <f t="shared" ref="L243:L246" si="94">+D243-H243</f>
        <v>-811.79999999999927</v>
      </c>
      <c r="M243" s="1"/>
      <c r="N243" s="5">
        <f t="shared" ref="N243:N246" si="95">IF(H243=0,0,L243/H243)</f>
        <v>-9.4380094380094301E-2</v>
      </c>
      <c r="O243" s="13"/>
      <c r="P243" s="1">
        <f>SUM(OSRRefP22_17x_0)</f>
        <v>36365.65</v>
      </c>
      <c r="Q243" s="1"/>
      <c r="R243" s="5">
        <f t="shared" ref="R243:R246" si="96">IF(P$12=0,0,P243/P$12)</f>
        <v>6.8848587749393867E-3</v>
      </c>
      <c r="S243" s="1"/>
      <c r="T243" s="1">
        <f>SUM(OSRRefT22_17x_0)</f>
        <v>72092.160000000003</v>
      </c>
      <c r="U243" s="1"/>
      <c r="V243" s="5">
        <f t="shared" ref="V243:V246" si="97">IF(T$12=0,0,T243/T$12)</f>
        <v>7.5989504701840715E-3</v>
      </c>
      <c r="W243" s="1"/>
      <c r="X243" s="1">
        <f t="shared" ref="X243:X246" si="98">+P243-T243</f>
        <v>-35726.51</v>
      </c>
      <c r="Y243" s="1"/>
      <c r="Z243" s="5">
        <f t="shared" ref="Z243:Z246" si="99">IF(T243=0,0,X243/T243)</f>
        <v>-0.49556720175952557</v>
      </c>
    </row>
    <row r="244" spans="1:26" s="24" customFormat="1" hidden="1" outlineLevel="2" x14ac:dyDescent="0.25">
      <c r="A244" s="25"/>
      <c r="B244" s="11" t="str">
        <f>CONCATENATE("          ", "6253", " - ", "ROYALTY DUE ATHLETICS-LRG")</f>
        <v xml:space="preserve">          6253 - ROYALTY DUE ATHLETICS-LRG</v>
      </c>
      <c r="C244" s="11"/>
      <c r="D244" s="6">
        <v>7785.78</v>
      </c>
      <c r="E244" s="2"/>
      <c r="F244" s="7">
        <f t="shared" si="92"/>
        <v>5.95236047424941E-3</v>
      </c>
      <c r="G244" s="2"/>
      <c r="H244" s="6"/>
      <c r="I244" s="2"/>
      <c r="J244" s="7">
        <f t="shared" si="93"/>
        <v>0</v>
      </c>
      <c r="K244" s="2"/>
      <c r="L244" s="6">
        <f t="shared" si="94"/>
        <v>7785.78</v>
      </c>
      <c r="M244" s="2"/>
      <c r="N244" s="7">
        <f t="shared" si="95"/>
        <v>0</v>
      </c>
      <c r="O244" s="11"/>
      <c r="P244" s="6">
        <v>26197.58</v>
      </c>
      <c r="Q244" s="2"/>
      <c r="R244" s="7">
        <f t="shared" si="96"/>
        <v>4.9598079106293047E-3</v>
      </c>
      <c r="S244" s="2"/>
      <c r="T244" s="6">
        <v>4366.95</v>
      </c>
      <c r="U244" s="2"/>
      <c r="V244" s="7">
        <f t="shared" si="97"/>
        <v>4.6030298933712524E-4</v>
      </c>
      <c r="W244" s="2"/>
      <c r="X244" s="6">
        <f t="shared" si="98"/>
        <v>21830.63</v>
      </c>
      <c r="Y244" s="2"/>
      <c r="Z244" s="7">
        <f t="shared" si="99"/>
        <v>4.9990565497658555</v>
      </c>
    </row>
    <row r="245" spans="1:26" s="24" customFormat="1" hidden="1" outlineLevel="2" x14ac:dyDescent="0.25">
      <c r="A245" s="25"/>
      <c r="B245" s="11" t="str">
        <f>CONCATENATE("          ", "6254", " - ", "ROYALTY &amp; COMMISSIONS")</f>
        <v xml:space="preserve">          6254 - ROYALTY &amp; COMMISSIONS</v>
      </c>
      <c r="C245" s="11"/>
      <c r="D245" s="6"/>
      <c r="E245" s="2"/>
      <c r="F245" s="7">
        <f t="shared" si="92"/>
        <v>0</v>
      </c>
      <c r="G245" s="2"/>
      <c r="H245" s="6">
        <v>760.81</v>
      </c>
      <c r="I245" s="2"/>
      <c r="J245" s="7">
        <f t="shared" si="93"/>
        <v>3.1852317848845982E-4</v>
      </c>
      <c r="K245" s="2"/>
      <c r="L245" s="6">
        <f t="shared" si="94"/>
        <v>-760.81</v>
      </c>
      <c r="M245" s="2"/>
      <c r="N245" s="7">
        <f t="shared" si="95"/>
        <v>-1</v>
      </c>
      <c r="O245" s="11"/>
      <c r="P245" s="6"/>
      <c r="Q245" s="2"/>
      <c r="R245" s="7">
        <f t="shared" si="96"/>
        <v>0</v>
      </c>
      <c r="S245" s="2"/>
      <c r="T245" s="6">
        <v>3324.65</v>
      </c>
      <c r="U245" s="2"/>
      <c r="V245" s="7">
        <f t="shared" si="97"/>
        <v>3.5043825404451015E-4</v>
      </c>
      <c r="W245" s="2"/>
      <c r="X245" s="6">
        <f t="shared" si="98"/>
        <v>-3324.65</v>
      </c>
      <c r="Y245" s="2"/>
      <c r="Z245" s="7">
        <f t="shared" si="99"/>
        <v>-1</v>
      </c>
    </row>
    <row r="246" spans="1:26" s="24" customFormat="1" hidden="1" outlineLevel="2" x14ac:dyDescent="0.25">
      <c r="A246" s="25"/>
      <c r="B246" s="11" t="str">
        <f>CONCATENATE("          ", "6259", " - ", "ROYALTY &amp; COMMISSIONS")</f>
        <v xml:space="preserve">          6259 - ROYALTY &amp; COMMISSIONS</v>
      </c>
      <c r="C246" s="11"/>
      <c r="D246" s="6">
        <v>3.81</v>
      </c>
      <c r="E246" s="2"/>
      <c r="F246" s="7">
        <f t="shared" si="92"/>
        <v>2.9128094303833726E-6</v>
      </c>
      <c r="G246" s="2"/>
      <c r="H246" s="6">
        <v>7840.58</v>
      </c>
      <c r="I246" s="2"/>
      <c r="J246" s="7">
        <f t="shared" si="93"/>
        <v>3.2825626145726902E-3</v>
      </c>
      <c r="K246" s="2"/>
      <c r="L246" s="6">
        <f t="shared" si="94"/>
        <v>-7836.7699999999995</v>
      </c>
      <c r="M246" s="2"/>
      <c r="N246" s="7">
        <f t="shared" si="95"/>
        <v>-0.99951406656140229</v>
      </c>
      <c r="O246" s="11"/>
      <c r="P246" s="6">
        <v>10168.07</v>
      </c>
      <c r="Q246" s="2"/>
      <c r="R246" s="7">
        <f t="shared" si="96"/>
        <v>1.9250508643100818E-3</v>
      </c>
      <c r="S246" s="2"/>
      <c r="T246" s="6">
        <v>64400.56</v>
      </c>
      <c r="U246" s="2"/>
      <c r="V246" s="7">
        <f t="shared" si="97"/>
        <v>6.7882092268024352E-3</v>
      </c>
      <c r="W246" s="2"/>
      <c r="X246" s="6">
        <f t="shared" si="98"/>
        <v>-54232.49</v>
      </c>
      <c r="Y246" s="2"/>
      <c r="Z246" s="7">
        <f t="shared" si="99"/>
        <v>-0.84211208722408626</v>
      </c>
    </row>
    <row r="247" spans="1:26" s="26" customFormat="1" outlineLevel="1" collapsed="1" x14ac:dyDescent="0.25">
      <c r="A247" s="27"/>
      <c r="B247" s="13" t="str">
        <f>CONCATENATE("     ","Services                                          ")</f>
        <v xml:space="preserve">     Services                                          </v>
      </c>
      <c r="C247" s="13"/>
      <c r="D247" s="1">
        <f>SUM(OSRRefD22_18x_0)</f>
        <v>5545.57</v>
      </c>
      <c r="E247" s="1"/>
      <c r="F247" s="5">
        <f t="shared" ref="F247:F251" si="100">IF(D$12=0,0,D247/D$12)</f>
        <v>4.2396820453677476E-3</v>
      </c>
      <c r="G247" s="1"/>
      <c r="H247" s="1">
        <f>SUM(OSRRefH22_18x_0)</f>
        <v>4858.3</v>
      </c>
      <c r="I247" s="1"/>
      <c r="J247" s="5">
        <f t="shared" ref="J247:J251" si="101">IF(H$12=0,0,H247/H$12)</f>
        <v>2.0339916116382337E-3</v>
      </c>
      <c r="K247" s="1"/>
      <c r="L247" s="1">
        <f t="shared" ref="L247:L251" si="102">+D247-H247</f>
        <v>687.26999999999953</v>
      </c>
      <c r="M247" s="1"/>
      <c r="N247" s="5">
        <f t="shared" ref="N247:N251" si="103">IF(H247=0,0,L247/H247)</f>
        <v>0.14146306321141131</v>
      </c>
      <c r="O247" s="13"/>
      <c r="P247" s="1">
        <f>SUM(OSRRefP22_18x_0)</f>
        <v>24729.32</v>
      </c>
      <c r="Q247" s="1"/>
      <c r="R247" s="5">
        <f t="shared" ref="R247:R251" si="104">IF(P$12=0,0,P247/P$12)</f>
        <v>4.6818323280426464E-3</v>
      </c>
      <c r="S247" s="1"/>
      <c r="T247" s="1">
        <f>SUM(OSRRefT22_18x_0)</f>
        <v>32250.18</v>
      </c>
      <c r="U247" s="1"/>
      <c r="V247" s="5">
        <f t="shared" ref="V247:V251" si="105">IF(T$12=0,0,T247/T$12)</f>
        <v>3.39936437574517E-3</v>
      </c>
      <c r="W247" s="1"/>
      <c r="X247" s="1">
        <f t="shared" ref="X247:X251" si="106">+P247-T247</f>
        <v>-7520.8600000000006</v>
      </c>
      <c r="Y247" s="1"/>
      <c r="Z247" s="5">
        <f t="shared" ref="Z247:Z251" si="107">IF(T247=0,0,X247/T247)</f>
        <v>-0.23320365963848885</v>
      </c>
    </row>
    <row r="248" spans="1:26" s="24" customFormat="1" hidden="1" outlineLevel="2" x14ac:dyDescent="0.25">
      <c r="A248" s="25"/>
      <c r="B248" s="11" t="str">
        <f>CONCATENATE("          ", "6282", " - ", "JANITORIAL/EXTERMINATOR EXPENS")</f>
        <v xml:space="preserve">          6282 - JANITORIAL/EXTERMINATOR EXPENS</v>
      </c>
      <c r="C248" s="11"/>
      <c r="D248" s="6">
        <v>1613</v>
      </c>
      <c r="E248" s="2"/>
      <c r="F248" s="7">
        <f t="shared" si="100"/>
        <v>1.233165777220047E-3</v>
      </c>
      <c r="G248" s="2"/>
      <c r="H248" s="6">
        <v>287.52</v>
      </c>
      <c r="I248" s="2"/>
      <c r="J248" s="7">
        <f t="shared" si="101"/>
        <v>1.2037405433551343E-4</v>
      </c>
      <c r="K248" s="2"/>
      <c r="L248" s="6">
        <f t="shared" si="102"/>
        <v>1325.48</v>
      </c>
      <c r="M248" s="2"/>
      <c r="N248" s="7">
        <f t="shared" si="103"/>
        <v>4.6100445186421819</v>
      </c>
      <c r="O248" s="11"/>
      <c r="P248" s="6">
        <v>6953.12</v>
      </c>
      <c r="Q248" s="2"/>
      <c r="R248" s="7">
        <f t="shared" si="104"/>
        <v>1.3163864593429939E-3</v>
      </c>
      <c r="S248" s="2"/>
      <c r="T248" s="6">
        <v>1886.52</v>
      </c>
      <c r="U248" s="2"/>
      <c r="V248" s="7">
        <f t="shared" si="105"/>
        <v>1.9885063841909651E-4</v>
      </c>
      <c r="W248" s="2"/>
      <c r="X248" s="6">
        <f t="shared" si="106"/>
        <v>5066.6000000000004</v>
      </c>
      <c r="Y248" s="2"/>
      <c r="Z248" s="7">
        <f t="shared" si="107"/>
        <v>2.6856858130314021</v>
      </c>
    </row>
    <row r="249" spans="1:26" s="24" customFormat="1" hidden="1" outlineLevel="2" x14ac:dyDescent="0.25">
      <c r="A249" s="25"/>
      <c r="B249" s="11" t="str">
        <f>CONCATENATE("          ", "6283", " - ", "PLANT SERVICE")</f>
        <v xml:space="preserve">          6283 - PLANT SERVICE</v>
      </c>
      <c r="C249" s="11"/>
      <c r="D249" s="6"/>
      <c r="E249" s="2"/>
      <c r="F249" s="7">
        <f t="shared" si="100"/>
        <v>0</v>
      </c>
      <c r="G249" s="2"/>
      <c r="H249" s="6"/>
      <c r="I249" s="2"/>
      <c r="J249" s="7">
        <f t="shared" si="101"/>
        <v>0</v>
      </c>
      <c r="K249" s="2"/>
      <c r="L249" s="6">
        <f t="shared" si="102"/>
        <v>0</v>
      </c>
      <c r="M249" s="2"/>
      <c r="N249" s="7">
        <f t="shared" si="103"/>
        <v>0</v>
      </c>
      <c r="O249" s="11"/>
      <c r="P249" s="6">
        <v>171.31</v>
      </c>
      <c r="Q249" s="2"/>
      <c r="R249" s="7">
        <f t="shared" si="104"/>
        <v>3.2432945835833161E-5</v>
      </c>
      <c r="S249" s="2"/>
      <c r="T249" s="6">
        <v>541.98</v>
      </c>
      <c r="U249" s="2"/>
      <c r="V249" s="7">
        <f t="shared" si="105"/>
        <v>5.712797585521592E-5</v>
      </c>
      <c r="W249" s="2"/>
      <c r="X249" s="6">
        <f t="shared" si="106"/>
        <v>-370.67</v>
      </c>
      <c r="Y249" s="2"/>
      <c r="Z249" s="7">
        <f t="shared" si="107"/>
        <v>-0.68391822576478833</v>
      </c>
    </row>
    <row r="250" spans="1:26" s="24" customFormat="1" hidden="1" outlineLevel="2" x14ac:dyDescent="0.25">
      <c r="A250" s="25"/>
      <c r="B250" s="11" t="str">
        <f>CONCATENATE("          ", "6284", " - ", "TRASH REMOVAL EXPENSE")</f>
        <v xml:space="preserve">          6284 - TRASH REMOVAL EXPENSE</v>
      </c>
      <c r="C250" s="11"/>
      <c r="D250" s="6">
        <v>142.57</v>
      </c>
      <c r="E250" s="2"/>
      <c r="F250" s="7">
        <f t="shared" si="100"/>
        <v>1.0899717598156362E-4</v>
      </c>
      <c r="G250" s="2"/>
      <c r="H250" s="6">
        <v>134.82</v>
      </c>
      <c r="I250" s="2"/>
      <c r="J250" s="7">
        <f t="shared" si="101"/>
        <v>5.6444177815504736E-5</v>
      </c>
      <c r="K250" s="2"/>
      <c r="L250" s="6">
        <f t="shared" si="102"/>
        <v>7.75</v>
      </c>
      <c r="M250" s="2"/>
      <c r="N250" s="7">
        <f t="shared" si="103"/>
        <v>5.7484052811155616E-2</v>
      </c>
      <c r="O250" s="11"/>
      <c r="P250" s="6">
        <v>1013.01</v>
      </c>
      <c r="Q250" s="2"/>
      <c r="R250" s="7">
        <f t="shared" si="104"/>
        <v>1.917862264967448E-4</v>
      </c>
      <c r="S250" s="2"/>
      <c r="T250" s="6">
        <v>943.74</v>
      </c>
      <c r="U250" s="2"/>
      <c r="V250" s="7">
        <f t="shared" si="105"/>
        <v>9.9475914117866843E-5</v>
      </c>
      <c r="W250" s="2"/>
      <c r="X250" s="6">
        <f t="shared" si="106"/>
        <v>69.269999999999982</v>
      </c>
      <c r="Y250" s="2"/>
      <c r="Z250" s="7">
        <f t="shared" si="107"/>
        <v>7.3399453239239604E-2</v>
      </c>
    </row>
    <row r="251" spans="1:26" s="24" customFormat="1" hidden="1" outlineLevel="2" x14ac:dyDescent="0.25">
      <c r="A251" s="25"/>
      <c r="B251" s="11" t="str">
        <f>CONCATENATE("          ", "6285", " - ", "JANITORIAL SERVICES")</f>
        <v xml:space="preserve">          6285 - JANITORIAL SERVICES</v>
      </c>
      <c r="C251" s="11"/>
      <c r="D251" s="6">
        <v>3790</v>
      </c>
      <c r="E251" s="2"/>
      <c r="F251" s="7">
        <f t="shared" si="100"/>
        <v>2.897519092166137E-3</v>
      </c>
      <c r="G251" s="2"/>
      <c r="H251" s="6">
        <v>4435.96</v>
      </c>
      <c r="I251" s="2"/>
      <c r="J251" s="7">
        <f t="shared" si="101"/>
        <v>1.8571733794872155E-3</v>
      </c>
      <c r="K251" s="2"/>
      <c r="L251" s="6">
        <f t="shared" si="102"/>
        <v>-645.96</v>
      </c>
      <c r="M251" s="2"/>
      <c r="N251" s="7">
        <f t="shared" si="103"/>
        <v>-0.14561898664550627</v>
      </c>
      <c r="O251" s="11"/>
      <c r="P251" s="6">
        <v>16591.88</v>
      </c>
      <c r="Q251" s="2"/>
      <c r="R251" s="7">
        <f t="shared" si="104"/>
        <v>3.1412266963670747E-3</v>
      </c>
      <c r="S251" s="2"/>
      <c r="T251" s="6">
        <v>28877.94</v>
      </c>
      <c r="U251" s="2"/>
      <c r="V251" s="7">
        <f t="shared" si="105"/>
        <v>3.0439098473529907E-3</v>
      </c>
      <c r="W251" s="2"/>
      <c r="X251" s="6">
        <f t="shared" si="106"/>
        <v>-12286.059999999998</v>
      </c>
      <c r="Y251" s="2"/>
      <c r="Z251" s="7">
        <f t="shared" si="107"/>
        <v>-0.425447937075844</v>
      </c>
    </row>
    <row r="252" spans="1:26" s="26" customFormat="1" outlineLevel="1" collapsed="1" x14ac:dyDescent="0.25">
      <c r="A252" s="27"/>
      <c r="B252" s="13" t="str">
        <f>CONCATENATE("     ","Subscriptions &amp; Dues                              ")</f>
        <v xml:space="preserve">     Subscriptions &amp; Dues                              </v>
      </c>
      <c r="C252" s="13"/>
      <c r="D252" s="1">
        <f>SUM(OSRRefD22_19x_0)</f>
        <v>2389.69</v>
      </c>
      <c r="E252" s="1"/>
      <c r="F252" s="5">
        <f t="shared" ref="F252:F254" si="108">IF(D$12=0,0,D252/D$12)</f>
        <v>1.8269584167172812E-3</v>
      </c>
      <c r="G252" s="1"/>
      <c r="H252" s="1">
        <f>SUM(OSRRefH22_19x_0)</f>
        <v>333.1</v>
      </c>
      <c r="I252" s="1"/>
      <c r="J252" s="5">
        <f t="shared" ref="J252:J254" si="109">IF(H$12=0,0,H252/H$12)</f>
        <v>1.3945672474665946E-4</v>
      </c>
      <c r="K252" s="1"/>
      <c r="L252" s="1">
        <f t="shared" ref="L252:L254" si="110">+D252-H252</f>
        <v>2056.59</v>
      </c>
      <c r="M252" s="1"/>
      <c r="N252" s="5">
        <f t="shared" ref="N252:N254" si="111">IF(H252=0,0,L252/H252)</f>
        <v>6.1740918643050131</v>
      </c>
      <c r="O252" s="13"/>
      <c r="P252" s="1">
        <f>SUM(OSRRefP22_19x_0)</f>
        <v>3845.13</v>
      </c>
      <c r="Q252" s="1"/>
      <c r="R252" s="5">
        <f t="shared" ref="R252:R254" si="112">IF(P$12=0,0,P252/P$12)</f>
        <v>7.2797205663263772E-4</v>
      </c>
      <c r="S252" s="1"/>
      <c r="T252" s="1">
        <f>SUM(OSRRefT22_19x_0)</f>
        <v>-2199.14</v>
      </c>
      <c r="U252" s="1"/>
      <c r="V252" s="5">
        <f t="shared" ref="V252:V254" si="113">IF(T$12=0,0,T252/T$12)</f>
        <v>-2.3180268058275126E-4</v>
      </c>
      <c r="W252" s="1"/>
      <c r="X252" s="1">
        <f t="shared" ref="X252:X254" si="114">+P252-T252</f>
        <v>6044.27</v>
      </c>
      <c r="Y252" s="1"/>
      <c r="Z252" s="5">
        <f t="shared" ref="Z252:Z254" si="115">IF(T252=0,0,X252/T252)</f>
        <v>-2.7484698563984105</v>
      </c>
    </row>
    <row r="253" spans="1:26" s="24" customFormat="1" hidden="1" outlineLevel="2" x14ac:dyDescent="0.25">
      <c r="A253" s="25"/>
      <c r="B253" s="11" t="str">
        <f>CONCATENATE("          ", "6258", " - ", "MEMBERSHIP DUES")</f>
        <v xml:space="preserve">          6258 - MEMBERSHIP DUES</v>
      </c>
      <c r="C253" s="11"/>
      <c r="D253" s="6">
        <v>462.61</v>
      </c>
      <c r="E253" s="2"/>
      <c r="F253" s="7">
        <f t="shared" si="108"/>
        <v>3.5367316813376693E-4</v>
      </c>
      <c r="G253" s="2"/>
      <c r="H253" s="6">
        <v>258.10000000000002</v>
      </c>
      <c r="I253" s="2"/>
      <c r="J253" s="7">
        <f t="shared" si="109"/>
        <v>1.0805698185863947E-4</v>
      </c>
      <c r="K253" s="2"/>
      <c r="L253" s="6">
        <f t="shared" si="110"/>
        <v>204.51</v>
      </c>
      <c r="M253" s="2"/>
      <c r="N253" s="7">
        <f t="shared" si="111"/>
        <v>0.79236729949631912</v>
      </c>
      <c r="O253" s="11"/>
      <c r="P253" s="6">
        <v>1692.32</v>
      </c>
      <c r="Q253" s="2"/>
      <c r="R253" s="7">
        <f t="shared" si="112"/>
        <v>3.2039532366410123E-4</v>
      </c>
      <c r="S253" s="2"/>
      <c r="T253" s="6">
        <v>-3064.5</v>
      </c>
      <c r="U253" s="2"/>
      <c r="V253" s="7">
        <f t="shared" si="113"/>
        <v>-3.2301686779643006E-4</v>
      </c>
      <c r="W253" s="2"/>
      <c r="X253" s="6">
        <f t="shared" si="114"/>
        <v>4756.82</v>
      </c>
      <c r="Y253" s="2"/>
      <c r="Z253" s="7">
        <f t="shared" si="115"/>
        <v>-1.5522336433349648</v>
      </c>
    </row>
    <row r="254" spans="1:26" s="24" customFormat="1" hidden="1" outlineLevel="2" x14ac:dyDescent="0.25">
      <c r="A254" s="25"/>
      <c r="B254" s="11" t="str">
        <f>CONCATENATE("          ", "6275", " - ", "SUBSCRIPTIONS")</f>
        <v xml:space="preserve">          6275 - SUBSCRIPTIONS</v>
      </c>
      <c r="C254" s="11"/>
      <c r="D254" s="6">
        <v>1927.08</v>
      </c>
      <c r="E254" s="2"/>
      <c r="F254" s="7">
        <f t="shared" si="108"/>
        <v>1.4732852485835142E-3</v>
      </c>
      <c r="G254" s="2"/>
      <c r="H254" s="6">
        <v>75</v>
      </c>
      <c r="I254" s="2"/>
      <c r="J254" s="7">
        <f t="shared" si="109"/>
        <v>3.1399742888019989E-5</v>
      </c>
      <c r="K254" s="2"/>
      <c r="L254" s="6">
        <f t="shared" si="110"/>
        <v>1852.08</v>
      </c>
      <c r="M254" s="2"/>
      <c r="N254" s="7">
        <f t="shared" si="111"/>
        <v>24.694399999999998</v>
      </c>
      <c r="O254" s="11"/>
      <c r="P254" s="6">
        <v>2152.81</v>
      </c>
      <c r="Q254" s="2"/>
      <c r="R254" s="7">
        <f t="shared" si="112"/>
        <v>4.0757673296853649E-4</v>
      </c>
      <c r="S254" s="2"/>
      <c r="T254" s="6">
        <v>865.36</v>
      </c>
      <c r="U254" s="2"/>
      <c r="V254" s="7">
        <f t="shared" si="113"/>
        <v>9.1214187213678816E-5</v>
      </c>
      <c r="W254" s="2"/>
      <c r="X254" s="6">
        <f t="shared" si="114"/>
        <v>1287.4499999999998</v>
      </c>
      <c r="Y254" s="2"/>
      <c r="Z254" s="7">
        <f t="shared" si="115"/>
        <v>1.487762318572617</v>
      </c>
    </row>
    <row r="255" spans="1:26" s="26" customFormat="1" outlineLevel="1" collapsed="1" x14ac:dyDescent="0.25">
      <c r="A255" s="27"/>
      <c r="B255" s="13" t="str">
        <f>CONCATENATE("     ","Supplies                                          ")</f>
        <v xml:space="preserve">     Supplies                                          </v>
      </c>
      <c r="C255" s="13"/>
      <c r="D255" s="1">
        <f>SUM(OSRRefD22_20x_0)</f>
        <v>12992.79</v>
      </c>
      <c r="E255" s="1"/>
      <c r="F255" s="5">
        <f t="shared" ref="F255:F262" si="116">IF(D$12=0,0,D255/D$12)</f>
        <v>9.9332076742757944E-3</v>
      </c>
      <c r="G255" s="1"/>
      <c r="H255" s="1">
        <f>SUM(OSRRefH22_20x_0)</f>
        <v>11416.63</v>
      </c>
      <c r="I255" s="1"/>
      <c r="J255" s="5">
        <f t="shared" ref="J255:J262" si="117">IF(H$12=0,0,H255/H$12)</f>
        <v>4.7797232886354086E-3</v>
      </c>
      <c r="K255" s="1"/>
      <c r="L255" s="1">
        <f t="shared" ref="L255:L262" si="118">+D255-H255</f>
        <v>1576.1600000000017</v>
      </c>
      <c r="M255" s="1"/>
      <c r="N255" s="5">
        <f t="shared" ref="N255:N262" si="119">IF(H255=0,0,L255/H255)</f>
        <v>0.13805825361774901</v>
      </c>
      <c r="O255" s="13"/>
      <c r="P255" s="1">
        <f>SUM(OSRRefP22_20x_0)</f>
        <v>93072.459999999992</v>
      </c>
      <c r="Q255" s="1"/>
      <c r="R255" s="5">
        <f t="shared" ref="R255:R262" si="120">IF(P$12=0,0,P255/P$12)</f>
        <v>1.7620769680624298E-2</v>
      </c>
      <c r="S255" s="1"/>
      <c r="T255" s="1">
        <f>SUM(OSRRefT22_20x_0)</f>
        <v>64886.97</v>
      </c>
      <c r="U255" s="1"/>
      <c r="V255" s="5">
        <f t="shared" ref="V255:V262" si="121">IF(T$12=0,0,T255/T$12)</f>
        <v>6.8394797879591856E-3</v>
      </c>
      <c r="W255" s="1"/>
      <c r="X255" s="1">
        <f t="shared" ref="X255:X262" si="122">+P255-T255</f>
        <v>28185.489999999991</v>
      </c>
      <c r="Y255" s="1"/>
      <c r="Z255" s="5">
        <f t="shared" ref="Z255:Z262" si="123">IF(T255=0,0,X255/T255)</f>
        <v>0.43437827348079266</v>
      </c>
    </row>
    <row r="256" spans="1:26" s="24" customFormat="1" hidden="1" outlineLevel="2" x14ac:dyDescent="0.25">
      <c r="A256" s="25"/>
      <c r="B256" s="11" t="str">
        <f>CONCATENATE("          ", "6234", " - ", "EXPENDABLE SUPPLIES &amp; EQUIPMEN")</f>
        <v xml:space="preserve">          6234 - EXPENDABLE SUPPLIES &amp; EQUIPMEN</v>
      </c>
      <c r="C256" s="11"/>
      <c r="D256" s="6">
        <v>396.5</v>
      </c>
      <c r="E256" s="2"/>
      <c r="F256" s="7">
        <f t="shared" si="116"/>
        <v>3.0313095515669476E-4</v>
      </c>
      <c r="G256" s="2"/>
      <c r="H256" s="6">
        <v>1338.2</v>
      </c>
      <c r="I256" s="2"/>
      <c r="J256" s="7">
        <f t="shared" si="117"/>
        <v>5.6025514576997807E-4</v>
      </c>
      <c r="K256" s="2"/>
      <c r="L256" s="6">
        <f t="shared" si="118"/>
        <v>-941.7</v>
      </c>
      <c r="M256" s="2"/>
      <c r="N256" s="7">
        <f t="shared" si="119"/>
        <v>-0.70370647137946496</v>
      </c>
      <c r="O256" s="11"/>
      <c r="P256" s="6">
        <v>-52.84</v>
      </c>
      <c r="Q256" s="2"/>
      <c r="R256" s="7">
        <f t="shared" si="120"/>
        <v>-1.0003834323538758E-5</v>
      </c>
      <c r="S256" s="2"/>
      <c r="T256" s="6">
        <v>3160.95</v>
      </c>
      <c r="U256" s="2"/>
      <c r="V256" s="7">
        <f t="shared" si="121"/>
        <v>3.3318328218669461E-4</v>
      </c>
      <c r="W256" s="2"/>
      <c r="X256" s="6">
        <f t="shared" si="122"/>
        <v>-3213.79</v>
      </c>
      <c r="Y256" s="2"/>
      <c r="Z256" s="7">
        <f t="shared" si="123"/>
        <v>-1.016716493459245</v>
      </c>
    </row>
    <row r="257" spans="1:26" s="24" customFormat="1" hidden="1" outlineLevel="2" x14ac:dyDescent="0.25">
      <c r="A257" s="25"/>
      <c r="B257" s="11" t="str">
        <f>CONCATENATE("          ", "6235", " - ", "COVID-19 EXPENSES")</f>
        <v xml:space="preserve">          6235 - COVID-19 EXPENSES</v>
      </c>
      <c r="C257" s="11"/>
      <c r="D257" s="6">
        <v>2921.2</v>
      </c>
      <c r="E257" s="2"/>
      <c r="F257" s="7">
        <f t="shared" si="116"/>
        <v>2.2333068000094242E-3</v>
      </c>
      <c r="G257" s="2"/>
      <c r="H257" s="6"/>
      <c r="I257" s="2"/>
      <c r="J257" s="7">
        <f t="shared" si="117"/>
        <v>0</v>
      </c>
      <c r="K257" s="2"/>
      <c r="L257" s="6">
        <f t="shared" si="118"/>
        <v>2921.2</v>
      </c>
      <c r="M257" s="2"/>
      <c r="N257" s="7">
        <f t="shared" si="119"/>
        <v>0</v>
      </c>
      <c r="O257" s="11"/>
      <c r="P257" s="6">
        <v>34967.15</v>
      </c>
      <c r="Q257" s="2"/>
      <c r="R257" s="7">
        <f t="shared" si="120"/>
        <v>6.6200903740788845E-3</v>
      </c>
      <c r="S257" s="2"/>
      <c r="T257" s="6"/>
      <c r="U257" s="2"/>
      <c r="V257" s="7">
        <f t="shared" si="121"/>
        <v>0</v>
      </c>
      <c r="W257" s="2"/>
      <c r="X257" s="6">
        <f t="shared" si="122"/>
        <v>34967.15</v>
      </c>
      <c r="Y257" s="2"/>
      <c r="Z257" s="7">
        <f t="shared" si="123"/>
        <v>0</v>
      </c>
    </row>
    <row r="258" spans="1:26" s="24" customFormat="1" hidden="1" outlineLevel="2" x14ac:dyDescent="0.25">
      <c r="A258" s="25"/>
      <c r="B258" s="11" t="str">
        <f>CONCATENATE("          ", "6237", " - ", "JANITORIAL SUPPLIES")</f>
        <v xml:space="preserve">          6237 - JANITORIAL SUPPLIES</v>
      </c>
      <c r="C258" s="11"/>
      <c r="D258" s="6">
        <v>329.77</v>
      </c>
      <c r="E258" s="2"/>
      <c r="F258" s="7">
        <f t="shared" si="116"/>
        <v>2.5211474169488835E-4</v>
      </c>
      <c r="G258" s="2"/>
      <c r="H258" s="6">
        <v>792.65</v>
      </c>
      <c r="I258" s="2"/>
      <c r="J258" s="7">
        <f t="shared" si="117"/>
        <v>3.3185341600252058E-4</v>
      </c>
      <c r="K258" s="2"/>
      <c r="L258" s="6">
        <f t="shared" si="118"/>
        <v>-462.88</v>
      </c>
      <c r="M258" s="2"/>
      <c r="N258" s="7">
        <f t="shared" si="119"/>
        <v>-0.58396518009209619</v>
      </c>
      <c r="O258" s="11"/>
      <c r="P258" s="6">
        <v>2263.65</v>
      </c>
      <c r="Q258" s="2"/>
      <c r="R258" s="7">
        <f t="shared" si="120"/>
        <v>4.2856130897953265E-4</v>
      </c>
      <c r="S258" s="2"/>
      <c r="T258" s="6">
        <v>3782.13</v>
      </c>
      <c r="U258" s="2"/>
      <c r="V258" s="7">
        <f t="shared" si="121"/>
        <v>3.9865941791447613E-4</v>
      </c>
      <c r="W258" s="2"/>
      <c r="X258" s="6">
        <f t="shared" si="122"/>
        <v>-1518.48</v>
      </c>
      <c r="Y258" s="2"/>
      <c r="Z258" s="7">
        <f t="shared" si="123"/>
        <v>-0.40148805038430724</v>
      </c>
    </row>
    <row r="259" spans="1:26" s="24" customFormat="1" hidden="1" outlineLevel="2" x14ac:dyDescent="0.25">
      <c r="A259" s="25"/>
      <c r="B259" s="11" t="str">
        <f>CONCATENATE("          ", "6241", " - ", "OFFICE EXPENSE")</f>
        <v xml:space="preserve">          6241 - OFFICE EXPENSE</v>
      </c>
      <c r="C259" s="11"/>
      <c r="D259" s="6">
        <v>-239.51</v>
      </c>
      <c r="E259" s="2"/>
      <c r="F259" s="7">
        <f t="shared" si="116"/>
        <v>-1.8310944532050433E-4</v>
      </c>
      <c r="G259" s="2"/>
      <c r="H259" s="6">
        <v>4330.29</v>
      </c>
      <c r="I259" s="2"/>
      <c r="J259" s="7">
        <f t="shared" si="117"/>
        <v>1.8129332350741878E-3</v>
      </c>
      <c r="K259" s="2"/>
      <c r="L259" s="6">
        <f t="shared" si="118"/>
        <v>-4569.8</v>
      </c>
      <c r="M259" s="2"/>
      <c r="N259" s="7">
        <f t="shared" si="119"/>
        <v>-1.0553103833692432</v>
      </c>
      <c r="O259" s="11"/>
      <c r="P259" s="6">
        <v>10633.61</v>
      </c>
      <c r="Q259" s="2"/>
      <c r="R259" s="7">
        <f t="shared" si="120"/>
        <v>2.0131883554338563E-3</v>
      </c>
      <c r="S259" s="2"/>
      <c r="T259" s="6">
        <v>22517.769999999997</v>
      </c>
      <c r="U259" s="2"/>
      <c r="V259" s="7">
        <f t="shared" si="121"/>
        <v>2.3735093931017844E-3</v>
      </c>
      <c r="W259" s="2"/>
      <c r="X259" s="6">
        <f t="shared" si="122"/>
        <v>-11884.159999999996</v>
      </c>
      <c r="Y259" s="2"/>
      <c r="Z259" s="7">
        <f t="shared" si="123"/>
        <v>-0.5277680693958593</v>
      </c>
    </row>
    <row r="260" spans="1:26" s="24" customFormat="1" hidden="1" outlineLevel="2" x14ac:dyDescent="0.25">
      <c r="A260" s="25"/>
      <c r="B260" s="11" t="str">
        <f>CONCATENATE("          ", "6243", " - ", "PAPER SUPPLIES")</f>
        <v xml:space="preserve">          6243 - PAPER SUPPLIES</v>
      </c>
      <c r="C260" s="11"/>
      <c r="D260" s="6">
        <v>1080</v>
      </c>
      <c r="E260" s="2"/>
      <c r="F260" s="7">
        <f t="shared" si="116"/>
        <v>8.2567826373071971E-4</v>
      </c>
      <c r="G260" s="2"/>
      <c r="H260" s="6">
        <v>2294.33</v>
      </c>
      <c r="I260" s="2"/>
      <c r="J260" s="7">
        <f t="shared" si="117"/>
        <v>9.6055162800361203E-4</v>
      </c>
      <c r="K260" s="2"/>
      <c r="L260" s="6">
        <f t="shared" si="118"/>
        <v>-1214.33</v>
      </c>
      <c r="M260" s="2"/>
      <c r="N260" s="7">
        <f t="shared" si="119"/>
        <v>-0.52927434152889952</v>
      </c>
      <c r="O260" s="11"/>
      <c r="P260" s="6">
        <v>6173.4</v>
      </c>
      <c r="Q260" s="2"/>
      <c r="R260" s="7">
        <f t="shared" si="120"/>
        <v>1.1687674264370582E-3</v>
      </c>
      <c r="S260" s="2"/>
      <c r="T260" s="6">
        <v>11852.83</v>
      </c>
      <c r="U260" s="2"/>
      <c r="V260" s="7">
        <f t="shared" si="121"/>
        <v>1.2493600982618894E-3</v>
      </c>
      <c r="W260" s="2"/>
      <c r="X260" s="6">
        <f t="shared" si="122"/>
        <v>-5679.43</v>
      </c>
      <c r="Y260" s="2"/>
      <c r="Z260" s="7">
        <f t="shared" si="123"/>
        <v>-0.47916236038144477</v>
      </c>
    </row>
    <row r="261" spans="1:26" s="24" customFormat="1" hidden="1" outlineLevel="2" x14ac:dyDescent="0.25">
      <c r="A261" s="25"/>
      <c r="B261" s="11" t="str">
        <f>CONCATENATE("          ", "6245", " - ", "PRINTING")</f>
        <v xml:space="preserve">          6245 - PRINTING</v>
      </c>
      <c r="C261" s="11"/>
      <c r="D261" s="6"/>
      <c r="E261" s="2"/>
      <c r="F261" s="7">
        <f t="shared" si="116"/>
        <v>0</v>
      </c>
      <c r="G261" s="2"/>
      <c r="H261" s="6">
        <v>926.39</v>
      </c>
      <c r="I261" s="2"/>
      <c r="J261" s="7">
        <f t="shared" si="117"/>
        <v>3.8784543752043785E-4</v>
      </c>
      <c r="K261" s="2"/>
      <c r="L261" s="6">
        <f t="shared" si="118"/>
        <v>-926.39</v>
      </c>
      <c r="M261" s="2"/>
      <c r="N261" s="7">
        <f t="shared" si="119"/>
        <v>-1</v>
      </c>
      <c r="O261" s="11"/>
      <c r="P261" s="6">
        <v>508.27</v>
      </c>
      <c r="Q261" s="2"/>
      <c r="R261" s="7">
        <f t="shared" si="120"/>
        <v>9.6227268577309683E-5</v>
      </c>
      <c r="S261" s="2"/>
      <c r="T261" s="6">
        <v>6520.2</v>
      </c>
      <c r="U261" s="2"/>
      <c r="V261" s="7">
        <f t="shared" si="121"/>
        <v>6.8726858587250231E-4</v>
      </c>
      <c r="W261" s="2"/>
      <c r="X261" s="6">
        <f t="shared" si="122"/>
        <v>-6011.93</v>
      </c>
      <c r="Y261" s="2"/>
      <c r="Z261" s="7">
        <f t="shared" si="123"/>
        <v>-0.92204686972792249</v>
      </c>
    </row>
    <row r="262" spans="1:26" s="24" customFormat="1" hidden="1" outlineLevel="2" x14ac:dyDescent="0.25">
      <c r="A262" s="25"/>
      <c r="B262" s="11" t="str">
        <f>CONCATENATE("          ", "6247", " - ", "STORE SUPPLIES")</f>
        <v xml:space="preserve">          6247 - STORE SUPPLIES</v>
      </c>
      <c r="C262" s="11"/>
      <c r="D262" s="6">
        <v>8504.83</v>
      </c>
      <c r="E262" s="2"/>
      <c r="F262" s="7">
        <f t="shared" si="116"/>
        <v>6.5020863590045715E-3</v>
      </c>
      <c r="G262" s="2"/>
      <c r="H262" s="6">
        <v>1734.77</v>
      </c>
      <c r="I262" s="2"/>
      <c r="J262" s="7">
        <f t="shared" si="117"/>
        <v>7.2628442626467254E-4</v>
      </c>
      <c r="K262" s="2"/>
      <c r="L262" s="6">
        <f t="shared" si="118"/>
        <v>6770.0599999999995</v>
      </c>
      <c r="M262" s="2"/>
      <c r="N262" s="7">
        <f t="shared" si="119"/>
        <v>3.9025692166684918</v>
      </c>
      <c r="O262" s="11"/>
      <c r="P262" s="6">
        <v>38579.219999999994</v>
      </c>
      <c r="Q262" s="2"/>
      <c r="R262" s="7">
        <f t="shared" si="120"/>
        <v>7.3039387814411959E-3</v>
      </c>
      <c r="S262" s="2"/>
      <c r="T262" s="6">
        <v>17053.09</v>
      </c>
      <c r="U262" s="2"/>
      <c r="V262" s="7">
        <f t="shared" si="121"/>
        <v>1.7974990106218384E-3</v>
      </c>
      <c r="W262" s="2"/>
      <c r="X262" s="6">
        <f t="shared" si="122"/>
        <v>21526.129999999994</v>
      </c>
      <c r="Y262" s="2"/>
      <c r="Z262" s="7">
        <f t="shared" si="123"/>
        <v>1.2623008498753008</v>
      </c>
    </row>
    <row r="263" spans="1:26" s="26" customFormat="1" outlineLevel="1" collapsed="1" x14ac:dyDescent="0.25">
      <c r="A263" s="27"/>
      <c r="B263" s="13" t="str">
        <f>CONCATENATE("     ","Telephone/Data Lines                              ")</f>
        <v xml:space="preserve">     Telephone/Data Lines                              </v>
      </c>
      <c r="C263" s="13"/>
      <c r="D263" s="1">
        <f>SUM(OSRRefD22_21x_0)</f>
        <v>2389.2600000000002</v>
      </c>
      <c r="E263" s="1"/>
      <c r="F263" s="5">
        <f t="shared" ref="F263:F265" si="124">IF(D$12=0,0,D263/D$12)</f>
        <v>1.8266296744456107E-3</v>
      </c>
      <c r="G263" s="1"/>
      <c r="H263" s="1">
        <f>SUM(OSRRefH22_21x_0)</f>
        <v>2846.58</v>
      </c>
      <c r="I263" s="1"/>
      <c r="J263" s="5">
        <f t="shared" ref="J263:J265" si="125">IF(H$12=0,0,H263/H$12)</f>
        <v>1.1917584014690659E-3</v>
      </c>
      <c r="K263" s="1"/>
      <c r="L263" s="1">
        <f t="shared" ref="L263:L265" si="126">+D263-H263</f>
        <v>-457.31999999999971</v>
      </c>
      <c r="M263" s="1"/>
      <c r="N263" s="5">
        <f t="shared" ref="N263:N265" si="127">IF(H263=0,0,L263/H263)</f>
        <v>-0.16065594502877126</v>
      </c>
      <c r="O263" s="13"/>
      <c r="P263" s="1">
        <f>SUM(OSRRefP22_21x_0)</f>
        <v>19270.75</v>
      </c>
      <c r="Q263" s="1"/>
      <c r="R263" s="5">
        <f t="shared" ref="R263:R265" si="128">IF(P$12=0,0,P263/P$12)</f>
        <v>3.6483987564408494E-3</v>
      </c>
      <c r="S263" s="1"/>
      <c r="T263" s="1">
        <f>SUM(OSRRefT22_21x_0)</f>
        <v>20437.990000000002</v>
      </c>
      <c r="U263" s="1"/>
      <c r="V263" s="5">
        <f t="shared" ref="V263:V265" si="129">IF(T$12=0,0,T263/T$12)</f>
        <v>2.1542879797209202E-3</v>
      </c>
      <c r="W263" s="1"/>
      <c r="X263" s="1">
        <f t="shared" ref="X263:X265" si="130">+P263-T263</f>
        <v>-1167.2400000000016</v>
      </c>
      <c r="Y263" s="1"/>
      <c r="Z263" s="5">
        <f t="shared" ref="Z263:Z265" si="131">IF(T263=0,0,X263/T263)</f>
        <v>-5.7111291276686287E-2</v>
      </c>
    </row>
    <row r="264" spans="1:26" s="24" customFormat="1" hidden="1" outlineLevel="2" x14ac:dyDescent="0.25">
      <c r="A264" s="25"/>
      <c r="B264" s="11" t="str">
        <f>CONCATENATE("          ", "6303", " - ", "DATA PHONE LINES")</f>
        <v xml:space="preserve">          6303 - DATA PHONE LINES</v>
      </c>
      <c r="C264" s="11"/>
      <c r="D264" s="6">
        <v>295</v>
      </c>
      <c r="E264" s="2"/>
      <c r="F264" s="7">
        <f t="shared" si="124"/>
        <v>2.2553248870422438E-4</v>
      </c>
      <c r="G264" s="2"/>
      <c r="H264" s="6">
        <v>295</v>
      </c>
      <c r="I264" s="2"/>
      <c r="J264" s="7">
        <f t="shared" si="125"/>
        <v>1.235056553595453E-4</v>
      </c>
      <c r="K264" s="2"/>
      <c r="L264" s="6">
        <f t="shared" si="126"/>
        <v>0</v>
      </c>
      <c r="M264" s="2"/>
      <c r="N264" s="7">
        <f t="shared" si="127"/>
        <v>0</v>
      </c>
      <c r="O264" s="11"/>
      <c r="P264" s="6">
        <v>2360</v>
      </c>
      <c r="Q264" s="2"/>
      <c r="R264" s="7">
        <f t="shared" si="128"/>
        <v>4.4680259279998986E-4</v>
      </c>
      <c r="S264" s="2"/>
      <c r="T264" s="6">
        <v>2065</v>
      </c>
      <c r="U264" s="2"/>
      <c r="V264" s="7">
        <f t="shared" si="129"/>
        <v>2.1766351182888827E-4</v>
      </c>
      <c r="W264" s="2"/>
      <c r="X264" s="6">
        <f t="shared" si="130"/>
        <v>295</v>
      </c>
      <c r="Y264" s="2"/>
      <c r="Z264" s="7">
        <f t="shared" si="131"/>
        <v>0.14285714285714285</v>
      </c>
    </row>
    <row r="265" spans="1:26" s="24" customFormat="1" hidden="1" outlineLevel="2" x14ac:dyDescent="0.25">
      <c r="A265" s="25"/>
      <c r="B265" s="11" t="str">
        <f>CONCATENATE("          ", "6309", " - ", "TELEPHONE")</f>
        <v xml:space="preserve">          6309 - TELEPHONE</v>
      </c>
      <c r="C265" s="11"/>
      <c r="D265" s="6">
        <v>2094.2600000000002</v>
      </c>
      <c r="E265" s="2"/>
      <c r="F265" s="7">
        <f t="shared" si="124"/>
        <v>1.6010971857413864E-3</v>
      </c>
      <c r="G265" s="2"/>
      <c r="H265" s="6">
        <v>2551.58</v>
      </c>
      <c r="I265" s="2"/>
      <c r="J265" s="7">
        <f t="shared" si="125"/>
        <v>1.0682527461095205E-3</v>
      </c>
      <c r="K265" s="2"/>
      <c r="L265" s="6">
        <f t="shared" si="126"/>
        <v>-457.31999999999971</v>
      </c>
      <c r="M265" s="2"/>
      <c r="N265" s="7">
        <f t="shared" si="127"/>
        <v>-0.17923012407998171</v>
      </c>
      <c r="O265" s="11"/>
      <c r="P265" s="6">
        <v>16910.75</v>
      </c>
      <c r="Q265" s="2"/>
      <c r="R265" s="7">
        <f t="shared" si="128"/>
        <v>3.2015961636408597E-3</v>
      </c>
      <c r="S265" s="2"/>
      <c r="T265" s="6">
        <v>18372.990000000002</v>
      </c>
      <c r="U265" s="2"/>
      <c r="V265" s="7">
        <f t="shared" si="129"/>
        <v>1.9366244678920323E-3</v>
      </c>
      <c r="W265" s="2"/>
      <c r="X265" s="6">
        <f t="shared" si="130"/>
        <v>-1462.2400000000016</v>
      </c>
      <c r="Y265" s="2"/>
      <c r="Z265" s="7">
        <f t="shared" si="131"/>
        <v>-7.9586392851680732E-2</v>
      </c>
    </row>
    <row r="266" spans="1:26" s="26" customFormat="1" outlineLevel="1" collapsed="1" x14ac:dyDescent="0.25">
      <c r="A266" s="27"/>
      <c r="B266" s="13" t="str">
        <f>CONCATENATE("     ","Training                                          ")</f>
        <v xml:space="preserve">     Training                                          </v>
      </c>
      <c r="C266" s="13"/>
      <c r="D266" s="1">
        <f>SUM(OSRRefD22_22x_0)</f>
        <v>0</v>
      </c>
      <c r="E266" s="1"/>
      <c r="F266" s="5">
        <f t="shared" ref="F266:F271" si="132">IF(D$12=0,0,D266/D$12)</f>
        <v>0</v>
      </c>
      <c r="G266" s="1"/>
      <c r="H266" s="1">
        <f>SUM(OSRRefH22_22x_0)</f>
        <v>2056.09</v>
      </c>
      <c r="I266" s="1"/>
      <c r="J266" s="5">
        <f t="shared" ref="J266:J271" si="133">IF(H$12=0,0,H266/H$12)</f>
        <v>8.6080929806172041E-4</v>
      </c>
      <c r="K266" s="1"/>
      <c r="L266" s="1">
        <f t="shared" ref="L266:L271" si="134">+D266-H266</f>
        <v>-2056.09</v>
      </c>
      <c r="M266" s="1"/>
      <c r="N266" s="5">
        <f t="shared" ref="N266:N271" si="135">IF(H266=0,0,L266/H266)</f>
        <v>-1</v>
      </c>
      <c r="O266" s="13"/>
      <c r="P266" s="1">
        <f>SUM(OSRRefP22_22x_0)</f>
        <v>245.63</v>
      </c>
      <c r="Q266" s="1"/>
      <c r="R266" s="5">
        <f t="shared" ref="R266:R271" si="136">IF(P$12=0,0,P266/P$12)</f>
        <v>4.6503441046381998E-5</v>
      </c>
      <c r="S266" s="1"/>
      <c r="T266" s="1">
        <f>SUM(OSRRefT22_22x_0)</f>
        <v>10783.53</v>
      </c>
      <c r="U266" s="1"/>
      <c r="V266" s="5">
        <f t="shared" ref="V266:V271" si="137">IF(T$12=0,0,T266/T$12)</f>
        <v>1.1366493993763545E-3</v>
      </c>
      <c r="W266" s="1"/>
      <c r="X266" s="1">
        <f t="shared" ref="X266:X271" si="138">+P266-T266</f>
        <v>-10537.900000000001</v>
      </c>
      <c r="Y266" s="1"/>
      <c r="Z266" s="5">
        <f t="shared" ref="Z266:Z271" si="139">IF(T266=0,0,X266/T266)</f>
        <v>-0.97722174464206069</v>
      </c>
    </row>
    <row r="267" spans="1:26" s="24" customFormat="1" hidden="1" outlineLevel="2" x14ac:dyDescent="0.25">
      <c r="A267" s="25"/>
      <c r="B267" s="11" t="str">
        <f>CONCATENATE("          ", "6376", " - ", "TRAINING")</f>
        <v xml:space="preserve">          6376 - TRAINING</v>
      </c>
      <c r="C267" s="11"/>
      <c r="D267" s="6"/>
      <c r="E267" s="2"/>
      <c r="F267" s="7">
        <f t="shared" si="132"/>
        <v>0</v>
      </c>
      <c r="G267" s="2"/>
      <c r="H267" s="6">
        <v>2056.09</v>
      </c>
      <c r="I267" s="2"/>
      <c r="J267" s="7">
        <f t="shared" si="133"/>
        <v>8.6080929806172041E-4</v>
      </c>
      <c r="K267" s="2"/>
      <c r="L267" s="6">
        <f t="shared" si="134"/>
        <v>-2056.09</v>
      </c>
      <c r="M267" s="2"/>
      <c r="N267" s="7">
        <f t="shared" si="135"/>
        <v>-1</v>
      </c>
      <c r="O267" s="11"/>
      <c r="P267" s="6">
        <v>245.63</v>
      </c>
      <c r="Q267" s="2"/>
      <c r="R267" s="7">
        <f t="shared" si="136"/>
        <v>4.6503441046381998E-5</v>
      </c>
      <c r="S267" s="2"/>
      <c r="T267" s="6">
        <v>10783.53</v>
      </c>
      <c r="U267" s="2"/>
      <c r="V267" s="7">
        <f t="shared" si="137"/>
        <v>1.1366493993763545E-3</v>
      </c>
      <c r="W267" s="2"/>
      <c r="X267" s="6">
        <f t="shared" si="138"/>
        <v>-10537.900000000001</v>
      </c>
      <c r="Y267" s="2"/>
      <c r="Z267" s="7">
        <f t="shared" si="139"/>
        <v>-0.97722174464206069</v>
      </c>
    </row>
    <row r="268" spans="1:26" s="26" customFormat="1" outlineLevel="1" collapsed="1" x14ac:dyDescent="0.25">
      <c r="A268" s="27"/>
      <c r="B268" s="13" t="str">
        <f>CONCATENATE("     ","Travel                                            ")</f>
        <v xml:space="preserve">     Travel                                            </v>
      </c>
      <c r="C268" s="13"/>
      <c r="D268" s="1">
        <f>SUM(OSRRefD22_23x_0)</f>
        <v>129.38</v>
      </c>
      <c r="E268" s="1"/>
      <c r="F268" s="5">
        <f t="shared" si="132"/>
        <v>9.8913197927296778E-5</v>
      </c>
      <c r="G268" s="1"/>
      <c r="H268" s="1">
        <f>SUM(OSRRefH22_23x_0)</f>
        <v>-472.06</v>
      </c>
      <c r="I268" s="1"/>
      <c r="J268" s="5">
        <f t="shared" si="133"/>
        <v>-1.976341683695829E-4</v>
      </c>
      <c r="K268" s="1"/>
      <c r="L268" s="1">
        <f t="shared" si="134"/>
        <v>601.44000000000005</v>
      </c>
      <c r="M268" s="1"/>
      <c r="N268" s="5">
        <f t="shared" si="135"/>
        <v>-1.2740753294072789</v>
      </c>
      <c r="O268" s="13"/>
      <c r="P268" s="1">
        <f>SUM(OSRRefP22_23x_0)</f>
        <v>810.31000000000006</v>
      </c>
      <c r="Q268" s="1"/>
      <c r="R268" s="5">
        <f t="shared" si="136"/>
        <v>1.534104275304067E-4</v>
      </c>
      <c r="S268" s="1"/>
      <c r="T268" s="1">
        <f>SUM(OSRRefT22_23x_0)</f>
        <v>791.98</v>
      </c>
      <c r="U268" s="1"/>
      <c r="V268" s="5">
        <f t="shared" si="137"/>
        <v>8.3479490604475995E-5</v>
      </c>
      <c r="W268" s="1"/>
      <c r="X268" s="1">
        <f t="shared" si="138"/>
        <v>18.330000000000041</v>
      </c>
      <c r="Y268" s="1"/>
      <c r="Z268" s="5">
        <f t="shared" si="139"/>
        <v>2.3144523851612465E-2</v>
      </c>
    </row>
    <row r="269" spans="1:26" s="24" customFormat="1" hidden="1" outlineLevel="2" x14ac:dyDescent="0.25">
      <c r="A269" s="25"/>
      <c r="B269" s="11" t="str">
        <f>CONCATENATE("          ", "6292", " - ", "TRAVEL/CONFERENCE")</f>
        <v xml:space="preserve">          6292 - TRAVEL/CONFERENCE</v>
      </c>
      <c r="C269" s="11"/>
      <c r="D269" s="6"/>
      <c r="E269" s="2"/>
      <c r="F269" s="7">
        <f t="shared" si="132"/>
        <v>0</v>
      </c>
      <c r="G269" s="2"/>
      <c r="H269" s="6"/>
      <c r="I269" s="2"/>
      <c r="J269" s="7">
        <f t="shared" si="133"/>
        <v>0</v>
      </c>
      <c r="K269" s="2"/>
      <c r="L269" s="6">
        <f t="shared" si="134"/>
        <v>0</v>
      </c>
      <c r="M269" s="2"/>
      <c r="N269" s="7">
        <f t="shared" si="135"/>
        <v>0</v>
      </c>
      <c r="O269" s="11"/>
      <c r="P269" s="6">
        <v>299.16000000000003</v>
      </c>
      <c r="Q269" s="2"/>
      <c r="R269" s="7">
        <f t="shared" si="136"/>
        <v>5.6637908331374993E-5</v>
      </c>
      <c r="S269" s="2"/>
      <c r="T269" s="6">
        <v>187.54</v>
      </c>
      <c r="U269" s="2"/>
      <c r="V269" s="7">
        <f t="shared" si="137"/>
        <v>1.9767852304304941E-5</v>
      </c>
      <c r="W269" s="2"/>
      <c r="X269" s="6">
        <f t="shared" si="138"/>
        <v>111.62000000000003</v>
      </c>
      <c r="Y269" s="2"/>
      <c r="Z269" s="7">
        <f t="shared" si="139"/>
        <v>0.59517969499840051</v>
      </c>
    </row>
    <row r="270" spans="1:26" s="24" customFormat="1" hidden="1" outlineLevel="2" x14ac:dyDescent="0.25">
      <c r="A270" s="25"/>
      <c r="B270" s="11" t="str">
        <f>CONCATENATE("          ", "6294", " - ", "TRAVEL OPERATIONAL")</f>
        <v xml:space="preserve">          6294 - TRAVEL OPERATIONAL</v>
      </c>
      <c r="C270" s="11"/>
      <c r="D270" s="6">
        <v>129.38</v>
      </c>
      <c r="E270" s="2"/>
      <c r="F270" s="7">
        <f t="shared" si="132"/>
        <v>9.8913197927296778E-5</v>
      </c>
      <c r="G270" s="2"/>
      <c r="H270" s="6">
        <v>-506.75</v>
      </c>
      <c r="I270" s="2"/>
      <c r="J270" s="7">
        <f t="shared" si="133"/>
        <v>-2.121575961133884E-4</v>
      </c>
      <c r="K270" s="2"/>
      <c r="L270" s="6">
        <f t="shared" si="134"/>
        <v>636.13</v>
      </c>
      <c r="M270" s="2"/>
      <c r="N270" s="7">
        <f t="shared" si="135"/>
        <v>-1.2553132708436112</v>
      </c>
      <c r="O270" s="11"/>
      <c r="P270" s="6">
        <v>451.26</v>
      </c>
      <c r="Q270" s="2"/>
      <c r="R270" s="7">
        <f t="shared" si="136"/>
        <v>8.5433956791069245E-5</v>
      </c>
      <c r="S270" s="2"/>
      <c r="T270" s="6">
        <v>312.19</v>
      </c>
      <c r="U270" s="2"/>
      <c r="V270" s="7">
        <f t="shared" si="137"/>
        <v>3.2906717558286017E-5</v>
      </c>
      <c r="W270" s="2"/>
      <c r="X270" s="6">
        <f t="shared" si="138"/>
        <v>139.07</v>
      </c>
      <c r="Y270" s="2"/>
      <c r="Z270" s="7">
        <f t="shared" si="139"/>
        <v>0.44546590217495752</v>
      </c>
    </row>
    <row r="271" spans="1:26" s="24" customFormat="1" hidden="1" outlineLevel="2" x14ac:dyDescent="0.25">
      <c r="A271" s="25"/>
      <c r="B271" s="11" t="str">
        <f>CONCATENATE("          ", "6298", " - ", "VEHICLE MILEAGE")</f>
        <v xml:space="preserve">          6298 - VEHICLE MILEAGE</v>
      </c>
      <c r="C271" s="11"/>
      <c r="D271" s="6"/>
      <c r="E271" s="2"/>
      <c r="F271" s="7">
        <f t="shared" si="132"/>
        <v>0</v>
      </c>
      <c r="G271" s="2"/>
      <c r="H271" s="6">
        <v>34.69</v>
      </c>
      <c r="I271" s="2"/>
      <c r="J271" s="7">
        <f t="shared" si="133"/>
        <v>1.4523427743805512E-5</v>
      </c>
      <c r="K271" s="2"/>
      <c r="L271" s="6">
        <f t="shared" si="134"/>
        <v>-34.69</v>
      </c>
      <c r="M271" s="2"/>
      <c r="N271" s="7">
        <f t="shared" si="135"/>
        <v>-1</v>
      </c>
      <c r="O271" s="11"/>
      <c r="P271" s="6">
        <v>59.89</v>
      </c>
      <c r="Q271" s="2"/>
      <c r="R271" s="7">
        <f t="shared" si="136"/>
        <v>1.1338562407962455E-5</v>
      </c>
      <c r="S271" s="2"/>
      <c r="T271" s="6">
        <v>292.25</v>
      </c>
      <c r="U271" s="2"/>
      <c r="V271" s="7">
        <f t="shared" si="137"/>
        <v>3.0804920741885037E-5</v>
      </c>
      <c r="W271" s="2"/>
      <c r="X271" s="6">
        <f t="shared" si="138"/>
        <v>-232.36</v>
      </c>
      <c r="Y271" s="2"/>
      <c r="Z271" s="7">
        <f t="shared" si="139"/>
        <v>-0.7950727117194184</v>
      </c>
    </row>
    <row r="272" spans="1:26" s="26" customFormat="1" outlineLevel="1" collapsed="1" x14ac:dyDescent="0.25">
      <c r="A272" s="27"/>
      <c r="B272" s="13" t="str">
        <f>CONCATENATE("     ","Utilities                                         ")</f>
        <v xml:space="preserve">     Utilities                                         </v>
      </c>
      <c r="C272" s="13"/>
      <c r="D272" s="1">
        <f>SUM(OSRRefD22_24x_0)</f>
        <v>6165.61</v>
      </c>
      <c r="E272" s="1"/>
      <c r="F272" s="5">
        <f t="shared" ref="F272:F273" si="140">IF(D$12=0,0,D272/D$12)</f>
        <v>4.7137131107784841E-3</v>
      </c>
      <c r="G272" s="1"/>
      <c r="H272" s="1">
        <f>SUM(OSRRefH22_24x_0)</f>
        <v>6298.14</v>
      </c>
      <c r="I272" s="1"/>
      <c r="J272" s="5">
        <f t="shared" ref="J272:J273" si="141">IF(H$12=0,0,H272/H$12)</f>
        <v>2.6367996889700564E-3</v>
      </c>
      <c r="K272" s="1"/>
      <c r="L272" s="1">
        <f t="shared" ref="L272:L273" si="142">+D272-H272</f>
        <v>-132.53000000000065</v>
      </c>
      <c r="M272" s="1"/>
      <c r="N272" s="5">
        <f t="shared" ref="N272:N273" si="143">IF(H272=0,0,L272/H272)</f>
        <v>-2.1042720549241625E-2</v>
      </c>
      <c r="O272" s="13"/>
      <c r="P272" s="1">
        <f>SUM(OSRRefP22_24x_0)</f>
        <v>42927.03</v>
      </c>
      <c r="Q272" s="1"/>
      <c r="R272" s="5">
        <f t="shared" ref="R272:R273" si="144">IF(P$12=0,0,P272/P$12)</f>
        <v>8.1270797903402331E-3</v>
      </c>
      <c r="S272" s="1"/>
      <c r="T272" s="1">
        <f>SUM(OSRRefT22_24x_0)</f>
        <v>38332.82</v>
      </c>
      <c r="U272" s="1"/>
      <c r="V272" s="5">
        <f t="shared" ref="V272:V273" si="145">IF(T$12=0,0,T272/T$12)</f>
        <v>4.0405114864429277E-3</v>
      </c>
      <c r="W272" s="1"/>
      <c r="X272" s="1">
        <f t="shared" ref="X272:X273" si="146">+P272-T272</f>
        <v>4594.2099999999991</v>
      </c>
      <c r="Y272" s="1"/>
      <c r="Z272" s="5">
        <f t="shared" ref="Z272:Z273" si="147">IF(T272=0,0,X272/T272)</f>
        <v>0.1198505614770841</v>
      </c>
    </row>
    <row r="273" spans="1:26" s="24" customFormat="1" hidden="1" outlineLevel="2" x14ac:dyDescent="0.25">
      <c r="A273" s="25"/>
      <c r="B273" s="11" t="str">
        <f>CONCATENATE("          ", "6274", " - ", "UTILITIES")</f>
        <v xml:space="preserve">          6274 - UTILITIES</v>
      </c>
      <c r="C273" s="11"/>
      <c r="D273" s="6">
        <v>6165.61</v>
      </c>
      <c r="E273" s="2"/>
      <c r="F273" s="7">
        <f t="shared" si="140"/>
        <v>4.7137131107784841E-3</v>
      </c>
      <c r="G273" s="2"/>
      <c r="H273" s="6">
        <v>6298.14</v>
      </c>
      <c r="I273" s="2"/>
      <c r="J273" s="7">
        <f t="shared" si="141"/>
        <v>2.6367996889700564E-3</v>
      </c>
      <c r="K273" s="2"/>
      <c r="L273" s="6">
        <f t="shared" si="142"/>
        <v>-132.53000000000065</v>
      </c>
      <c r="M273" s="2"/>
      <c r="N273" s="7">
        <f t="shared" si="143"/>
        <v>-2.1042720549241625E-2</v>
      </c>
      <c r="O273" s="11"/>
      <c r="P273" s="6">
        <v>42927.03</v>
      </c>
      <c r="Q273" s="2"/>
      <c r="R273" s="7">
        <f t="shared" si="144"/>
        <v>8.1270797903402331E-3</v>
      </c>
      <c r="S273" s="2"/>
      <c r="T273" s="6">
        <v>38332.82</v>
      </c>
      <c r="U273" s="2"/>
      <c r="V273" s="7">
        <f t="shared" si="145"/>
        <v>4.0405114864429277E-3</v>
      </c>
      <c r="W273" s="2"/>
      <c r="X273" s="6">
        <f t="shared" si="146"/>
        <v>4594.2099999999991</v>
      </c>
      <c r="Y273" s="2"/>
      <c r="Z273" s="7">
        <f t="shared" si="147"/>
        <v>0.1198505614770841</v>
      </c>
    </row>
    <row r="274" spans="1:26" s="61" customFormat="1" x14ac:dyDescent="0.25">
      <c r="A274" s="37"/>
      <c r="B274" s="37"/>
      <c r="C274" s="37"/>
      <c r="D274" s="1"/>
      <c r="E274" s="1"/>
      <c r="F274" s="5"/>
      <c r="G274" s="1"/>
      <c r="H274" s="1"/>
      <c r="I274" s="1"/>
      <c r="J274" s="5"/>
      <c r="K274" s="1"/>
      <c r="L274" s="1"/>
      <c r="M274" s="1"/>
      <c r="N274" s="5"/>
      <c r="O274" s="37"/>
      <c r="P274" s="1"/>
      <c r="Q274" s="1"/>
      <c r="R274" s="5"/>
      <c r="S274" s="1"/>
      <c r="T274" s="1"/>
      <c r="U274" s="1"/>
      <c r="V274" s="5"/>
      <c r="W274" s="1"/>
      <c r="X274" s="1"/>
      <c r="Y274" s="1"/>
      <c r="Z274" s="5"/>
    </row>
    <row r="275" spans="1:26" s="23" customFormat="1" collapsed="1" x14ac:dyDescent="0.25">
      <c r="A275" s="10"/>
      <c r="B275" s="29" t="s">
        <v>0</v>
      </c>
      <c r="C275" s="10"/>
      <c r="D275" s="4">
        <f>SUM(OSRRefD25x_0)</f>
        <v>32275.280000000002</v>
      </c>
      <c r="E275" s="4"/>
      <c r="F275" s="12">
        <f t="shared" ref="F275:F287" si="148">IF(D$12=0,0,D275/D$12)</f>
        <v>2.4674997362798913E-2</v>
      </c>
      <c r="G275" s="4"/>
      <c r="H275" s="4">
        <f>SUM(OSRRefH25x_0)</f>
        <v>49263.54</v>
      </c>
      <c r="I275" s="4"/>
      <c r="J275" s="12">
        <f t="shared" ref="J275:J287" si="149">IF(H$12=0,0,H275/H$12)</f>
        <v>2.0624833196715844E-2</v>
      </c>
      <c r="K275" s="4"/>
      <c r="L275" s="4">
        <f t="shared" ref="L275:L287" si="150">+D275-H275</f>
        <v>-16988.259999999998</v>
      </c>
      <c r="M275" s="4"/>
      <c r="N275" s="12">
        <f t="shared" ref="N275:N287" si="151">IF(H275=0,0,L275/H275)</f>
        <v>-0.34484448336437046</v>
      </c>
      <c r="O275" s="10"/>
      <c r="P275" s="4">
        <f>SUM(OSRRefP25x_0)</f>
        <v>577007.65</v>
      </c>
      <c r="Q275" s="4"/>
      <c r="R275" s="12">
        <f t="shared" ref="R275:R287" si="152">IF(P$12=0,0,P275/P$12)</f>
        <v>0.10924089579891064</v>
      </c>
      <c r="S275" s="4"/>
      <c r="T275" s="4">
        <f>SUM(OSRRefT25x_0)</f>
        <v>479966.52999999997</v>
      </c>
      <c r="U275" s="4"/>
      <c r="V275" s="12">
        <f t="shared" ref="V275:V287" si="153">IF(T$12=0,0,T275/T$12)</f>
        <v>5.0591380377784725E-2</v>
      </c>
      <c r="W275" s="4"/>
      <c r="X275" s="4">
        <f t="shared" ref="X275:X287" si="154">+P275-T275</f>
        <v>97041.120000000054</v>
      </c>
      <c r="Y275" s="4"/>
      <c r="Z275" s="12">
        <f t="shared" ref="Z275:Z287" si="155">IF(T275=0,0,X275/T275)</f>
        <v>0.20218309805894186</v>
      </c>
    </row>
    <row r="276" spans="1:26" s="24" customFormat="1" hidden="1" outlineLevel="1" x14ac:dyDescent="0.25">
      <c r="A276" s="44"/>
      <c r="B276" s="11" t="str">
        <f>CONCATENATE("          ", "4098", " - ", "TAXABLE SALES-GRAD RENTALS")</f>
        <v xml:space="preserve">          4098 - TAXABLE SALES-GRAD RENTALS</v>
      </c>
      <c r="C276" s="11"/>
      <c r="D276" s="2">
        <f>0</f>
        <v>0</v>
      </c>
      <c r="E276" s="2"/>
      <c r="F276" s="19">
        <f t="shared" si="148"/>
        <v>0</v>
      </c>
      <c r="G276" s="2"/>
      <c r="H276" s="2">
        <f>--320</f>
        <v>320</v>
      </c>
      <c r="I276" s="2"/>
      <c r="J276" s="19">
        <f t="shared" si="149"/>
        <v>1.3397223632221863E-4</v>
      </c>
      <c r="K276" s="2"/>
      <c r="L276" s="2">
        <f t="shared" si="150"/>
        <v>-320</v>
      </c>
      <c r="M276" s="2"/>
      <c r="N276" s="19">
        <f t="shared" si="151"/>
        <v>-1</v>
      </c>
      <c r="O276" s="11"/>
      <c r="P276" s="2">
        <f>0</f>
        <v>0</v>
      </c>
      <c r="Q276" s="2"/>
      <c r="R276" s="19">
        <f t="shared" si="152"/>
        <v>0</v>
      </c>
      <c r="S276" s="2"/>
      <c r="T276" s="2">
        <f>--1946.85</f>
        <v>1946.85</v>
      </c>
      <c r="U276" s="2"/>
      <c r="V276" s="19">
        <f t="shared" si="153"/>
        <v>2.0520978595838795E-4</v>
      </c>
      <c r="W276" s="2"/>
      <c r="X276" s="2">
        <f t="shared" si="154"/>
        <v>-1946.85</v>
      </c>
      <c r="Y276" s="2"/>
      <c r="Z276" s="19">
        <f t="shared" si="155"/>
        <v>-1</v>
      </c>
    </row>
    <row r="277" spans="1:26" s="24" customFormat="1" hidden="1" outlineLevel="1" x14ac:dyDescent="0.25">
      <c r="A277" s="44"/>
      <c r="B277" s="11" t="str">
        <f>CONCATENATE("          ", "4187", " - ", "NON-TAXABLE SALES-COMPUTER REP")</f>
        <v xml:space="preserve">          4187 - NON-TAXABLE SALES-COMPUTER REP</v>
      </c>
      <c r="C277" s="11"/>
      <c r="D277" s="2">
        <f>--651.37</f>
        <v>651.37</v>
      </c>
      <c r="E277" s="2"/>
      <c r="F277" s="19">
        <f t="shared" si="148"/>
        <v>4.9798338022803603E-4</v>
      </c>
      <c r="G277" s="2"/>
      <c r="H277" s="2">
        <f>--1922.01</f>
        <v>1922.01</v>
      </c>
      <c r="I277" s="2"/>
      <c r="J277" s="19">
        <f t="shared" si="149"/>
        <v>8.0467493104271072E-4</v>
      </c>
      <c r="K277" s="2"/>
      <c r="L277" s="2">
        <f t="shared" si="150"/>
        <v>-1270.6399999999999</v>
      </c>
      <c r="M277" s="2"/>
      <c r="N277" s="19">
        <f t="shared" si="151"/>
        <v>-0.66109957804589981</v>
      </c>
      <c r="O277" s="11"/>
      <c r="P277" s="2">
        <f>--1685.87</f>
        <v>1685.87</v>
      </c>
      <c r="Q277" s="2"/>
      <c r="R277" s="19">
        <f t="shared" si="152"/>
        <v>3.1917418945920291E-4</v>
      </c>
      <c r="S277" s="2"/>
      <c r="T277" s="2">
        <f>--15110.93</f>
        <v>15110.93</v>
      </c>
      <c r="U277" s="2"/>
      <c r="V277" s="19">
        <f t="shared" si="153"/>
        <v>1.5927835790801466E-3</v>
      </c>
      <c r="W277" s="2"/>
      <c r="X277" s="2">
        <f t="shared" si="154"/>
        <v>-13425.060000000001</v>
      </c>
      <c r="Y277" s="2"/>
      <c r="Z277" s="19">
        <f t="shared" si="155"/>
        <v>-0.88843373637492873</v>
      </c>
    </row>
    <row r="278" spans="1:26" s="24" customFormat="1" hidden="1" outlineLevel="1" x14ac:dyDescent="0.25">
      <c r="A278" s="44"/>
      <c r="B278" s="11" t="str">
        <f>CONCATENATE("          ", "4197", " - ", "NON-TAXABLE SALES-RETURNED CHE")</f>
        <v xml:space="preserve">          4197 - NON-TAXABLE SALES-RETURNED CHE</v>
      </c>
      <c r="C278" s="11"/>
      <c r="D278" s="2">
        <f t="shared" ref="D278:D281" si="156">0</f>
        <v>0</v>
      </c>
      <c r="E278" s="2"/>
      <c r="F278" s="19">
        <f t="shared" si="148"/>
        <v>0</v>
      </c>
      <c r="G278" s="2"/>
      <c r="H278" s="2">
        <f>0</f>
        <v>0</v>
      </c>
      <c r="I278" s="2"/>
      <c r="J278" s="19">
        <f t="shared" si="149"/>
        <v>0</v>
      </c>
      <c r="K278" s="2"/>
      <c r="L278" s="2">
        <f t="shared" si="150"/>
        <v>0</v>
      </c>
      <c r="M278" s="2"/>
      <c r="N278" s="19">
        <f t="shared" si="151"/>
        <v>0</v>
      </c>
      <c r="O278" s="11"/>
      <c r="P278" s="2">
        <f t="shared" ref="P278:P281" si="157">0</f>
        <v>0</v>
      </c>
      <c r="Q278" s="2"/>
      <c r="R278" s="19">
        <f t="shared" si="152"/>
        <v>0</v>
      </c>
      <c r="S278" s="2"/>
      <c r="T278" s="2">
        <f>--30</f>
        <v>30</v>
      </c>
      <c r="U278" s="2"/>
      <c r="V278" s="19">
        <f t="shared" si="153"/>
        <v>3.1621817699112099E-6</v>
      </c>
      <c r="W278" s="2"/>
      <c r="X278" s="2">
        <f t="shared" si="154"/>
        <v>-30</v>
      </c>
      <c r="Y278" s="2"/>
      <c r="Z278" s="19">
        <f t="shared" si="155"/>
        <v>-1</v>
      </c>
    </row>
    <row r="279" spans="1:26" s="24" customFormat="1" hidden="1" outlineLevel="1" x14ac:dyDescent="0.25">
      <c r="A279" s="44"/>
      <c r="B279" s="11" t="str">
        <f>CONCATENATE("          ", "4198", " - ", "NON-TAXABLE SALES-GRAD RENTALS")</f>
        <v xml:space="preserve">          4198 - NON-TAXABLE SALES-GRAD RENTALS</v>
      </c>
      <c r="C279" s="11"/>
      <c r="D279" s="2">
        <f t="shared" si="156"/>
        <v>0</v>
      </c>
      <c r="E279" s="2"/>
      <c r="F279" s="19">
        <f t="shared" si="148"/>
        <v>0</v>
      </c>
      <c r="G279" s="2"/>
      <c r="H279" s="2">
        <f>--3237.1</f>
        <v>3237.1</v>
      </c>
      <c r="I279" s="2"/>
      <c r="J279" s="19">
        <f t="shared" si="149"/>
        <v>1.3552547693707934E-3</v>
      </c>
      <c r="K279" s="2"/>
      <c r="L279" s="2">
        <f t="shared" si="150"/>
        <v>-3237.1</v>
      </c>
      <c r="M279" s="2"/>
      <c r="N279" s="19">
        <f t="shared" si="151"/>
        <v>-1</v>
      </c>
      <c r="O279" s="11"/>
      <c r="P279" s="2">
        <f t="shared" si="157"/>
        <v>0</v>
      </c>
      <c r="Q279" s="2"/>
      <c r="R279" s="19">
        <f t="shared" si="152"/>
        <v>0</v>
      </c>
      <c r="S279" s="2"/>
      <c r="T279" s="2">
        <f>--3732.1</f>
        <v>3732.1</v>
      </c>
      <c r="U279" s="2"/>
      <c r="V279" s="19">
        <f t="shared" si="153"/>
        <v>3.9338595278285419E-4</v>
      </c>
      <c r="W279" s="2"/>
      <c r="X279" s="2">
        <f t="shared" si="154"/>
        <v>-3732.1</v>
      </c>
      <c r="Y279" s="2"/>
      <c r="Z279" s="19">
        <f t="shared" si="155"/>
        <v>-1</v>
      </c>
    </row>
    <row r="280" spans="1:26" s="24" customFormat="1" hidden="1" outlineLevel="1" x14ac:dyDescent="0.25">
      <c r="A280" s="44"/>
      <c r="B280" s="11" t="str">
        <f>CONCATENATE("          ", "4387", " - ", "SALES RETURN NON TAXABLE-COMPU")</f>
        <v xml:space="preserve">          4387 - SALES RETURN NON TAXABLE-COMPU</v>
      </c>
      <c r="C280" s="11"/>
      <c r="D280" s="2">
        <f t="shared" si="156"/>
        <v>0</v>
      </c>
      <c r="E280" s="2"/>
      <c r="F280" s="19">
        <f t="shared" si="148"/>
        <v>0</v>
      </c>
      <c r="G280" s="2"/>
      <c r="H280" s="2">
        <f t="shared" ref="H280:H281" si="158">0</f>
        <v>0</v>
      </c>
      <c r="I280" s="2"/>
      <c r="J280" s="19">
        <f t="shared" si="149"/>
        <v>0</v>
      </c>
      <c r="K280" s="2"/>
      <c r="L280" s="2">
        <f t="shared" si="150"/>
        <v>0</v>
      </c>
      <c r="M280" s="2"/>
      <c r="N280" s="19">
        <f t="shared" si="151"/>
        <v>0</v>
      </c>
      <c r="O280" s="11"/>
      <c r="P280" s="2">
        <f t="shared" si="157"/>
        <v>0</v>
      </c>
      <c r="Q280" s="2"/>
      <c r="R280" s="19">
        <f t="shared" si="152"/>
        <v>0</v>
      </c>
      <c r="S280" s="2"/>
      <c r="T280" s="2">
        <f>-7889</f>
        <v>-7889</v>
      </c>
      <c r="U280" s="2"/>
      <c r="V280" s="19">
        <f t="shared" si="153"/>
        <v>-8.3154839942765121E-4</v>
      </c>
      <c r="W280" s="2"/>
      <c r="X280" s="2">
        <f t="shared" si="154"/>
        <v>7889</v>
      </c>
      <c r="Y280" s="2"/>
      <c r="Z280" s="19">
        <f t="shared" si="155"/>
        <v>-1</v>
      </c>
    </row>
    <row r="281" spans="1:26" s="24" customFormat="1" hidden="1" outlineLevel="1" x14ac:dyDescent="0.25">
      <c r="A281" s="44"/>
      <c r="B281" s="11" t="str">
        <f>CONCATENATE("          ", "5087", " - ", "PURCHASES @ COST-COMPUTER REPA")</f>
        <v xml:space="preserve">          5087 - PURCHASES @ COST-COMPUTER REPA</v>
      </c>
      <c r="C281" s="11"/>
      <c r="D281" s="2">
        <f t="shared" si="156"/>
        <v>0</v>
      </c>
      <c r="E281" s="2"/>
      <c r="F281" s="19">
        <f t="shared" si="148"/>
        <v>0</v>
      </c>
      <c r="G281" s="2"/>
      <c r="H281" s="2">
        <f t="shared" si="158"/>
        <v>0</v>
      </c>
      <c r="I281" s="2"/>
      <c r="J281" s="19">
        <f t="shared" si="149"/>
        <v>0</v>
      </c>
      <c r="K281" s="2"/>
      <c r="L281" s="2">
        <f t="shared" si="150"/>
        <v>0</v>
      </c>
      <c r="M281" s="2"/>
      <c r="N281" s="19">
        <f t="shared" si="151"/>
        <v>0</v>
      </c>
      <c r="O281" s="11"/>
      <c r="P281" s="2">
        <f t="shared" si="157"/>
        <v>0</v>
      </c>
      <c r="Q281" s="2"/>
      <c r="R281" s="19">
        <f t="shared" si="152"/>
        <v>0</v>
      </c>
      <c r="S281" s="2"/>
      <c r="T281" s="2">
        <f>-56.72</f>
        <v>-56.72</v>
      </c>
      <c r="U281" s="2"/>
      <c r="V281" s="19">
        <f t="shared" si="153"/>
        <v>-5.9786316663121275E-6</v>
      </c>
      <c r="W281" s="2"/>
      <c r="X281" s="2">
        <f t="shared" si="154"/>
        <v>56.72</v>
      </c>
      <c r="Y281" s="2"/>
      <c r="Z281" s="19">
        <f t="shared" si="155"/>
        <v>-1</v>
      </c>
    </row>
    <row r="282" spans="1:26" s="24" customFormat="1" hidden="1" outlineLevel="1" x14ac:dyDescent="0.25">
      <c r="A282" s="44"/>
      <c r="B282" s="11" t="str">
        <f>CONCATENATE("          ", "9150", " - ", "MISC. INCOME")</f>
        <v xml:space="preserve">          9150 - MISC. INCOME</v>
      </c>
      <c r="C282" s="11"/>
      <c r="D282" s="2">
        <f>--29505.58</f>
        <v>29505.58</v>
      </c>
      <c r="E282" s="2"/>
      <c r="F282" s="19">
        <f t="shared" si="148"/>
        <v>2.2557514874785047E-2</v>
      </c>
      <c r="G282" s="2"/>
      <c r="H282" s="2">
        <f>--44854.46</f>
        <v>44854.46</v>
      </c>
      <c r="I282" s="2"/>
      <c r="J282" s="19">
        <f t="shared" si="149"/>
        <v>1.8778913485079696E-2</v>
      </c>
      <c r="K282" s="2"/>
      <c r="L282" s="2">
        <f t="shared" si="150"/>
        <v>-15348.879999999997</v>
      </c>
      <c r="M282" s="2"/>
      <c r="N282" s="19">
        <f t="shared" si="151"/>
        <v>-0.34219295026626112</v>
      </c>
      <c r="O282" s="11"/>
      <c r="P282" s="2">
        <f>--247426.29</f>
        <v>247426.29</v>
      </c>
      <c r="Q282" s="2"/>
      <c r="R282" s="19">
        <f t="shared" si="152"/>
        <v>4.6843520296136532E-2</v>
      </c>
      <c r="S282" s="2"/>
      <c r="T282" s="2">
        <f>--292407.58</f>
        <v>292407.58</v>
      </c>
      <c r="U282" s="2"/>
      <c r="V282" s="19">
        <f t="shared" si="153"/>
        <v>3.0821530628661793E-2</v>
      </c>
      <c r="W282" s="2"/>
      <c r="X282" s="2">
        <f t="shared" si="154"/>
        <v>-44981.290000000008</v>
      </c>
      <c r="Y282" s="2"/>
      <c r="Z282" s="19">
        <f t="shared" si="155"/>
        <v>-0.15383079330570024</v>
      </c>
    </row>
    <row r="283" spans="1:26" s="24" customFormat="1" hidden="1" outlineLevel="1" x14ac:dyDescent="0.25">
      <c r="A283" s="44"/>
      <c r="B283" s="11" t="str">
        <f>CONCATENATE("          ", "9151", " - ", "MISC. INCOME")</f>
        <v xml:space="preserve">          9151 - MISC. INCOME</v>
      </c>
      <c r="C283" s="11"/>
      <c r="D283" s="2">
        <f>--1972</f>
        <v>1972</v>
      </c>
      <c r="E283" s="2"/>
      <c r="F283" s="19">
        <f t="shared" si="148"/>
        <v>1.5076273482194252E-3</v>
      </c>
      <c r="G283" s="2"/>
      <c r="H283" s="2">
        <f>-1539.13</f>
        <v>-1539.13</v>
      </c>
      <c r="I283" s="2"/>
      <c r="J283" s="19">
        <f t="shared" si="149"/>
        <v>-6.4437715028317611E-4</v>
      </c>
      <c r="K283" s="2"/>
      <c r="L283" s="2">
        <f t="shared" si="150"/>
        <v>3511.13</v>
      </c>
      <c r="M283" s="2"/>
      <c r="N283" s="19">
        <f t="shared" si="151"/>
        <v>-2.2812432997862429</v>
      </c>
      <c r="O283" s="11"/>
      <c r="P283" s="2">
        <f>--149257.39</f>
        <v>149257.39000000001</v>
      </c>
      <c r="Q283" s="2"/>
      <c r="R283" s="19">
        <f t="shared" si="152"/>
        <v>2.8257876629898003E-2</v>
      </c>
      <c r="S283" s="2"/>
      <c r="T283" s="2">
        <f>--85953.38</f>
        <v>85953.38</v>
      </c>
      <c r="U283" s="2"/>
      <c r="V283" s="19">
        <f t="shared" si="153"/>
        <v>9.0600070432750261E-3</v>
      </c>
      <c r="W283" s="2"/>
      <c r="X283" s="2">
        <f t="shared" si="154"/>
        <v>63304.010000000009</v>
      </c>
      <c r="Y283" s="2"/>
      <c r="Z283" s="19">
        <f t="shared" si="155"/>
        <v>0.73649238691951391</v>
      </c>
    </row>
    <row r="284" spans="1:26" s="24" customFormat="1" hidden="1" outlineLevel="1" x14ac:dyDescent="0.25">
      <c r="A284" s="44"/>
      <c r="B284" s="11" t="str">
        <f>CONCATENATE("          ", "9152", " - ", "MISC. INCOME")</f>
        <v xml:space="preserve">          9152 - MISC. INCOME</v>
      </c>
      <c r="C284" s="11"/>
      <c r="D284" s="2">
        <f>--146.33</f>
        <v>146.33000000000001</v>
      </c>
      <c r="E284" s="2"/>
      <c r="F284" s="19">
        <f t="shared" si="148"/>
        <v>1.1187175956640391E-4</v>
      </c>
      <c r="G284" s="2"/>
      <c r="H284" s="2">
        <f>--469.1</f>
        <v>469.1</v>
      </c>
      <c r="I284" s="2"/>
      <c r="J284" s="19">
        <f t="shared" si="149"/>
        <v>1.9639492518360238E-4</v>
      </c>
      <c r="K284" s="2"/>
      <c r="L284" s="2">
        <f t="shared" si="150"/>
        <v>-322.77</v>
      </c>
      <c r="M284" s="2"/>
      <c r="N284" s="19">
        <f t="shared" si="151"/>
        <v>-0.68806224685568107</v>
      </c>
      <c r="O284" s="11"/>
      <c r="P284" s="2">
        <f>--3232.26</f>
        <v>3232.26</v>
      </c>
      <c r="Q284" s="2"/>
      <c r="R284" s="19">
        <f t="shared" si="152"/>
        <v>6.1194158839139633E-4</v>
      </c>
      <c r="S284" s="2"/>
      <c r="T284" s="2">
        <f>--4699.86</f>
        <v>4699.8599999999997</v>
      </c>
      <c r="U284" s="2"/>
      <c r="V284" s="19">
        <f t="shared" si="153"/>
        <v>4.9539372043782995E-4</v>
      </c>
      <c r="W284" s="2"/>
      <c r="X284" s="2">
        <f t="shared" si="154"/>
        <v>-1467.5999999999995</v>
      </c>
      <c r="Y284" s="2"/>
      <c r="Z284" s="19">
        <f t="shared" si="155"/>
        <v>-0.31226462064827454</v>
      </c>
    </row>
    <row r="285" spans="1:26" s="24" customFormat="1" hidden="1" outlineLevel="1" x14ac:dyDescent="0.25">
      <c r="A285" s="44"/>
      <c r="B285" s="11" t="str">
        <f>CONCATENATE("          ", "9153", " - ", "MISC. INCOME")</f>
        <v xml:space="preserve">          9153 - MISC. INCOME</v>
      </c>
      <c r="C285" s="11"/>
      <c r="D285" s="2">
        <f t="shared" ref="D285:D287" si="159">0</f>
        <v>0</v>
      </c>
      <c r="E285" s="2"/>
      <c r="F285" s="19">
        <f t="shared" si="148"/>
        <v>0</v>
      </c>
      <c r="G285" s="2"/>
      <c r="H285" s="2">
        <f t="shared" ref="H285:H287" si="160">0</f>
        <v>0</v>
      </c>
      <c r="I285" s="2"/>
      <c r="J285" s="19">
        <f t="shared" si="149"/>
        <v>0</v>
      </c>
      <c r="K285" s="2"/>
      <c r="L285" s="2">
        <f t="shared" si="150"/>
        <v>0</v>
      </c>
      <c r="M285" s="2"/>
      <c r="N285" s="19">
        <f t="shared" si="151"/>
        <v>0</v>
      </c>
      <c r="O285" s="11"/>
      <c r="P285" s="2">
        <f t="shared" ref="P285:P286" si="161">0</f>
        <v>0</v>
      </c>
      <c r="Q285" s="2"/>
      <c r="R285" s="19">
        <f t="shared" si="152"/>
        <v>0</v>
      </c>
      <c r="S285" s="2"/>
      <c r="T285" s="2">
        <f>--450</f>
        <v>450</v>
      </c>
      <c r="U285" s="2"/>
      <c r="V285" s="19">
        <f t="shared" si="153"/>
        <v>4.7432726548668148E-5</v>
      </c>
      <c r="W285" s="2"/>
      <c r="X285" s="2">
        <f t="shared" si="154"/>
        <v>-450</v>
      </c>
      <c r="Y285" s="2"/>
      <c r="Z285" s="19">
        <f t="shared" si="155"/>
        <v>-1</v>
      </c>
    </row>
    <row r="286" spans="1:26" s="24" customFormat="1" hidden="1" outlineLevel="1" x14ac:dyDescent="0.25">
      <c r="A286" s="44"/>
      <c r="B286" s="11" t="str">
        <f>CONCATENATE("          ", "9160", " - ", "MISC. INCOME")</f>
        <v xml:space="preserve">          9160 - MISC. INCOME</v>
      </c>
      <c r="C286" s="11"/>
      <c r="D286" s="2">
        <f t="shared" si="159"/>
        <v>0</v>
      </c>
      <c r="E286" s="2"/>
      <c r="F286" s="19">
        <f t="shared" si="148"/>
        <v>0</v>
      </c>
      <c r="G286" s="2"/>
      <c r="H286" s="2">
        <f t="shared" si="160"/>
        <v>0</v>
      </c>
      <c r="I286" s="2"/>
      <c r="J286" s="19">
        <f t="shared" si="149"/>
        <v>0</v>
      </c>
      <c r="K286" s="2"/>
      <c r="L286" s="2">
        <f t="shared" si="150"/>
        <v>0</v>
      </c>
      <c r="M286" s="2"/>
      <c r="N286" s="19">
        <f t="shared" si="151"/>
        <v>0</v>
      </c>
      <c r="O286" s="11"/>
      <c r="P286" s="2">
        <f t="shared" si="161"/>
        <v>0</v>
      </c>
      <c r="Q286" s="2"/>
      <c r="R286" s="19">
        <f t="shared" si="152"/>
        <v>0</v>
      </c>
      <c r="S286" s="2"/>
      <c r="T286" s="2">
        <f>--22475</f>
        <v>22475</v>
      </c>
      <c r="U286" s="2"/>
      <c r="V286" s="19">
        <f t="shared" si="153"/>
        <v>2.3690011759584812E-3</v>
      </c>
      <c r="W286" s="2"/>
      <c r="X286" s="2">
        <f t="shared" si="154"/>
        <v>-22475</v>
      </c>
      <c r="Y286" s="2"/>
      <c r="Z286" s="19">
        <f t="shared" si="155"/>
        <v>-1</v>
      </c>
    </row>
    <row r="287" spans="1:26" s="24" customFormat="1" hidden="1" outlineLevel="1" x14ac:dyDescent="0.25">
      <c r="A287" s="44"/>
      <c r="B287" s="11" t="str">
        <f>CONCATENATE("          ", "9163", " - ", "MISC. INCOME")</f>
        <v xml:space="preserve">          9163 - MISC. INCOME</v>
      </c>
      <c r="C287" s="11"/>
      <c r="D287" s="2">
        <f t="shared" si="159"/>
        <v>0</v>
      </c>
      <c r="E287" s="2"/>
      <c r="F287" s="19">
        <f t="shared" si="148"/>
        <v>0</v>
      </c>
      <c r="G287" s="2"/>
      <c r="H287" s="2">
        <f t="shared" si="160"/>
        <v>0</v>
      </c>
      <c r="I287" s="2"/>
      <c r="J287" s="19">
        <f t="shared" si="149"/>
        <v>0</v>
      </c>
      <c r="K287" s="2"/>
      <c r="L287" s="2">
        <f t="shared" si="150"/>
        <v>0</v>
      </c>
      <c r="M287" s="2"/>
      <c r="N287" s="19">
        <f t="shared" si="151"/>
        <v>0</v>
      </c>
      <c r="O287" s="11"/>
      <c r="P287" s="2">
        <f>--175405.84</f>
        <v>175405.84</v>
      </c>
      <c r="Q287" s="2"/>
      <c r="R287" s="19">
        <f t="shared" si="152"/>
        <v>3.3208383095025495E-2</v>
      </c>
      <c r="S287" s="2"/>
      <c r="T287" s="2">
        <f>--61106.55</f>
        <v>61106.55</v>
      </c>
      <c r="U287" s="2"/>
      <c r="V287" s="19">
        <f t="shared" si="153"/>
        <v>6.4410006144055947E-3</v>
      </c>
      <c r="W287" s="2"/>
      <c r="X287" s="2">
        <f t="shared" si="154"/>
        <v>114299.29</v>
      </c>
      <c r="Y287" s="2"/>
      <c r="Z287" s="19">
        <f t="shared" si="155"/>
        <v>1.8704916248749108</v>
      </c>
    </row>
    <row r="288" spans="1:26" x14ac:dyDescent="0.25">
      <c r="A288" s="9"/>
      <c r="B288" s="10"/>
      <c r="C288" s="10"/>
      <c r="D288" s="3"/>
      <c r="E288" s="3"/>
      <c r="F288" s="8"/>
      <c r="G288" s="3"/>
      <c r="H288" s="3"/>
      <c r="I288" s="3"/>
      <c r="J288" s="8"/>
      <c r="K288" s="3"/>
      <c r="L288" s="3"/>
      <c r="M288" s="3"/>
      <c r="N288" s="8"/>
      <c r="O288" s="10"/>
      <c r="P288" s="3"/>
      <c r="Q288" s="3"/>
      <c r="R288" s="8"/>
      <c r="S288" s="3"/>
      <c r="T288" s="3"/>
      <c r="U288" s="3"/>
      <c r="V288" s="8"/>
      <c r="W288" s="3"/>
      <c r="X288" s="3"/>
      <c r="Y288" s="3"/>
      <c r="Z288" s="8"/>
    </row>
    <row r="289" spans="1:26" s="23" customFormat="1" x14ac:dyDescent="0.25">
      <c r="A289" s="10"/>
      <c r="B289" s="28" t="s">
        <v>3</v>
      </c>
      <c r="C289" s="28"/>
      <c r="D289" s="20">
        <f>+D184-D186+D275</f>
        <v>144899.95000000016</v>
      </c>
      <c r="E289" s="14"/>
      <c r="F289" s="22">
        <f>IF(D$12=0,0,D289/D$12)</f>
        <v>0.11077846215802614</v>
      </c>
      <c r="G289" s="14"/>
      <c r="H289" s="20">
        <f>+H184-H186+H275</f>
        <v>579406.2300000001</v>
      </c>
      <c r="I289" s="14"/>
      <c r="J289" s="22">
        <f>IF(H$12=0,0,H289/H$12)</f>
        <v>0.24257608866289304</v>
      </c>
      <c r="K289" s="15"/>
      <c r="L289" s="20">
        <f>+D289-H289</f>
        <v>-434506.27999999991</v>
      </c>
      <c r="M289" s="15"/>
      <c r="N289" s="22">
        <f>IF(H289=0,0,L289/H289)</f>
        <v>-0.74991647915142345</v>
      </c>
      <c r="O289" s="29"/>
      <c r="P289" s="20">
        <f>+P184-P186+P275</f>
        <v>25349.629999998608</v>
      </c>
      <c r="Q289" s="14"/>
      <c r="R289" s="22">
        <f>IF(P$12=0,0,P289/P$12)</f>
        <v>4.7992713603897397E-3</v>
      </c>
      <c r="S289" s="14"/>
      <c r="T289" s="20">
        <f>+T184-T186+T275</f>
        <v>1112681.1599999948</v>
      </c>
      <c r="U289" s="14"/>
      <c r="V289" s="22">
        <f>IF(T$12=0,0,T289/T$12)</f>
        <v>0.11728333599585472</v>
      </c>
      <c r="W289" s="15"/>
      <c r="X289" s="20">
        <f>+P289-T289</f>
        <v>-1087331.5299999961</v>
      </c>
      <c r="Y289" s="15"/>
      <c r="Z289" s="22">
        <f>IF(T289=0,0,X289/T289)</f>
        <v>-0.97721752563870246</v>
      </c>
    </row>
    <row r="290" spans="1:26" x14ac:dyDescent="0.25">
      <c r="A290" s="9"/>
      <c r="B290" s="10"/>
      <c r="C290" s="9"/>
      <c r="D290" s="3"/>
      <c r="E290" s="3"/>
      <c r="F290" s="8"/>
      <c r="G290" s="3"/>
      <c r="H290" s="3"/>
      <c r="I290" s="3"/>
      <c r="J290" s="8"/>
      <c r="K290" s="3"/>
      <c r="L290" s="3"/>
      <c r="M290" s="3"/>
      <c r="N290" s="8"/>
      <c r="P290" s="3"/>
      <c r="Q290" s="3"/>
      <c r="R290" s="8"/>
      <c r="S290" s="3"/>
      <c r="T290" s="3"/>
      <c r="U290" s="3"/>
      <c r="V290" s="8"/>
      <c r="W290" s="3"/>
      <c r="X290" s="3"/>
      <c r="Y290" s="3"/>
      <c r="Z290" s="8"/>
    </row>
    <row r="291" spans="1:26" s="23" customFormat="1" x14ac:dyDescent="0.25">
      <c r="A291" s="51"/>
      <c r="B291" s="10" t="s">
        <v>13</v>
      </c>
      <c r="C291" s="10"/>
      <c r="D291" s="4">
        <v>223551.56</v>
      </c>
      <c r="E291" s="4"/>
      <c r="F291" s="12">
        <f>IF(D$12=0,0,D291/D$12)</f>
        <v>0.1709089480695313</v>
      </c>
      <c r="G291" s="4"/>
      <c r="H291" s="4">
        <v>222672.51</v>
      </c>
      <c r="I291" s="4"/>
      <c r="J291" s="12">
        <f>IF(H$12=0,0,H291/H$12)</f>
        <v>9.3224794163067476E-2</v>
      </c>
      <c r="K291" s="4"/>
      <c r="L291" s="4">
        <f>+D291-H291</f>
        <v>879.04999999998836</v>
      </c>
      <c r="M291" s="4"/>
      <c r="N291" s="12">
        <f>IF(H291=0,0,L291/H291)</f>
        <v>3.9477257430654026E-3</v>
      </c>
      <c r="O291" s="10"/>
      <c r="P291" s="4">
        <v>958818.14999999991</v>
      </c>
      <c r="Q291" s="4"/>
      <c r="R291" s="12">
        <f>IF(P$12=0,0,P291/P$12)</f>
        <v>0.18152645569647863</v>
      </c>
      <c r="S291" s="4"/>
      <c r="T291" s="4">
        <v>989372.30999999994</v>
      </c>
      <c r="U291" s="4"/>
      <c r="V291" s="12">
        <f>IF(T$12=0,0,T291/T$12)</f>
        <v>0.10428583607789807</v>
      </c>
      <c r="W291" s="4"/>
      <c r="X291" s="4">
        <f>+P291-T291</f>
        <v>-30554.160000000033</v>
      </c>
      <c r="Y291" s="4"/>
      <c r="Z291" s="12">
        <f>IF(T291=0,0,X291/T291)</f>
        <v>-3.0882368236078928E-2</v>
      </c>
    </row>
    <row r="292" spans="1:26" x14ac:dyDescent="0.25">
      <c r="A292" s="9"/>
      <c r="B292" s="10"/>
      <c r="C292" s="10"/>
      <c r="D292" s="3"/>
      <c r="E292" s="3"/>
      <c r="F292" s="8"/>
      <c r="G292" s="3"/>
      <c r="H292" s="3"/>
      <c r="I292" s="3"/>
      <c r="J292" s="8"/>
      <c r="K292" s="3"/>
      <c r="L292" s="3"/>
      <c r="M292" s="3"/>
      <c r="N292" s="8"/>
      <c r="O292" s="10"/>
      <c r="P292" s="3"/>
      <c r="Q292" s="3"/>
      <c r="R292" s="8"/>
      <c r="S292" s="3"/>
      <c r="T292" s="3"/>
      <c r="U292" s="3"/>
      <c r="V292" s="8"/>
      <c r="W292" s="3"/>
      <c r="X292" s="3"/>
      <c r="Y292" s="3"/>
      <c r="Z292" s="8"/>
    </row>
    <row r="293" spans="1:26" s="23" customFormat="1" ht="15.75" thickBot="1" x14ac:dyDescent="0.3">
      <c r="A293" s="10"/>
      <c r="B293" s="28" t="s">
        <v>4</v>
      </c>
      <c r="C293" s="28"/>
      <c r="D293" s="30">
        <f>+D289-D291</f>
        <v>-78651.609999999841</v>
      </c>
      <c r="E293" s="14"/>
      <c r="F293" s="36">
        <f>IF(D$12=0,0,D293/D$12)</f>
        <v>-6.0130485911505167E-2</v>
      </c>
      <c r="G293" s="14"/>
      <c r="H293" s="30">
        <f>+H289-H291</f>
        <v>356733.72000000009</v>
      </c>
      <c r="I293" s="14"/>
      <c r="J293" s="36">
        <f>IF(H$12=0,0,H293/H$12)</f>
        <v>0.14935129449982557</v>
      </c>
      <c r="K293" s="15"/>
      <c r="L293" s="30">
        <f>D293-H293</f>
        <v>-435385.32999999996</v>
      </c>
      <c r="M293" s="15"/>
      <c r="N293" s="36">
        <f>IF(H293=0,0,L293/H293)</f>
        <v>-1.2204770830186724</v>
      </c>
      <c r="O293" s="29"/>
      <c r="P293" s="30">
        <f>+P289-P291</f>
        <v>-933468.5200000013</v>
      </c>
      <c r="Q293" s="14"/>
      <c r="R293" s="36">
        <f>IF(P$12=0,0,P293/P$12)</f>
        <v>-0.17672718433608889</v>
      </c>
      <c r="S293" s="14"/>
      <c r="T293" s="30">
        <f>+T289-T291</f>
        <v>123308.84999999485</v>
      </c>
      <c r="U293" s="14"/>
      <c r="V293" s="36">
        <f>IF(T$12=0,0,T293/T$12)</f>
        <v>1.2997499917956654E-2</v>
      </c>
      <c r="W293" s="15"/>
      <c r="X293" s="30">
        <f>P293-T293</f>
        <v>-1056777.3699999962</v>
      </c>
      <c r="Y293" s="15"/>
      <c r="Z293" s="36">
        <f>IF(T293=0,0,X293/T293)</f>
        <v>-8.5701664560170681</v>
      </c>
    </row>
    <row r="294" spans="1:26" ht="15.75" thickTop="1" x14ac:dyDescent="0.25">
      <c r="A294" s="9"/>
      <c r="B294" s="9"/>
      <c r="C294" s="9"/>
      <c r="D294" s="3"/>
      <c r="E294" s="3"/>
      <c r="F294" s="8"/>
      <c r="G294" s="3"/>
      <c r="H294" s="3"/>
      <c r="I294" s="3"/>
      <c r="J294" s="8"/>
      <c r="K294" s="3"/>
      <c r="L294" s="3"/>
      <c r="M294" s="3"/>
      <c r="N294" s="8"/>
      <c r="P294" s="3"/>
      <c r="Q294" s="3"/>
      <c r="R294" s="8"/>
      <c r="S294" s="3"/>
      <c r="T294" s="3"/>
      <c r="U294" s="3"/>
      <c r="V294" s="8"/>
      <c r="W294" s="3"/>
      <c r="X294" s="3"/>
      <c r="Y294" s="3"/>
      <c r="Z294" s="8"/>
    </row>
    <row r="295" spans="1:26" x14ac:dyDescent="0.25">
      <c r="A295" s="9"/>
      <c r="B295" s="9"/>
      <c r="C295" s="9"/>
      <c r="D295" s="3"/>
      <c r="E295" s="3"/>
      <c r="F295" s="8"/>
      <c r="G295" s="3"/>
      <c r="H295" s="3"/>
      <c r="I295" s="3"/>
      <c r="J295" s="8"/>
      <c r="K295" s="3"/>
      <c r="L295" s="3"/>
      <c r="M295" s="3"/>
      <c r="N295" s="8"/>
      <c r="P295" s="3"/>
      <c r="Q295" s="3"/>
      <c r="R295" s="8"/>
      <c r="S295" s="3"/>
      <c r="T295" s="3"/>
      <c r="U295" s="3"/>
      <c r="V295" s="8"/>
      <c r="W295" s="3"/>
      <c r="X295" s="3"/>
      <c r="Y295" s="3"/>
      <c r="Z295" s="8"/>
    </row>
    <row r="296" spans="1:26" s="23" customFormat="1" ht="15.75" thickBot="1" x14ac:dyDescent="0.3">
      <c r="A296" s="10"/>
      <c r="B296" s="28" t="s">
        <v>5</v>
      </c>
      <c r="C296" s="28"/>
      <c r="D296" s="32">
        <f>SUM(D293:D295)</f>
        <v>-78651.609999999841</v>
      </c>
      <c r="E296" s="14"/>
      <c r="F296" s="31">
        <f>IF(D$12=0,0,D296/D$12)</f>
        <v>-6.0130485911505167E-2</v>
      </c>
      <c r="G296" s="14"/>
      <c r="H296" s="32">
        <f>SUM(H293:H295)</f>
        <v>356733.72000000009</v>
      </c>
      <c r="I296" s="14"/>
      <c r="J296" s="31">
        <f>IF(H$12=0,0,H296/H$12)</f>
        <v>0.14935129449982557</v>
      </c>
      <c r="K296" s="15"/>
      <c r="L296" s="32">
        <f>+D296-H296</f>
        <v>-435385.32999999996</v>
      </c>
      <c r="M296" s="15"/>
      <c r="N296" s="31">
        <f>IF(H296=0,0,L296/H296)</f>
        <v>-1.2204770830186724</v>
      </c>
      <c r="O296" s="29"/>
      <c r="P296" s="32">
        <f>SUM(P293:P295)</f>
        <v>-933468.5200000013</v>
      </c>
      <c r="Q296" s="14"/>
      <c r="R296" s="31">
        <f>IF(P$12=0,0,P296/P$12)</f>
        <v>-0.17672718433608889</v>
      </c>
      <c r="S296" s="14"/>
      <c r="T296" s="32">
        <f>SUM(T293:T295)</f>
        <v>123308.84999999485</v>
      </c>
      <c r="U296" s="14"/>
      <c r="V296" s="31">
        <f>IF(T$12=0,0,T296/T$12)</f>
        <v>1.2997499917956654E-2</v>
      </c>
      <c r="W296" s="15"/>
      <c r="X296" s="32">
        <f>+P296-T296</f>
        <v>-1056777.3699999962</v>
      </c>
      <c r="Y296" s="15"/>
      <c r="Z296" s="31">
        <f>IF(T296=0,0,X296/T296)</f>
        <v>-8.5701664560170681</v>
      </c>
    </row>
    <row r="297" spans="1:26" ht="15.75" thickTop="1" x14ac:dyDescent="0.25">
      <c r="A297" s="9"/>
      <c r="C297" s="9"/>
      <c r="D297" s="18"/>
      <c r="E297" s="18"/>
      <c r="G297" s="18"/>
      <c r="H297" s="18"/>
      <c r="I297" s="18"/>
      <c r="J297" s="42"/>
      <c r="K297" s="18"/>
      <c r="L297" s="18"/>
      <c r="M297" s="18"/>
      <c r="P297" s="18"/>
      <c r="Q297" s="18"/>
      <c r="R297" s="42"/>
      <c r="S297" s="18"/>
      <c r="T297" s="18"/>
      <c r="U297" s="18"/>
      <c r="V297" s="42"/>
      <c r="W297" s="18"/>
      <c r="X297" s="18"/>
    </row>
    <row r="298" spans="1:26" x14ac:dyDescent="0.25">
      <c r="A298" s="9"/>
      <c r="B298" s="62">
        <v>44238.495825694445</v>
      </c>
      <c r="D298" s="18"/>
      <c r="E298" s="18"/>
      <c r="G298" s="18"/>
      <c r="H298" s="18"/>
      <c r="I298" s="18"/>
      <c r="J298" s="42"/>
      <c r="K298" s="18"/>
      <c r="L298" s="18"/>
      <c r="M298" s="18"/>
      <c r="P298" s="18"/>
      <c r="Q298" s="18"/>
      <c r="R298" s="42"/>
      <c r="S298" s="18"/>
      <c r="T298" s="18"/>
      <c r="U298" s="18"/>
      <c r="V298" s="42"/>
      <c r="W298" s="18"/>
      <c r="X298" s="18"/>
    </row>
    <row r="299" spans="1:26" x14ac:dyDescent="0.25">
      <c r="A299" s="9"/>
      <c r="B299" s="59" t="s">
        <v>313</v>
      </c>
      <c r="D299" s="18"/>
      <c r="E299" s="18"/>
      <c r="G299" s="18"/>
      <c r="H299" s="18"/>
      <c r="I299" s="18"/>
      <c r="J299" s="42"/>
      <c r="K299" s="18"/>
      <c r="L299" s="18"/>
      <c r="M299" s="18"/>
      <c r="P299" s="18"/>
      <c r="Q299" s="18"/>
      <c r="R299" s="42"/>
      <c r="S299" s="18"/>
      <c r="T299" s="18"/>
      <c r="U299" s="18"/>
      <c r="V299" s="42"/>
      <c r="W299" s="18"/>
      <c r="X299" s="18"/>
    </row>
    <row r="300" spans="1:26" x14ac:dyDescent="0.25">
      <c r="A300" s="9"/>
      <c r="B300" s="56"/>
      <c r="D300" s="18"/>
      <c r="E300" s="18"/>
      <c r="G300" s="18"/>
      <c r="H300" s="18"/>
      <c r="I300" s="18"/>
      <c r="J300" s="42"/>
      <c r="K300" s="18"/>
      <c r="L300" s="18"/>
      <c r="M300" s="18"/>
      <c r="P300" s="18"/>
      <c r="Q300" s="18"/>
      <c r="R300" s="42"/>
      <c r="S300" s="18"/>
      <c r="T300" s="18"/>
      <c r="U300" s="18"/>
      <c r="V300" s="42"/>
      <c r="W300" s="18"/>
      <c r="X300" s="18"/>
    </row>
    <row r="301" spans="1:26" x14ac:dyDescent="0.25">
      <c r="D301" s="18"/>
      <c r="E301" s="18"/>
      <c r="G301" s="18"/>
      <c r="H301" s="18"/>
      <c r="I301" s="18"/>
      <c r="J301" s="42"/>
      <c r="K301" s="18"/>
      <c r="L301" s="18"/>
      <c r="M301" s="18"/>
      <c r="P301" s="18"/>
      <c r="Q301" s="18"/>
      <c r="R301" s="42"/>
      <c r="S301" s="18"/>
      <c r="T301" s="18"/>
      <c r="U301" s="18"/>
      <c r="V301" s="42"/>
      <c r="W301" s="18"/>
      <c r="X301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","301", " - ", "Bookstore Operations")</f>
        <v>Department 301 - Bookstore Operations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142959.37</v>
      </c>
      <c r="E18" s="21"/>
      <c r="F18" s="35">
        <f t="shared" ref="F18:F29" si="0">IF(D$12=0,0,D18/D$12)</f>
        <v>0</v>
      </c>
      <c r="G18" s="21"/>
      <c r="H18" s="21">
        <f>SUM(OSRRefH22x_0)</f>
        <v>162193.60000000001</v>
      </c>
      <c r="I18" s="21"/>
      <c r="J18" s="35">
        <f t="shared" ref="J18:J29" si="1">IF(H$12=0,0,H18/H$12)</f>
        <v>0</v>
      </c>
      <c r="K18" s="4"/>
      <c r="L18" s="21">
        <f t="shared" ref="L18:L29" si="2">+D18-H18</f>
        <v>-19234.23000000001</v>
      </c>
      <c r="M18" s="4"/>
      <c r="N18" s="35">
        <f t="shared" ref="N18:N29" si="3">IF(H18=0,0,L18/H18)</f>
        <v>-0.11858809472137008</v>
      </c>
      <c r="O18" s="10"/>
      <c r="P18" s="21">
        <f>SUM(OSRRefP22x_0)</f>
        <v>876047.51000000024</v>
      </c>
      <c r="Q18" s="21"/>
      <c r="R18" s="35">
        <f t="shared" ref="R18:R29" si="4">IF(P$12=0,0,P18/P$12)</f>
        <v>0</v>
      </c>
      <c r="S18" s="21"/>
      <c r="T18" s="21">
        <f>SUM(OSRRefT22x_0)</f>
        <v>941711.59</v>
      </c>
      <c r="U18" s="21"/>
      <c r="V18" s="35">
        <f t="shared" ref="V18:V29" si="5">IF(T$12=0,0,T18/T$12)</f>
        <v>0</v>
      </c>
      <c r="W18" s="4"/>
      <c r="X18" s="21">
        <f t="shared" ref="X18:X29" si="6">+P18-T18</f>
        <v>-65664.079999999725</v>
      </c>
      <c r="Y18" s="4"/>
      <c r="Z18" s="35">
        <f t="shared" ref="Z18:Z29" si="7">IF(T18=0,0,X18/T18)</f>
        <v>-6.9728439893152139E-2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12177.93</v>
      </c>
      <c r="E19" s="1"/>
      <c r="F19" s="5">
        <f t="shared" si="0"/>
        <v>0</v>
      </c>
      <c r="G19" s="1"/>
      <c r="H19" s="1">
        <f>SUM(OSRRefH22_0x_0)</f>
        <v>11087.13</v>
      </c>
      <c r="I19" s="1"/>
      <c r="J19" s="5">
        <f t="shared" si="1"/>
        <v>0</v>
      </c>
      <c r="K19" s="1"/>
      <c r="L19" s="1">
        <f t="shared" si="2"/>
        <v>1090.8000000000011</v>
      </c>
      <c r="M19" s="1"/>
      <c r="N19" s="5">
        <f t="shared" si="3"/>
        <v>9.838434292734019E-2</v>
      </c>
      <c r="O19" s="13"/>
      <c r="P19" s="1">
        <f>SUM(OSRRefP22_0x_0)</f>
        <v>62811.819999999992</v>
      </c>
      <c r="Q19" s="1"/>
      <c r="R19" s="5">
        <f t="shared" si="4"/>
        <v>0</v>
      </c>
      <c r="S19" s="1"/>
      <c r="T19" s="1">
        <f>SUM(OSRRefT22_0x_0)</f>
        <v>91015.01</v>
      </c>
      <c r="U19" s="1"/>
      <c r="V19" s="5">
        <f t="shared" si="5"/>
        <v>0</v>
      </c>
      <c r="W19" s="1"/>
      <c r="X19" s="1">
        <f t="shared" si="6"/>
        <v>-28203.190000000002</v>
      </c>
      <c r="Y19" s="1"/>
      <c r="Z19" s="5">
        <f t="shared" si="7"/>
        <v>-0.30987405264252571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2086.96</v>
      </c>
      <c r="E20" s="2"/>
      <c r="F20" s="7">
        <f t="shared" si="0"/>
        <v>0</v>
      </c>
      <c r="G20" s="2"/>
      <c r="H20" s="6">
        <v>1634.79</v>
      </c>
      <c r="I20" s="2"/>
      <c r="J20" s="7">
        <f t="shared" si="1"/>
        <v>0</v>
      </c>
      <c r="K20" s="2"/>
      <c r="L20" s="6">
        <f t="shared" si="2"/>
        <v>452.17000000000007</v>
      </c>
      <c r="M20" s="2"/>
      <c r="N20" s="7">
        <f t="shared" si="3"/>
        <v>0.27659210051443922</v>
      </c>
      <c r="O20" s="11"/>
      <c r="P20" s="6">
        <v>17100.080000000002</v>
      </c>
      <c r="Q20" s="2"/>
      <c r="R20" s="7">
        <f t="shared" si="4"/>
        <v>0</v>
      </c>
      <c r="S20" s="2"/>
      <c r="T20" s="6">
        <v>18712.190000000002</v>
      </c>
      <c r="U20" s="2"/>
      <c r="V20" s="7">
        <f t="shared" si="5"/>
        <v>0</v>
      </c>
      <c r="W20" s="2"/>
      <c r="X20" s="6">
        <f t="shared" si="6"/>
        <v>-1612.1100000000006</v>
      </c>
      <c r="Y20" s="2"/>
      <c r="Z20" s="7">
        <f t="shared" si="7"/>
        <v>-8.6152930255624829E-2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602.88</v>
      </c>
      <c r="E21" s="2"/>
      <c r="F21" s="7">
        <f t="shared" si="0"/>
        <v>0</v>
      </c>
      <c r="G21" s="2"/>
      <c r="H21" s="6">
        <v>1050.52</v>
      </c>
      <c r="I21" s="2"/>
      <c r="J21" s="7">
        <f t="shared" si="1"/>
        <v>0</v>
      </c>
      <c r="K21" s="2"/>
      <c r="L21" s="6">
        <f t="shared" si="2"/>
        <v>-447.64</v>
      </c>
      <c r="M21" s="2"/>
      <c r="N21" s="7">
        <f t="shared" si="3"/>
        <v>-0.42611278224117577</v>
      </c>
      <c r="O21" s="11"/>
      <c r="P21" s="6">
        <v>5231.95</v>
      </c>
      <c r="Q21" s="2"/>
      <c r="R21" s="7">
        <f t="shared" si="4"/>
        <v>0</v>
      </c>
      <c r="S21" s="2"/>
      <c r="T21" s="6">
        <v>4271.37</v>
      </c>
      <c r="U21" s="2"/>
      <c r="V21" s="7">
        <f t="shared" si="5"/>
        <v>0</v>
      </c>
      <c r="W21" s="2"/>
      <c r="X21" s="6">
        <f t="shared" si="6"/>
        <v>960.57999999999993</v>
      </c>
      <c r="Y21" s="2"/>
      <c r="Z21" s="7">
        <f t="shared" si="7"/>
        <v>0.22488803358173137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5096.28</v>
      </c>
      <c r="E22" s="2"/>
      <c r="F22" s="7">
        <f t="shared" si="0"/>
        <v>0</v>
      </c>
      <c r="G22" s="2"/>
      <c r="H22" s="6">
        <v>3247.78</v>
      </c>
      <c r="I22" s="2"/>
      <c r="J22" s="7">
        <f t="shared" si="1"/>
        <v>0</v>
      </c>
      <c r="K22" s="2"/>
      <c r="L22" s="6">
        <f t="shared" si="2"/>
        <v>1848.4999999999995</v>
      </c>
      <c r="M22" s="2"/>
      <c r="N22" s="7">
        <f t="shared" si="3"/>
        <v>0.56915800947108464</v>
      </c>
      <c r="O22" s="11"/>
      <c r="P22" s="6">
        <v>14948.009999999998</v>
      </c>
      <c r="Q22" s="2"/>
      <c r="R22" s="7">
        <f t="shared" si="4"/>
        <v>0</v>
      </c>
      <c r="S22" s="2"/>
      <c r="T22" s="6">
        <v>30567.769999999997</v>
      </c>
      <c r="U22" s="2"/>
      <c r="V22" s="7">
        <f t="shared" si="5"/>
        <v>0</v>
      </c>
      <c r="W22" s="2"/>
      <c r="X22" s="6">
        <f t="shared" si="6"/>
        <v>-15619.759999999998</v>
      </c>
      <c r="Y22" s="2"/>
      <c r="Z22" s="7">
        <f t="shared" si="7"/>
        <v>-0.51098788037203891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220.75</v>
      </c>
      <c r="E23" s="2"/>
      <c r="F23" s="7">
        <f t="shared" si="0"/>
        <v>0</v>
      </c>
      <c r="G23" s="2"/>
      <c r="H23" s="6">
        <v>151.62</v>
      </c>
      <c r="I23" s="2"/>
      <c r="J23" s="7">
        <f t="shared" si="1"/>
        <v>0</v>
      </c>
      <c r="K23" s="2"/>
      <c r="L23" s="6">
        <f t="shared" si="2"/>
        <v>69.13</v>
      </c>
      <c r="M23" s="2"/>
      <c r="N23" s="7">
        <f t="shared" si="3"/>
        <v>0.45594248779844343</v>
      </c>
      <c r="O23" s="11"/>
      <c r="P23" s="6">
        <v>820.42</v>
      </c>
      <c r="Q23" s="2"/>
      <c r="R23" s="7">
        <f t="shared" si="4"/>
        <v>0</v>
      </c>
      <c r="S23" s="2"/>
      <c r="T23" s="6">
        <v>996.09</v>
      </c>
      <c r="U23" s="2"/>
      <c r="V23" s="7">
        <f t="shared" si="5"/>
        <v>0</v>
      </c>
      <c r="W23" s="2"/>
      <c r="X23" s="6">
        <f t="shared" si="6"/>
        <v>-175.67000000000007</v>
      </c>
      <c r="Y23" s="2"/>
      <c r="Z23" s="7">
        <f t="shared" si="7"/>
        <v>-0.17635956590267954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1561.41</v>
      </c>
      <c r="E24" s="2"/>
      <c r="F24" s="7">
        <f t="shared" si="0"/>
        <v>0</v>
      </c>
      <c r="G24" s="2"/>
      <c r="H24" s="6">
        <v>2296.44</v>
      </c>
      <c r="I24" s="2"/>
      <c r="J24" s="7">
        <f t="shared" si="1"/>
        <v>0</v>
      </c>
      <c r="K24" s="2"/>
      <c r="L24" s="6">
        <f t="shared" si="2"/>
        <v>-735.03</v>
      </c>
      <c r="M24" s="2"/>
      <c r="N24" s="7">
        <f t="shared" si="3"/>
        <v>-0.32007367926007207</v>
      </c>
      <c r="O24" s="11"/>
      <c r="P24" s="6">
        <v>9468.89</v>
      </c>
      <c r="Q24" s="2"/>
      <c r="R24" s="7">
        <f t="shared" si="4"/>
        <v>0</v>
      </c>
      <c r="S24" s="2"/>
      <c r="T24" s="6">
        <v>14601.6</v>
      </c>
      <c r="U24" s="2"/>
      <c r="V24" s="7">
        <f t="shared" si="5"/>
        <v>0</v>
      </c>
      <c r="W24" s="2"/>
      <c r="X24" s="6">
        <f t="shared" si="6"/>
        <v>-5132.7100000000009</v>
      </c>
      <c r="Y24" s="2"/>
      <c r="Z24" s="7">
        <f t="shared" si="7"/>
        <v>-0.35151695704580327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401.9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401.9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209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209</v>
      </c>
      <c r="M26" s="2"/>
      <c r="N26" s="7">
        <f t="shared" si="3"/>
        <v>0</v>
      </c>
      <c r="O26" s="11"/>
      <c r="P26" s="6">
        <v>398.96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398.96</v>
      </c>
      <c r="Y26" s="2"/>
      <c r="Z26" s="7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1307.48</v>
      </c>
      <c r="E27" s="2"/>
      <c r="F27" s="7">
        <f t="shared" si="0"/>
        <v>0</v>
      </c>
      <c r="G27" s="2"/>
      <c r="H27" s="6">
        <v>1366</v>
      </c>
      <c r="I27" s="2"/>
      <c r="J27" s="7">
        <f t="shared" si="1"/>
        <v>0</v>
      </c>
      <c r="K27" s="2"/>
      <c r="L27" s="6">
        <f t="shared" si="2"/>
        <v>-58.519999999999982</v>
      </c>
      <c r="M27" s="2"/>
      <c r="N27" s="7">
        <f t="shared" si="3"/>
        <v>-4.2840409956076124E-2</v>
      </c>
      <c r="O27" s="11"/>
      <c r="P27" s="6">
        <v>7882.85</v>
      </c>
      <c r="Q27" s="2"/>
      <c r="R27" s="7">
        <f t="shared" si="4"/>
        <v>0</v>
      </c>
      <c r="S27" s="2"/>
      <c r="T27" s="6">
        <v>11974.29</v>
      </c>
      <c r="U27" s="2"/>
      <c r="V27" s="7">
        <f t="shared" si="5"/>
        <v>0</v>
      </c>
      <c r="W27" s="2"/>
      <c r="X27" s="6">
        <f t="shared" si="6"/>
        <v>-4091.4400000000005</v>
      </c>
      <c r="Y27" s="2"/>
      <c r="Z27" s="7">
        <f t="shared" si="7"/>
        <v>-0.34168539429060096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832.35</v>
      </c>
      <c r="E28" s="2"/>
      <c r="F28" s="7">
        <f t="shared" si="0"/>
        <v>0</v>
      </c>
      <c r="G28" s="2"/>
      <c r="H28" s="6">
        <v>769.49</v>
      </c>
      <c r="I28" s="2"/>
      <c r="J28" s="7">
        <f t="shared" si="1"/>
        <v>0</v>
      </c>
      <c r="K28" s="2"/>
      <c r="L28" s="6">
        <f t="shared" si="2"/>
        <v>62.860000000000014</v>
      </c>
      <c r="M28" s="2"/>
      <c r="N28" s="7">
        <f t="shared" si="3"/>
        <v>8.1690470311505045E-2</v>
      </c>
      <c r="O28" s="11"/>
      <c r="P28" s="6">
        <v>5270.38</v>
      </c>
      <c r="Q28" s="2"/>
      <c r="R28" s="7">
        <f t="shared" si="4"/>
        <v>0</v>
      </c>
      <c r="S28" s="2"/>
      <c r="T28" s="6">
        <v>7277.2</v>
      </c>
      <c r="U28" s="2"/>
      <c r="V28" s="7">
        <f t="shared" si="5"/>
        <v>0</v>
      </c>
      <c r="W28" s="2"/>
      <c r="X28" s="6">
        <f t="shared" si="6"/>
        <v>-2006.8199999999997</v>
      </c>
      <c r="Y28" s="2"/>
      <c r="Z28" s="7">
        <f t="shared" si="7"/>
        <v>-0.2757681525861595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260.82</v>
      </c>
      <c r="E29" s="2"/>
      <c r="F29" s="7">
        <f t="shared" si="0"/>
        <v>0</v>
      </c>
      <c r="G29" s="2"/>
      <c r="H29" s="6">
        <v>570.49</v>
      </c>
      <c r="I29" s="2"/>
      <c r="J29" s="7">
        <f t="shared" si="1"/>
        <v>0</v>
      </c>
      <c r="K29" s="2"/>
      <c r="L29" s="6">
        <f t="shared" si="2"/>
        <v>-309.67</v>
      </c>
      <c r="M29" s="2"/>
      <c r="N29" s="7">
        <f t="shared" si="3"/>
        <v>-0.54281407211344634</v>
      </c>
      <c r="O29" s="11"/>
      <c r="P29" s="6">
        <v>1288.3800000000001</v>
      </c>
      <c r="Q29" s="2"/>
      <c r="R29" s="7">
        <f t="shared" si="4"/>
        <v>0</v>
      </c>
      <c r="S29" s="2"/>
      <c r="T29" s="6">
        <v>2614.5</v>
      </c>
      <c r="U29" s="2"/>
      <c r="V29" s="7">
        <f t="shared" si="5"/>
        <v>0</v>
      </c>
      <c r="W29" s="2"/>
      <c r="X29" s="6">
        <f t="shared" si="6"/>
        <v>-1326.12</v>
      </c>
      <c r="Y29" s="2"/>
      <c r="Z29" s="7">
        <f t="shared" si="7"/>
        <v>-0.50721744119334478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60404.84</v>
      </c>
      <c r="E30" s="1"/>
      <c r="F30" s="5">
        <f t="shared" ref="F30:F37" si="8">IF(D$12=0,0,D30/D$12)</f>
        <v>0</v>
      </c>
      <c r="G30" s="1"/>
      <c r="H30" s="1">
        <f>SUM(OSRRefH22_1x_0)</f>
        <v>70937.820000000007</v>
      </c>
      <c r="I30" s="1"/>
      <c r="J30" s="5">
        <f t="shared" ref="J30:J37" si="9">IF(H$12=0,0,H30/H$12)</f>
        <v>0</v>
      </c>
      <c r="K30" s="1"/>
      <c r="L30" s="1">
        <f t="shared" ref="L30:L37" si="10">+D30-H30</f>
        <v>-10532.98000000001</v>
      </c>
      <c r="M30" s="1"/>
      <c r="N30" s="5">
        <f t="shared" ref="N30:N37" si="11">IF(H30=0,0,L30/H30)</f>
        <v>-0.14848186764126681</v>
      </c>
      <c r="O30" s="13"/>
      <c r="P30" s="1">
        <f>SUM(OSRRefP22_1x_0)</f>
        <v>308590.32000000007</v>
      </c>
      <c r="Q30" s="1"/>
      <c r="R30" s="5">
        <f t="shared" ref="R30:R37" si="12">IF(P$12=0,0,P30/P$12)</f>
        <v>0</v>
      </c>
      <c r="S30" s="1"/>
      <c r="T30" s="1">
        <f>SUM(OSRRefT22_1x_0)</f>
        <v>347573.51</v>
      </c>
      <c r="U30" s="1"/>
      <c r="V30" s="5">
        <f t="shared" ref="V30:V37" si="13">IF(T$12=0,0,T30/T$12)</f>
        <v>0</v>
      </c>
      <c r="W30" s="1"/>
      <c r="X30" s="1">
        <f t="shared" ref="X30:X37" si="14">+P30-T30</f>
        <v>-38983.189999999944</v>
      </c>
      <c r="Y30" s="1"/>
      <c r="Z30" s="5">
        <f t="shared" ref="Z30:Z37" si="15">IF(T30=0,0,X30/T30)</f>
        <v>-0.11215811584720579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>
        <v>5332.74</v>
      </c>
      <c r="E31" s="2"/>
      <c r="F31" s="7">
        <f t="shared" si="8"/>
        <v>0</v>
      </c>
      <c r="G31" s="2"/>
      <c r="H31" s="6">
        <v>12324.43</v>
      </c>
      <c r="I31" s="2"/>
      <c r="J31" s="7">
        <f t="shared" si="9"/>
        <v>0</v>
      </c>
      <c r="K31" s="2"/>
      <c r="L31" s="6">
        <f t="shared" si="10"/>
        <v>-6991.6900000000005</v>
      </c>
      <c r="M31" s="2"/>
      <c r="N31" s="7">
        <f t="shared" si="11"/>
        <v>-0.56730331544744872</v>
      </c>
      <c r="O31" s="11"/>
      <c r="P31" s="6">
        <v>30527.17</v>
      </c>
      <c r="Q31" s="2"/>
      <c r="R31" s="7">
        <f t="shared" si="12"/>
        <v>0</v>
      </c>
      <c r="S31" s="2"/>
      <c r="T31" s="6">
        <v>79306.540000000008</v>
      </c>
      <c r="U31" s="2"/>
      <c r="V31" s="7">
        <f t="shared" si="13"/>
        <v>0</v>
      </c>
      <c r="W31" s="2"/>
      <c r="X31" s="6">
        <f t="shared" si="14"/>
        <v>-48779.37000000001</v>
      </c>
      <c r="Y31" s="2"/>
      <c r="Z31" s="7">
        <f t="shared" si="15"/>
        <v>-0.61507373792880138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11452.71</v>
      </c>
      <c r="E32" s="2"/>
      <c r="F32" s="7">
        <f t="shared" si="8"/>
        <v>0</v>
      </c>
      <c r="G32" s="2"/>
      <c r="H32" s="6">
        <v>7353.65</v>
      </c>
      <c r="I32" s="2"/>
      <c r="J32" s="7">
        <f t="shared" si="9"/>
        <v>0</v>
      </c>
      <c r="K32" s="2"/>
      <c r="L32" s="6">
        <f t="shared" si="10"/>
        <v>4099.0599999999995</v>
      </c>
      <c r="M32" s="2"/>
      <c r="N32" s="7">
        <f t="shared" si="11"/>
        <v>0.55741842486384308</v>
      </c>
      <c r="O32" s="11"/>
      <c r="P32" s="6">
        <v>63742.8</v>
      </c>
      <c r="Q32" s="2"/>
      <c r="R32" s="7">
        <f t="shared" si="12"/>
        <v>0</v>
      </c>
      <c r="S32" s="2"/>
      <c r="T32" s="6">
        <v>56009.2</v>
      </c>
      <c r="U32" s="2"/>
      <c r="V32" s="7">
        <f t="shared" si="13"/>
        <v>0</v>
      </c>
      <c r="W32" s="2"/>
      <c r="X32" s="6">
        <f t="shared" si="14"/>
        <v>7733.6000000000058</v>
      </c>
      <c r="Y32" s="2"/>
      <c r="Z32" s="7">
        <f t="shared" si="15"/>
        <v>0.13807731586953584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>
        <v>7157.45</v>
      </c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7157.45</v>
      </c>
      <c r="M33" s="2"/>
      <c r="N33" s="7">
        <f t="shared" si="11"/>
        <v>0</v>
      </c>
      <c r="O33" s="11"/>
      <c r="P33" s="6">
        <v>16464.329999999998</v>
      </c>
      <c r="Q33" s="2"/>
      <c r="R33" s="7">
        <f t="shared" si="12"/>
        <v>0</v>
      </c>
      <c r="S33" s="2"/>
      <c r="T33" s="6">
        <v>-1647.01</v>
      </c>
      <c r="U33" s="2"/>
      <c r="V33" s="7">
        <f t="shared" si="13"/>
        <v>0</v>
      </c>
      <c r="W33" s="2"/>
      <c r="X33" s="6">
        <f t="shared" si="14"/>
        <v>18111.339999999997</v>
      </c>
      <c r="Y33" s="2"/>
      <c r="Z33" s="7">
        <f t="shared" si="15"/>
        <v>-10.996496681865924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>
        <v>6800.16</v>
      </c>
      <c r="E34" s="2"/>
      <c r="F34" s="7">
        <f t="shared" si="8"/>
        <v>0</v>
      </c>
      <c r="G34" s="2"/>
      <c r="H34" s="6">
        <v>4725.97</v>
      </c>
      <c r="I34" s="2"/>
      <c r="J34" s="7">
        <f t="shared" si="9"/>
        <v>0</v>
      </c>
      <c r="K34" s="2"/>
      <c r="L34" s="6">
        <f t="shared" si="10"/>
        <v>2074.1899999999996</v>
      </c>
      <c r="M34" s="2"/>
      <c r="N34" s="7">
        <f t="shared" si="11"/>
        <v>0.43889191002058825</v>
      </c>
      <c r="O34" s="11"/>
      <c r="P34" s="6">
        <v>54317.84</v>
      </c>
      <c r="Q34" s="2"/>
      <c r="R34" s="7">
        <f t="shared" si="12"/>
        <v>0</v>
      </c>
      <c r="S34" s="2"/>
      <c r="T34" s="6">
        <v>47463.07</v>
      </c>
      <c r="U34" s="2"/>
      <c r="V34" s="7">
        <f t="shared" si="13"/>
        <v>0</v>
      </c>
      <c r="W34" s="2"/>
      <c r="X34" s="6">
        <f t="shared" si="14"/>
        <v>6854.7699999999968</v>
      </c>
      <c r="Y34" s="2"/>
      <c r="Z34" s="7">
        <f t="shared" si="15"/>
        <v>0.14442323263118034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9485.67</v>
      </c>
      <c r="Q35" s="2"/>
      <c r="R35" s="7">
        <f t="shared" si="12"/>
        <v>0</v>
      </c>
      <c r="S35" s="2"/>
      <c r="T35" s="6">
        <v>11273.01</v>
      </c>
      <c r="U35" s="2"/>
      <c r="V35" s="7">
        <f t="shared" si="13"/>
        <v>0</v>
      </c>
      <c r="W35" s="2"/>
      <c r="X35" s="6">
        <f t="shared" si="14"/>
        <v>-1787.3400000000001</v>
      </c>
      <c r="Y35" s="2"/>
      <c r="Z35" s="7">
        <f t="shared" si="15"/>
        <v>-0.15855037829293153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29661.779999999995</v>
      </c>
      <c r="E36" s="2"/>
      <c r="F36" s="7">
        <f t="shared" si="8"/>
        <v>0</v>
      </c>
      <c r="G36" s="2"/>
      <c r="H36" s="6">
        <v>45484.02</v>
      </c>
      <c r="I36" s="2"/>
      <c r="J36" s="7">
        <f t="shared" si="9"/>
        <v>0</v>
      </c>
      <c r="K36" s="2"/>
      <c r="L36" s="6">
        <f t="shared" si="10"/>
        <v>-15822.240000000002</v>
      </c>
      <c r="M36" s="2"/>
      <c r="N36" s="7">
        <f t="shared" si="11"/>
        <v>-0.34786371125507382</v>
      </c>
      <c r="O36" s="11"/>
      <c r="P36" s="6">
        <v>134052.51</v>
      </c>
      <c r="Q36" s="2"/>
      <c r="R36" s="7">
        <f t="shared" si="12"/>
        <v>0</v>
      </c>
      <c r="S36" s="2"/>
      <c r="T36" s="6">
        <v>153566.95000000001</v>
      </c>
      <c r="U36" s="2"/>
      <c r="V36" s="7">
        <f t="shared" si="13"/>
        <v>0</v>
      </c>
      <c r="W36" s="2"/>
      <c r="X36" s="6">
        <f t="shared" si="14"/>
        <v>-19514.440000000002</v>
      </c>
      <c r="Y36" s="2"/>
      <c r="Z36" s="7">
        <f t="shared" si="15"/>
        <v>-0.12707447793942642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1049.75</v>
      </c>
      <c r="I37" s="2"/>
      <c r="J37" s="7">
        <f t="shared" si="9"/>
        <v>0</v>
      </c>
      <c r="K37" s="2"/>
      <c r="L37" s="6">
        <f t="shared" si="10"/>
        <v>-1049.75</v>
      </c>
      <c r="M37" s="2"/>
      <c r="N37" s="7">
        <f t="shared" si="11"/>
        <v>-1</v>
      </c>
      <c r="O37" s="11"/>
      <c r="P37" s="6"/>
      <c r="Q37" s="2"/>
      <c r="R37" s="7">
        <f t="shared" si="12"/>
        <v>0</v>
      </c>
      <c r="S37" s="2"/>
      <c r="T37" s="6">
        <v>1601.75</v>
      </c>
      <c r="U37" s="2"/>
      <c r="V37" s="7">
        <f t="shared" si="13"/>
        <v>0</v>
      </c>
      <c r="W37" s="2"/>
      <c r="X37" s="6">
        <f t="shared" si="14"/>
        <v>-1601.75</v>
      </c>
      <c r="Y37" s="2"/>
      <c r="Z37" s="7">
        <f t="shared" si="15"/>
        <v>-1</v>
      </c>
    </row>
    <row r="38" spans="1:26" s="26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125</v>
      </c>
      <c r="E38" s="1"/>
      <c r="F38" s="5">
        <f t="shared" ref="F38:F42" si="16">IF(D$12=0,0,D38/D$12)</f>
        <v>0</v>
      </c>
      <c r="G38" s="1"/>
      <c r="H38" s="1">
        <f>SUM(OSRRefH22_2x_0)</f>
        <v>-3281.76</v>
      </c>
      <c r="I38" s="1"/>
      <c r="J38" s="5">
        <f t="shared" ref="J38:J42" si="17">IF(H$12=0,0,H38/H$12)</f>
        <v>0</v>
      </c>
      <c r="K38" s="1"/>
      <c r="L38" s="1">
        <f t="shared" ref="L38:L42" si="18">+D38-H38</f>
        <v>3406.76</v>
      </c>
      <c r="M38" s="1"/>
      <c r="N38" s="5">
        <f t="shared" ref="N38:N42" si="19">IF(H38=0,0,L38/H38)</f>
        <v>-1.0380893179269661</v>
      </c>
      <c r="O38" s="13"/>
      <c r="P38" s="1">
        <f>SUM(OSRRefP22_2x_0)</f>
        <v>225</v>
      </c>
      <c r="Q38" s="1"/>
      <c r="R38" s="5">
        <f t="shared" ref="R38:R42" si="20">IF(P$12=0,0,P38/P$12)</f>
        <v>0</v>
      </c>
      <c r="S38" s="1"/>
      <c r="T38" s="1">
        <f>SUM(OSRRefT22_2x_0)</f>
        <v>14002.78</v>
      </c>
      <c r="U38" s="1"/>
      <c r="V38" s="5">
        <f t="shared" ref="V38:V42" si="21">IF(T$12=0,0,T38/T$12)</f>
        <v>0</v>
      </c>
      <c r="W38" s="1"/>
      <c r="X38" s="1">
        <f t="shared" ref="X38:X42" si="22">+P38-T38</f>
        <v>-13777.78</v>
      </c>
      <c r="Y38" s="1"/>
      <c r="Z38" s="5">
        <f t="shared" ref="Z38:Z42" si="23">IF(T38=0,0,X38/T38)</f>
        <v>-0.98393176212152156</v>
      </c>
    </row>
    <row r="39" spans="1:26" s="24" customFormat="1" hidden="1" outlineLevel="2" x14ac:dyDescent="0.25">
      <c r="A39" s="25"/>
      <c r="B39" s="11" t="str">
        <f>CONCATENATE("          ", "6362", " - ", "ADVERTISING EXPENSE")</f>
        <v xml:space="preserve">          6362 - ADVERTISING EXPENSE</v>
      </c>
      <c r="C39" s="11"/>
      <c r="D39" s="6">
        <v>125</v>
      </c>
      <c r="E39" s="2"/>
      <c r="F39" s="7">
        <f t="shared" si="16"/>
        <v>0</v>
      </c>
      <c r="G39" s="2"/>
      <c r="H39" s="6">
        <v>-3281.76</v>
      </c>
      <c r="I39" s="2"/>
      <c r="J39" s="7">
        <f t="shared" si="17"/>
        <v>0</v>
      </c>
      <c r="K39" s="2"/>
      <c r="L39" s="6">
        <f t="shared" si="18"/>
        <v>3406.76</v>
      </c>
      <c r="M39" s="2"/>
      <c r="N39" s="7">
        <f t="shared" si="19"/>
        <v>-1.0380893179269661</v>
      </c>
      <c r="O39" s="11"/>
      <c r="P39" s="6">
        <v>225</v>
      </c>
      <c r="Q39" s="2"/>
      <c r="R39" s="7">
        <f t="shared" si="20"/>
        <v>0</v>
      </c>
      <c r="S39" s="2"/>
      <c r="T39" s="6">
        <v>14002.78</v>
      </c>
      <c r="U39" s="2"/>
      <c r="V39" s="7">
        <f t="shared" si="21"/>
        <v>0</v>
      </c>
      <c r="W39" s="2"/>
      <c r="X39" s="6">
        <f t="shared" si="22"/>
        <v>-13777.78</v>
      </c>
      <c r="Y39" s="2"/>
      <c r="Z39" s="7">
        <f t="shared" si="23"/>
        <v>-0.98393176212152156</v>
      </c>
    </row>
    <row r="40" spans="1:26" s="26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1872.51</v>
      </c>
      <c r="E40" s="1"/>
      <c r="F40" s="5">
        <f t="shared" si="16"/>
        <v>0</v>
      </c>
      <c r="G40" s="1"/>
      <c r="H40" s="1">
        <f>SUM(OSRRefH22_3x_0)</f>
        <v>-73.349999999999994</v>
      </c>
      <c r="I40" s="1"/>
      <c r="J40" s="5">
        <f t="shared" si="17"/>
        <v>0</v>
      </c>
      <c r="K40" s="1"/>
      <c r="L40" s="1">
        <f t="shared" si="18"/>
        <v>1945.86</v>
      </c>
      <c r="M40" s="1"/>
      <c r="N40" s="5">
        <f t="shared" si="19"/>
        <v>-26.528425357873211</v>
      </c>
      <c r="O40" s="13"/>
      <c r="P40" s="1">
        <f>SUM(OSRRefP22_3x_0)</f>
        <v>1918.76</v>
      </c>
      <c r="Q40" s="1"/>
      <c r="R40" s="5">
        <f t="shared" si="20"/>
        <v>0</v>
      </c>
      <c r="S40" s="1"/>
      <c r="T40" s="1">
        <f>SUM(OSRRefT22_3x_0)</f>
        <v>77.709999999999994</v>
      </c>
      <c r="U40" s="1"/>
      <c r="V40" s="5">
        <f t="shared" si="21"/>
        <v>0</v>
      </c>
      <c r="W40" s="1"/>
      <c r="X40" s="1">
        <f t="shared" si="22"/>
        <v>1841.05</v>
      </c>
      <c r="Y40" s="1"/>
      <c r="Z40" s="5">
        <f t="shared" si="23"/>
        <v>23.691288122506759</v>
      </c>
    </row>
    <row r="41" spans="1:26" s="24" customFormat="1" hidden="1" outlineLevel="2" x14ac:dyDescent="0.25">
      <c r="A41" s="25"/>
      <c r="B41" s="11" t="str">
        <f>CONCATENATE("          ", "6272", " - ", "CASH (OVER/SHORT)")</f>
        <v xml:space="preserve">          6272 - CASH (OVER/SHORT)</v>
      </c>
      <c r="C41" s="11"/>
      <c r="D41" s="6">
        <v>-124.27</v>
      </c>
      <c r="E41" s="2"/>
      <c r="F41" s="7">
        <f t="shared" si="16"/>
        <v>0</v>
      </c>
      <c r="G41" s="2"/>
      <c r="H41" s="6">
        <v>-73.349999999999994</v>
      </c>
      <c r="I41" s="2"/>
      <c r="J41" s="7">
        <f t="shared" si="17"/>
        <v>0</v>
      </c>
      <c r="K41" s="2"/>
      <c r="L41" s="6">
        <f t="shared" si="18"/>
        <v>-50.92</v>
      </c>
      <c r="M41" s="2"/>
      <c r="N41" s="7">
        <f t="shared" si="19"/>
        <v>0.69420586230402193</v>
      </c>
      <c r="O41" s="11"/>
      <c r="P41" s="6">
        <v>-78.02</v>
      </c>
      <c r="Q41" s="2"/>
      <c r="R41" s="7">
        <f t="shared" si="20"/>
        <v>0</v>
      </c>
      <c r="S41" s="2"/>
      <c r="T41" s="6">
        <v>32.909999999999997</v>
      </c>
      <c r="U41" s="2"/>
      <c r="V41" s="7">
        <f t="shared" si="21"/>
        <v>0</v>
      </c>
      <c r="W41" s="2"/>
      <c r="X41" s="6">
        <f t="shared" si="22"/>
        <v>-110.92999999999999</v>
      </c>
      <c r="Y41" s="2"/>
      <c r="Z41" s="7">
        <f t="shared" si="23"/>
        <v>-3.370707991491948</v>
      </c>
    </row>
    <row r="42" spans="1:26" s="24" customFormat="1" hidden="1" outlineLevel="2" x14ac:dyDescent="0.25">
      <c r="A42" s="25"/>
      <c r="B42" s="11" t="str">
        <f>CONCATENATE("          ", "6342", " - ", "BAD DEBT")</f>
        <v xml:space="preserve">          6342 - BAD DEBT</v>
      </c>
      <c r="C42" s="11"/>
      <c r="D42" s="6">
        <v>1996.78</v>
      </c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1996.78</v>
      </c>
      <c r="M42" s="2"/>
      <c r="N42" s="7">
        <f t="shared" si="19"/>
        <v>0</v>
      </c>
      <c r="O42" s="11"/>
      <c r="P42" s="6">
        <v>1996.78</v>
      </c>
      <c r="Q42" s="2"/>
      <c r="R42" s="7">
        <f t="shared" si="20"/>
        <v>0</v>
      </c>
      <c r="S42" s="2"/>
      <c r="T42" s="6">
        <v>44.8</v>
      </c>
      <c r="U42" s="2"/>
      <c r="V42" s="7">
        <f t="shared" si="21"/>
        <v>0</v>
      </c>
      <c r="W42" s="2"/>
      <c r="X42" s="6">
        <f t="shared" si="22"/>
        <v>1951.98</v>
      </c>
      <c r="Y42" s="2"/>
      <c r="Z42" s="7">
        <f t="shared" si="23"/>
        <v>43.570982142857147</v>
      </c>
    </row>
    <row r="43" spans="1:26" s="26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14703.14</v>
      </c>
      <c r="E43" s="1"/>
      <c r="F43" s="5">
        <f t="shared" ref="F43:F47" si="24">IF(D$12=0,0,D43/D$12)</f>
        <v>0</v>
      </c>
      <c r="G43" s="1"/>
      <c r="H43" s="1">
        <f>SUM(OSRRefH22_4x_0)</f>
        <v>25167.01</v>
      </c>
      <c r="I43" s="1"/>
      <c r="J43" s="5">
        <f t="shared" ref="J43:J47" si="25">IF(H$12=0,0,H43/H$12)</f>
        <v>0</v>
      </c>
      <c r="K43" s="1"/>
      <c r="L43" s="1">
        <f t="shared" ref="L43:L47" si="26">+D43-H43</f>
        <v>-10463.869999999999</v>
      </c>
      <c r="M43" s="1"/>
      <c r="N43" s="5">
        <f t="shared" ref="N43:N47" si="27">IF(H43=0,0,L43/H43)</f>
        <v>-0.4157772417144508</v>
      </c>
      <c r="O43" s="13"/>
      <c r="P43" s="1">
        <f>SUM(OSRRefP22_4x_0)</f>
        <v>59185.65</v>
      </c>
      <c r="Q43" s="1"/>
      <c r="R43" s="5">
        <f t="shared" ref="R43:R47" si="28">IF(P$12=0,0,P43/P$12)</f>
        <v>0</v>
      </c>
      <c r="S43" s="1"/>
      <c r="T43" s="1">
        <f>SUM(OSRRefT22_4x_0)</f>
        <v>112150.72</v>
      </c>
      <c r="U43" s="1"/>
      <c r="V43" s="5">
        <f t="shared" ref="V43:V47" si="29">IF(T$12=0,0,T43/T$12)</f>
        <v>0</v>
      </c>
      <c r="W43" s="1"/>
      <c r="X43" s="1">
        <f t="shared" ref="X43:X47" si="30">+P43-T43</f>
        <v>-52965.07</v>
      </c>
      <c r="Y43" s="1"/>
      <c r="Z43" s="5">
        <f t="shared" ref="Z43:Z47" si="31">IF(T43=0,0,X43/T43)</f>
        <v>-0.47226687443468929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6">
        <v>14703.14</v>
      </c>
      <c r="E44" s="2"/>
      <c r="F44" s="7">
        <f t="shared" si="24"/>
        <v>0</v>
      </c>
      <c r="G44" s="2"/>
      <c r="H44" s="6">
        <v>25167.01</v>
      </c>
      <c r="I44" s="2"/>
      <c r="J44" s="7">
        <f t="shared" si="25"/>
        <v>0</v>
      </c>
      <c r="K44" s="2"/>
      <c r="L44" s="6">
        <f t="shared" si="26"/>
        <v>-10463.869999999999</v>
      </c>
      <c r="M44" s="2"/>
      <c r="N44" s="7">
        <f t="shared" si="27"/>
        <v>-0.4157772417144508</v>
      </c>
      <c r="O44" s="11"/>
      <c r="P44" s="6">
        <v>59185.65</v>
      </c>
      <c r="Q44" s="2"/>
      <c r="R44" s="7">
        <f t="shared" si="28"/>
        <v>0</v>
      </c>
      <c r="S44" s="2"/>
      <c r="T44" s="6">
        <v>112150.72</v>
      </c>
      <c r="U44" s="2"/>
      <c r="V44" s="7">
        <f t="shared" si="29"/>
        <v>0</v>
      </c>
      <c r="W44" s="2"/>
      <c r="X44" s="6">
        <f t="shared" si="30"/>
        <v>-52965.07</v>
      </c>
      <c r="Y44" s="2"/>
      <c r="Z44" s="7">
        <f t="shared" si="31"/>
        <v>-0.47226687443468929</v>
      </c>
    </row>
    <row r="45" spans="1:26" s="26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30565.97</v>
      </c>
      <c r="E45" s="1"/>
      <c r="F45" s="5">
        <f t="shared" si="24"/>
        <v>0</v>
      </c>
      <c r="G45" s="1"/>
      <c r="H45" s="1">
        <f>SUM(OSRRefH22_5x_0)</f>
        <v>29607.43</v>
      </c>
      <c r="I45" s="1"/>
      <c r="J45" s="5">
        <f t="shared" si="25"/>
        <v>0</v>
      </c>
      <c r="K45" s="1"/>
      <c r="L45" s="1">
        <f t="shared" si="26"/>
        <v>958.54000000000087</v>
      </c>
      <c r="M45" s="1"/>
      <c r="N45" s="5">
        <f t="shared" si="27"/>
        <v>3.2374981550239275E-2</v>
      </c>
      <c r="O45" s="13"/>
      <c r="P45" s="1">
        <f>SUM(OSRRefP22_5x_0)</f>
        <v>214257.28</v>
      </c>
      <c r="Q45" s="1"/>
      <c r="R45" s="5">
        <f t="shared" si="28"/>
        <v>0</v>
      </c>
      <c r="S45" s="1"/>
      <c r="T45" s="1">
        <f>SUM(OSRRefT22_5x_0)</f>
        <v>207252.01</v>
      </c>
      <c r="U45" s="1"/>
      <c r="V45" s="5">
        <f t="shared" si="29"/>
        <v>0</v>
      </c>
      <c r="W45" s="1"/>
      <c r="X45" s="1">
        <f t="shared" si="30"/>
        <v>7005.2699999999895</v>
      </c>
      <c r="Y45" s="1"/>
      <c r="Z45" s="5">
        <f t="shared" si="31"/>
        <v>3.3800733705791272E-2</v>
      </c>
    </row>
    <row r="46" spans="1:26" s="24" customFormat="1" hidden="1" outlineLevel="2" x14ac:dyDescent="0.25">
      <c r="A46" s="25"/>
      <c r="B46" s="11" t="str">
        <f>CONCATENATE("          ", "6321", " - ", "BUILDING DEPRECIATION")</f>
        <v xml:space="preserve">          6321 - BUILDING DEPRECIATION</v>
      </c>
      <c r="C46" s="11"/>
      <c r="D46" s="6">
        <v>16396.52</v>
      </c>
      <c r="E46" s="2"/>
      <c r="F46" s="7">
        <f t="shared" si="24"/>
        <v>0</v>
      </c>
      <c r="G46" s="2"/>
      <c r="H46" s="6">
        <v>16396.52</v>
      </c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>
        <v>114775.64</v>
      </c>
      <c r="Q46" s="2"/>
      <c r="R46" s="7">
        <f t="shared" si="28"/>
        <v>0</v>
      </c>
      <c r="S46" s="2"/>
      <c r="T46" s="6">
        <v>114775.64</v>
      </c>
      <c r="U46" s="2"/>
      <c r="V46" s="7">
        <f t="shared" si="29"/>
        <v>0</v>
      </c>
      <c r="W46" s="2"/>
      <c r="X46" s="6">
        <f t="shared" si="30"/>
        <v>0</v>
      </c>
      <c r="Y46" s="2"/>
      <c r="Z46" s="7">
        <f t="shared" si="31"/>
        <v>0</v>
      </c>
    </row>
    <row r="47" spans="1:26" s="24" customFormat="1" hidden="1" outlineLevel="2" x14ac:dyDescent="0.25">
      <c r="A47" s="25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14169.45</v>
      </c>
      <c r="E47" s="2"/>
      <c r="F47" s="7">
        <f t="shared" si="24"/>
        <v>0</v>
      </c>
      <c r="G47" s="2"/>
      <c r="H47" s="6">
        <v>13210.91</v>
      </c>
      <c r="I47" s="2"/>
      <c r="J47" s="7">
        <f t="shared" si="25"/>
        <v>0</v>
      </c>
      <c r="K47" s="2"/>
      <c r="L47" s="6">
        <f t="shared" si="26"/>
        <v>958.54000000000087</v>
      </c>
      <c r="M47" s="2"/>
      <c r="N47" s="7">
        <f t="shared" si="27"/>
        <v>7.2556697456874722E-2</v>
      </c>
      <c r="O47" s="11"/>
      <c r="P47" s="6">
        <v>99481.64</v>
      </c>
      <c r="Q47" s="2"/>
      <c r="R47" s="7">
        <f t="shared" si="28"/>
        <v>0</v>
      </c>
      <c r="S47" s="2"/>
      <c r="T47" s="6">
        <v>92476.37000000001</v>
      </c>
      <c r="U47" s="2"/>
      <c r="V47" s="7">
        <f t="shared" si="29"/>
        <v>0</v>
      </c>
      <c r="W47" s="2"/>
      <c r="X47" s="6">
        <f t="shared" si="30"/>
        <v>7005.2699999999895</v>
      </c>
      <c r="Y47" s="2"/>
      <c r="Z47" s="7">
        <f t="shared" si="31"/>
        <v>7.5752000213676091E-2</v>
      </c>
    </row>
    <row r="48" spans="1:26" s="26" customFormat="1" outlineLevel="1" collapsed="1" x14ac:dyDescent="0.25">
      <c r="A48" s="27"/>
      <c r="B48" s="13" t="str">
        <f>CONCATENATE("     ","Discounts and Markdowns                           ")</f>
        <v xml:space="preserve">     Discounts and Markdowns                           </v>
      </c>
      <c r="C48" s="13"/>
      <c r="D48" s="1">
        <f>SUM(OSRRefD22_6x_0)</f>
        <v>0</v>
      </c>
      <c r="E48" s="1"/>
      <c r="F48" s="5">
        <f t="shared" ref="F48:F50" si="32">IF(D$12=0,0,D48/D$12)</f>
        <v>0</v>
      </c>
      <c r="G48" s="1"/>
      <c r="H48" s="1">
        <f>SUM(OSRRefH22_6x_0)</f>
        <v>-382.67</v>
      </c>
      <c r="I48" s="1"/>
      <c r="J48" s="5">
        <f t="shared" ref="J48:J50" si="33">IF(H$12=0,0,H48/H$12)</f>
        <v>0</v>
      </c>
      <c r="K48" s="1"/>
      <c r="L48" s="1">
        <f t="shared" ref="L48:L50" si="34">+D48-H48</f>
        <v>382.67</v>
      </c>
      <c r="M48" s="1"/>
      <c r="N48" s="5">
        <f t="shared" ref="N48:N50" si="35">IF(H48=0,0,L48/H48)</f>
        <v>-1</v>
      </c>
      <c r="O48" s="13"/>
      <c r="P48" s="1">
        <f>SUM(OSRRefP22_6x_0)</f>
        <v>0</v>
      </c>
      <c r="Q48" s="1"/>
      <c r="R48" s="5">
        <f t="shared" ref="R48:R50" si="36">IF(P$12=0,0,P48/P$12)</f>
        <v>0</v>
      </c>
      <c r="S48" s="1"/>
      <c r="T48" s="1">
        <f>SUM(OSRRefT22_6x_0)</f>
        <v>-2074.75</v>
      </c>
      <c r="U48" s="1"/>
      <c r="V48" s="5">
        <f t="shared" ref="V48:V50" si="37">IF(T$12=0,0,T48/T$12)</f>
        <v>0</v>
      </c>
      <c r="W48" s="1"/>
      <c r="X48" s="1">
        <f t="shared" ref="X48:X50" si="38">+P48-T48</f>
        <v>2074.75</v>
      </c>
      <c r="Y48" s="1"/>
      <c r="Z48" s="5">
        <f t="shared" ref="Z48:Z50" si="39">IF(T48=0,0,X48/T48)</f>
        <v>-1</v>
      </c>
    </row>
    <row r="49" spans="1:26" s="24" customFormat="1" hidden="1" outlineLevel="2" x14ac:dyDescent="0.25">
      <c r="A49" s="25"/>
      <c r="B49" s="11" t="str">
        <f>CONCATENATE("          ", "6382", " - ", "DISCOUNTS/MARK DOWNS")</f>
        <v xml:space="preserve">          6382 - DISCOUNTS/MARK DOWNS</v>
      </c>
      <c r="C49" s="11"/>
      <c r="D49" s="6"/>
      <c r="E49" s="2"/>
      <c r="F49" s="7">
        <f t="shared" si="32"/>
        <v>0</v>
      </c>
      <c r="G49" s="2"/>
      <c r="H49" s="6">
        <v>4</v>
      </c>
      <c r="I49" s="2"/>
      <c r="J49" s="7">
        <f t="shared" si="33"/>
        <v>0</v>
      </c>
      <c r="K49" s="2"/>
      <c r="L49" s="6">
        <f t="shared" si="34"/>
        <v>-4</v>
      </c>
      <c r="M49" s="2"/>
      <c r="N49" s="7">
        <f t="shared" si="35"/>
        <v>-1</v>
      </c>
      <c r="O49" s="11"/>
      <c r="P49" s="6"/>
      <c r="Q49" s="2"/>
      <c r="R49" s="7">
        <f t="shared" si="36"/>
        <v>0</v>
      </c>
      <c r="S49" s="2"/>
      <c r="T49" s="6">
        <v>345.4</v>
      </c>
      <c r="U49" s="2"/>
      <c r="V49" s="7">
        <f t="shared" si="37"/>
        <v>0</v>
      </c>
      <c r="W49" s="2"/>
      <c r="X49" s="6">
        <f t="shared" si="38"/>
        <v>-345.4</v>
      </c>
      <c r="Y49" s="2"/>
      <c r="Z49" s="7">
        <f t="shared" si="39"/>
        <v>-1</v>
      </c>
    </row>
    <row r="50" spans="1:26" s="24" customFormat="1" hidden="1" outlineLevel="2" x14ac:dyDescent="0.25">
      <c r="A50" s="25"/>
      <c r="B50" s="11" t="str">
        <f>CONCATENATE("          ", "9175", " - ", "EARNED DISCOUNTS")</f>
        <v xml:space="preserve">          9175 - EARNED DISCOUNTS</v>
      </c>
      <c r="C50" s="11"/>
      <c r="D50" s="6"/>
      <c r="E50" s="2"/>
      <c r="F50" s="7">
        <f t="shared" si="32"/>
        <v>0</v>
      </c>
      <c r="G50" s="2"/>
      <c r="H50" s="6">
        <v>-386.67</v>
      </c>
      <c r="I50" s="2"/>
      <c r="J50" s="7">
        <f t="shared" si="33"/>
        <v>0</v>
      </c>
      <c r="K50" s="2"/>
      <c r="L50" s="6">
        <f t="shared" si="34"/>
        <v>386.67</v>
      </c>
      <c r="M50" s="2"/>
      <c r="N50" s="7">
        <f t="shared" si="35"/>
        <v>-1</v>
      </c>
      <c r="O50" s="11"/>
      <c r="P50" s="6"/>
      <c r="Q50" s="2"/>
      <c r="R50" s="7">
        <f t="shared" si="36"/>
        <v>0</v>
      </c>
      <c r="S50" s="2"/>
      <c r="T50" s="6">
        <v>-2420.15</v>
      </c>
      <c r="U50" s="2"/>
      <c r="V50" s="7">
        <f t="shared" si="37"/>
        <v>0</v>
      </c>
      <c r="W50" s="2"/>
      <c r="X50" s="6">
        <f t="shared" si="38"/>
        <v>2420.15</v>
      </c>
      <c r="Y50" s="2"/>
      <c r="Z50" s="7">
        <f t="shared" si="39"/>
        <v>-1</v>
      </c>
    </row>
    <row r="51" spans="1:26" s="26" customFormat="1" outlineLevel="1" collapsed="1" x14ac:dyDescent="0.25">
      <c r="A51" s="27"/>
      <c r="B51" s="13" t="str">
        <f>CONCATENATE("     ","Donations                                         ")</f>
        <v xml:space="preserve">     Donations                                         </v>
      </c>
      <c r="C51" s="13"/>
      <c r="D51" s="1">
        <f>SUM(OSRRefD22_7x_0)</f>
        <v>0</v>
      </c>
      <c r="E51" s="1"/>
      <c r="F51" s="5">
        <f t="shared" ref="F51:F71" si="40">IF(D$12=0,0,D51/D$12)</f>
        <v>0</v>
      </c>
      <c r="G51" s="1"/>
      <c r="H51" s="1">
        <f>SUM(OSRRefH22_7x_0)</f>
        <v>0</v>
      </c>
      <c r="I51" s="1"/>
      <c r="J51" s="5">
        <f t="shared" ref="J51:J71" si="41">IF(H$12=0,0,H51/H$12)</f>
        <v>0</v>
      </c>
      <c r="K51" s="1"/>
      <c r="L51" s="1">
        <f t="shared" ref="L51:L71" si="42">+D51-H51</f>
        <v>0</v>
      </c>
      <c r="M51" s="1"/>
      <c r="N51" s="5">
        <f t="shared" ref="N51:N71" si="43">IF(H51=0,0,L51/H51)</f>
        <v>0</v>
      </c>
      <c r="O51" s="13"/>
      <c r="P51" s="1">
        <f>SUM(OSRRefP22_7x_0)</f>
        <v>0</v>
      </c>
      <c r="Q51" s="1"/>
      <c r="R51" s="5">
        <f t="shared" ref="R51:R71" si="44">IF(P$12=0,0,P51/P$12)</f>
        <v>0</v>
      </c>
      <c r="S51" s="1"/>
      <c r="T51" s="1">
        <f>SUM(OSRRefT22_7x_0)</f>
        <v>9798.2199999999993</v>
      </c>
      <c r="U51" s="1"/>
      <c r="V51" s="5">
        <f t="shared" ref="V51:V71" si="45">IF(T$12=0,0,T51/T$12)</f>
        <v>0</v>
      </c>
      <c r="W51" s="1"/>
      <c r="X51" s="1">
        <f t="shared" ref="X51:X71" si="46">+P51-T51</f>
        <v>-9798.2199999999993</v>
      </c>
      <c r="Y51" s="1"/>
      <c r="Z51" s="5">
        <f t="shared" ref="Z51:Z71" si="47">IF(T51=0,0,X51/T51)</f>
        <v>-1</v>
      </c>
    </row>
    <row r="52" spans="1:26" s="24" customFormat="1" hidden="1" outlineLevel="2" x14ac:dyDescent="0.25">
      <c r="A52" s="25"/>
      <c r="B52" s="11" t="str">
        <f>CONCATENATE("          ", "6399", " - ", "DONATION-ON CAMPUS")</f>
        <v xml:space="preserve">          6399 - DONATION-ON CAMPUS</v>
      </c>
      <c r="C52" s="11"/>
      <c r="D52" s="6"/>
      <c r="E52" s="2"/>
      <c r="F52" s="7">
        <f t="shared" si="40"/>
        <v>0</v>
      </c>
      <c r="G52" s="2"/>
      <c r="H52" s="6"/>
      <c r="I52" s="2"/>
      <c r="J52" s="7">
        <f t="shared" si="41"/>
        <v>0</v>
      </c>
      <c r="K52" s="2"/>
      <c r="L52" s="6">
        <f t="shared" si="42"/>
        <v>0</v>
      </c>
      <c r="M52" s="2"/>
      <c r="N52" s="7">
        <f t="shared" si="43"/>
        <v>0</v>
      </c>
      <c r="O52" s="11"/>
      <c r="P52" s="6"/>
      <c r="Q52" s="2"/>
      <c r="R52" s="7">
        <f t="shared" si="44"/>
        <v>0</v>
      </c>
      <c r="S52" s="2"/>
      <c r="T52" s="6">
        <v>9798.2199999999993</v>
      </c>
      <c r="U52" s="2"/>
      <c r="V52" s="7">
        <f t="shared" si="45"/>
        <v>0</v>
      </c>
      <c r="W52" s="2"/>
      <c r="X52" s="6">
        <f t="shared" si="46"/>
        <v>-9798.2199999999993</v>
      </c>
      <c r="Y52" s="2"/>
      <c r="Z52" s="7">
        <f t="shared" si="47"/>
        <v>-1</v>
      </c>
    </row>
    <row r="53" spans="1:26" s="26" customFormat="1" outlineLevel="1" collapsed="1" x14ac:dyDescent="0.25">
      <c r="A53" s="27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SUM(OSRRefD22_8x_0)</f>
        <v>78.33</v>
      </c>
      <c r="E53" s="1"/>
      <c r="F53" s="5">
        <f t="shared" si="40"/>
        <v>0</v>
      </c>
      <c r="G53" s="1"/>
      <c r="H53" s="1">
        <f>SUM(OSRRefH22_8x_0)</f>
        <v>0</v>
      </c>
      <c r="I53" s="1"/>
      <c r="J53" s="5">
        <f t="shared" si="41"/>
        <v>0</v>
      </c>
      <c r="K53" s="1"/>
      <c r="L53" s="1">
        <f t="shared" si="42"/>
        <v>78.33</v>
      </c>
      <c r="M53" s="1"/>
      <c r="N53" s="5">
        <f t="shared" si="43"/>
        <v>0</v>
      </c>
      <c r="O53" s="13"/>
      <c r="P53" s="1">
        <f>SUM(OSRRefP22_8x_0)</f>
        <v>78.33</v>
      </c>
      <c r="Q53" s="1"/>
      <c r="R53" s="5">
        <f t="shared" si="44"/>
        <v>0</v>
      </c>
      <c r="S53" s="1"/>
      <c r="T53" s="1">
        <f>SUM(OSRRefT22_8x_0)</f>
        <v>825.75</v>
      </c>
      <c r="U53" s="1"/>
      <c r="V53" s="5">
        <f t="shared" si="45"/>
        <v>0</v>
      </c>
      <c r="W53" s="1"/>
      <c r="X53" s="1">
        <f t="shared" si="46"/>
        <v>-747.42</v>
      </c>
      <c r="Y53" s="1"/>
      <c r="Z53" s="5">
        <f t="shared" si="47"/>
        <v>-0.90514078110808349</v>
      </c>
    </row>
    <row r="54" spans="1:26" s="24" customFormat="1" hidden="1" outlineLevel="2" x14ac:dyDescent="0.25">
      <c r="A54" s="25"/>
      <c r="B54" s="11" t="str">
        <f>CONCATENATE("          ", "6277", " - ", "EMPLOYEE APPRECIATION")</f>
        <v xml:space="preserve">          6277 - EMPLOYEE APPRECIATION</v>
      </c>
      <c r="C54" s="11"/>
      <c r="D54" s="6">
        <v>78.33</v>
      </c>
      <c r="E54" s="2"/>
      <c r="F54" s="7">
        <f t="shared" si="40"/>
        <v>0</v>
      </c>
      <c r="G54" s="2"/>
      <c r="H54" s="6"/>
      <c r="I54" s="2"/>
      <c r="J54" s="7">
        <f t="shared" si="41"/>
        <v>0</v>
      </c>
      <c r="K54" s="2"/>
      <c r="L54" s="6">
        <f t="shared" si="42"/>
        <v>78.33</v>
      </c>
      <c r="M54" s="2"/>
      <c r="N54" s="7">
        <f t="shared" si="43"/>
        <v>0</v>
      </c>
      <c r="O54" s="11"/>
      <c r="P54" s="6">
        <v>78.33</v>
      </c>
      <c r="Q54" s="2"/>
      <c r="R54" s="7">
        <f t="shared" si="44"/>
        <v>0</v>
      </c>
      <c r="S54" s="2"/>
      <c r="T54" s="6">
        <v>825.75</v>
      </c>
      <c r="U54" s="2"/>
      <c r="V54" s="7">
        <f t="shared" si="45"/>
        <v>0</v>
      </c>
      <c r="W54" s="2"/>
      <c r="X54" s="6">
        <f t="shared" si="46"/>
        <v>-747.42</v>
      </c>
      <c r="Y54" s="2"/>
      <c r="Z54" s="7">
        <f t="shared" si="47"/>
        <v>-0.90514078110808349</v>
      </c>
    </row>
    <row r="55" spans="1:26" s="26" customFormat="1" outlineLevel="1" collapsed="1" x14ac:dyDescent="0.25">
      <c r="A55" s="27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SUM(OSRRefD22_9x_0)</f>
        <v>91.26</v>
      </c>
      <c r="E55" s="1"/>
      <c r="F55" s="5">
        <f t="shared" si="40"/>
        <v>0</v>
      </c>
      <c r="G55" s="1"/>
      <c r="H55" s="1">
        <f>SUM(OSRRefH22_9x_0)</f>
        <v>0</v>
      </c>
      <c r="I55" s="1"/>
      <c r="J55" s="5">
        <f t="shared" si="41"/>
        <v>0</v>
      </c>
      <c r="K55" s="1"/>
      <c r="L55" s="1">
        <f t="shared" si="42"/>
        <v>91.26</v>
      </c>
      <c r="M55" s="1"/>
      <c r="N55" s="5">
        <f t="shared" si="43"/>
        <v>0</v>
      </c>
      <c r="O55" s="13"/>
      <c r="P55" s="1">
        <f>SUM(OSRRefP22_9x_0)</f>
        <v>1286.5999999999999</v>
      </c>
      <c r="Q55" s="1"/>
      <c r="R55" s="5">
        <f t="shared" si="44"/>
        <v>0</v>
      </c>
      <c r="S55" s="1"/>
      <c r="T55" s="1">
        <f>SUM(OSRRefT22_9x_0)</f>
        <v>0</v>
      </c>
      <c r="U55" s="1"/>
      <c r="V55" s="5">
        <f t="shared" si="45"/>
        <v>0</v>
      </c>
      <c r="W55" s="1"/>
      <c r="X55" s="1">
        <f t="shared" si="46"/>
        <v>1286.5999999999999</v>
      </c>
      <c r="Y55" s="1"/>
      <c r="Z55" s="5">
        <f t="shared" si="47"/>
        <v>0</v>
      </c>
    </row>
    <row r="56" spans="1:26" s="24" customFormat="1" hidden="1" outlineLevel="2" x14ac:dyDescent="0.25">
      <c r="A56" s="25"/>
      <c r="B56" s="11" t="str">
        <f>CONCATENATE("          ", "6351", " - ", "EQUIPMENT RENTAL")</f>
        <v xml:space="preserve">          6351 - EQUIPMENT RENTAL</v>
      </c>
      <c r="C56" s="11"/>
      <c r="D56" s="6">
        <v>91.26</v>
      </c>
      <c r="E56" s="2"/>
      <c r="F56" s="7">
        <f t="shared" si="40"/>
        <v>0</v>
      </c>
      <c r="G56" s="2"/>
      <c r="H56" s="6"/>
      <c r="I56" s="2"/>
      <c r="J56" s="7">
        <f t="shared" si="41"/>
        <v>0</v>
      </c>
      <c r="K56" s="2"/>
      <c r="L56" s="6">
        <f t="shared" si="42"/>
        <v>91.26</v>
      </c>
      <c r="M56" s="2"/>
      <c r="N56" s="7">
        <f t="shared" si="43"/>
        <v>0</v>
      </c>
      <c r="O56" s="11"/>
      <c r="P56" s="6">
        <v>1286.5999999999999</v>
      </c>
      <c r="Q56" s="2"/>
      <c r="R56" s="7">
        <f t="shared" si="44"/>
        <v>0</v>
      </c>
      <c r="S56" s="2"/>
      <c r="T56" s="6"/>
      <c r="U56" s="2"/>
      <c r="V56" s="7">
        <f t="shared" si="45"/>
        <v>0</v>
      </c>
      <c r="W56" s="2"/>
      <c r="X56" s="6">
        <f t="shared" si="46"/>
        <v>1286.5999999999999</v>
      </c>
      <c r="Y56" s="2"/>
      <c r="Z56" s="7">
        <f t="shared" si="47"/>
        <v>0</v>
      </c>
    </row>
    <row r="57" spans="1:26" s="26" customFormat="1" outlineLevel="1" collapsed="1" x14ac:dyDescent="0.25">
      <c r="A57" s="27"/>
      <c r="B57" s="13" t="str">
        <f>CONCATENATE("     ","Freight out/Postage                               ")</f>
        <v xml:space="preserve">     Freight out/Postage                               </v>
      </c>
      <c r="C57" s="13"/>
      <c r="D57" s="1">
        <f>SUM(OSRRefD22_10x_0)</f>
        <v>1321.95</v>
      </c>
      <c r="E57" s="1"/>
      <c r="F57" s="5">
        <f t="shared" si="40"/>
        <v>0</v>
      </c>
      <c r="G57" s="1"/>
      <c r="H57" s="1">
        <f>SUM(OSRRefH22_10x_0)</f>
        <v>0</v>
      </c>
      <c r="I57" s="1"/>
      <c r="J57" s="5">
        <f t="shared" si="41"/>
        <v>0</v>
      </c>
      <c r="K57" s="1"/>
      <c r="L57" s="1">
        <f t="shared" si="42"/>
        <v>1321.95</v>
      </c>
      <c r="M57" s="1"/>
      <c r="N57" s="5">
        <f t="shared" si="43"/>
        <v>0</v>
      </c>
      <c r="O57" s="13"/>
      <c r="P57" s="1">
        <f>SUM(OSRRefP22_10x_0)</f>
        <v>2001.7</v>
      </c>
      <c r="Q57" s="1"/>
      <c r="R57" s="5">
        <f t="shared" si="44"/>
        <v>0</v>
      </c>
      <c r="S57" s="1"/>
      <c r="T57" s="1">
        <f>SUM(OSRRefT22_10x_0)</f>
        <v>14.39</v>
      </c>
      <c r="U57" s="1"/>
      <c r="V57" s="5">
        <f t="shared" si="45"/>
        <v>0</v>
      </c>
      <c r="W57" s="1"/>
      <c r="X57" s="1">
        <f t="shared" si="46"/>
        <v>1987.31</v>
      </c>
      <c r="Y57" s="1"/>
      <c r="Z57" s="5">
        <f t="shared" si="47"/>
        <v>138.10354412786657</v>
      </c>
    </row>
    <row r="58" spans="1:26" s="24" customFormat="1" hidden="1" outlineLevel="2" x14ac:dyDescent="0.25">
      <c r="A58" s="25"/>
      <c r="B58" s="11" t="str">
        <f>CONCATENATE("          ", "6307", " - ", "POSTAGE")</f>
        <v xml:space="preserve">          6307 - POSTAGE</v>
      </c>
      <c r="C58" s="11"/>
      <c r="D58" s="6">
        <v>1321.95</v>
      </c>
      <c r="E58" s="2"/>
      <c r="F58" s="7">
        <f t="shared" si="40"/>
        <v>0</v>
      </c>
      <c r="G58" s="2"/>
      <c r="H58" s="6"/>
      <c r="I58" s="2"/>
      <c r="J58" s="7">
        <f t="shared" si="41"/>
        <v>0</v>
      </c>
      <c r="K58" s="2"/>
      <c r="L58" s="6">
        <f t="shared" si="42"/>
        <v>1321.95</v>
      </c>
      <c r="M58" s="2"/>
      <c r="N58" s="7">
        <f t="shared" si="43"/>
        <v>0</v>
      </c>
      <c r="O58" s="11"/>
      <c r="P58" s="6">
        <v>2001.7</v>
      </c>
      <c r="Q58" s="2"/>
      <c r="R58" s="7">
        <f t="shared" si="44"/>
        <v>0</v>
      </c>
      <c r="S58" s="2"/>
      <c r="T58" s="6">
        <v>14.39</v>
      </c>
      <c r="U58" s="2"/>
      <c r="V58" s="7">
        <f t="shared" si="45"/>
        <v>0</v>
      </c>
      <c r="W58" s="2"/>
      <c r="X58" s="6">
        <f t="shared" si="46"/>
        <v>1987.31</v>
      </c>
      <c r="Y58" s="2"/>
      <c r="Z58" s="7">
        <f t="shared" si="47"/>
        <v>138.10354412786657</v>
      </c>
    </row>
    <row r="59" spans="1:26" s="26" customFormat="1" outlineLevel="1" collapsed="1" x14ac:dyDescent="0.25">
      <c r="A59" s="27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SUM(OSRRefD22_11x_0)</f>
        <v>219</v>
      </c>
      <c r="E59" s="1"/>
      <c r="F59" s="5">
        <f t="shared" si="40"/>
        <v>0</v>
      </c>
      <c r="G59" s="1"/>
      <c r="H59" s="1">
        <f>SUM(OSRRefH22_11x_0)</f>
        <v>216</v>
      </c>
      <c r="I59" s="1"/>
      <c r="J59" s="5">
        <f t="shared" si="41"/>
        <v>0</v>
      </c>
      <c r="K59" s="1"/>
      <c r="L59" s="1">
        <f t="shared" si="42"/>
        <v>3</v>
      </c>
      <c r="M59" s="1"/>
      <c r="N59" s="5">
        <f t="shared" si="43"/>
        <v>1.3888888888888888E-2</v>
      </c>
      <c r="O59" s="13"/>
      <c r="P59" s="1">
        <f>SUM(OSRRefP22_11x_0)</f>
        <v>1386.81</v>
      </c>
      <c r="Q59" s="1"/>
      <c r="R59" s="5">
        <f t="shared" si="44"/>
        <v>0</v>
      </c>
      <c r="S59" s="1"/>
      <c r="T59" s="1">
        <f>SUM(OSRRefT22_11x_0)</f>
        <v>-11754.76</v>
      </c>
      <c r="U59" s="1"/>
      <c r="V59" s="5">
        <f t="shared" si="45"/>
        <v>0</v>
      </c>
      <c r="W59" s="1"/>
      <c r="X59" s="1">
        <f t="shared" si="46"/>
        <v>13141.57</v>
      </c>
      <c r="Y59" s="1"/>
      <c r="Z59" s="5">
        <f t="shared" si="47"/>
        <v>-1.1179785890992244</v>
      </c>
    </row>
    <row r="60" spans="1:26" s="24" customFormat="1" hidden="1" outlineLevel="2" x14ac:dyDescent="0.25">
      <c r="A60" s="25"/>
      <c r="B60" s="11" t="str">
        <f>CONCATENATE("          ", "6279", " - ", "GENERAL EXPENSE")</f>
        <v xml:space="preserve">          6279 - GENERAL EXPENSE</v>
      </c>
      <c r="C60" s="11"/>
      <c r="D60" s="6">
        <v>219</v>
      </c>
      <c r="E60" s="2"/>
      <c r="F60" s="7">
        <f t="shared" si="40"/>
        <v>0</v>
      </c>
      <c r="G60" s="2"/>
      <c r="H60" s="6">
        <v>216</v>
      </c>
      <c r="I60" s="2"/>
      <c r="J60" s="7">
        <f t="shared" si="41"/>
        <v>0</v>
      </c>
      <c r="K60" s="2"/>
      <c r="L60" s="6">
        <f t="shared" si="42"/>
        <v>3</v>
      </c>
      <c r="M60" s="2"/>
      <c r="N60" s="7">
        <f t="shared" si="43"/>
        <v>1.3888888888888888E-2</v>
      </c>
      <c r="O60" s="11"/>
      <c r="P60" s="6">
        <v>1386.81</v>
      </c>
      <c r="Q60" s="2"/>
      <c r="R60" s="7">
        <f t="shared" si="44"/>
        <v>0</v>
      </c>
      <c r="S60" s="2"/>
      <c r="T60" s="6">
        <v>-11754.76</v>
      </c>
      <c r="U60" s="2"/>
      <c r="V60" s="7">
        <f t="shared" si="45"/>
        <v>0</v>
      </c>
      <c r="W60" s="2"/>
      <c r="X60" s="6">
        <f t="shared" si="46"/>
        <v>13141.57</v>
      </c>
      <c r="Y60" s="2"/>
      <c r="Z60" s="7">
        <f t="shared" si="47"/>
        <v>-1.1179785890992244</v>
      </c>
    </row>
    <row r="61" spans="1:26" s="26" customFormat="1" outlineLevel="1" collapsed="1" x14ac:dyDescent="0.25">
      <c r="A61" s="27"/>
      <c r="B61" s="13" t="str">
        <f>CONCATENATE("     ","Insurance                                         ")</f>
        <v xml:space="preserve">     Insurance                                         </v>
      </c>
      <c r="C61" s="13"/>
      <c r="D61" s="1">
        <f>SUM(OSRRefD22_12x_0)</f>
        <v>3883.56</v>
      </c>
      <c r="E61" s="1"/>
      <c r="F61" s="5">
        <f t="shared" si="40"/>
        <v>0</v>
      </c>
      <c r="G61" s="1"/>
      <c r="H61" s="1">
        <f>SUM(OSRRefH22_12x_0)</f>
        <v>3883.56</v>
      </c>
      <c r="I61" s="1"/>
      <c r="J61" s="5">
        <f t="shared" si="41"/>
        <v>0</v>
      </c>
      <c r="K61" s="1"/>
      <c r="L61" s="1">
        <f t="shared" si="42"/>
        <v>0</v>
      </c>
      <c r="M61" s="1"/>
      <c r="N61" s="5">
        <f t="shared" si="43"/>
        <v>0</v>
      </c>
      <c r="O61" s="13"/>
      <c r="P61" s="1">
        <f>SUM(OSRRefP22_12x_0)</f>
        <v>27184.92</v>
      </c>
      <c r="Q61" s="1"/>
      <c r="R61" s="5">
        <f t="shared" si="44"/>
        <v>0</v>
      </c>
      <c r="S61" s="1"/>
      <c r="T61" s="1">
        <f>SUM(OSRRefT22_12x_0)</f>
        <v>27184.92</v>
      </c>
      <c r="U61" s="1"/>
      <c r="V61" s="5">
        <f t="shared" si="45"/>
        <v>0</v>
      </c>
      <c r="W61" s="1"/>
      <c r="X61" s="1">
        <f t="shared" si="46"/>
        <v>0</v>
      </c>
      <c r="Y61" s="1"/>
      <c r="Z61" s="5">
        <f t="shared" si="47"/>
        <v>0</v>
      </c>
    </row>
    <row r="62" spans="1:26" s="24" customFormat="1" hidden="1" outlineLevel="2" x14ac:dyDescent="0.25">
      <c r="A62" s="25"/>
      <c r="B62" s="11" t="str">
        <f>CONCATENATE("          ", "6314", " - ", "LIABILITY INSURANCE")</f>
        <v xml:space="preserve">          6314 - LIABILITY INSURANCE</v>
      </c>
      <c r="C62" s="11"/>
      <c r="D62" s="6">
        <v>3883.56</v>
      </c>
      <c r="E62" s="2"/>
      <c r="F62" s="7">
        <f t="shared" si="40"/>
        <v>0</v>
      </c>
      <c r="G62" s="2"/>
      <c r="H62" s="6">
        <v>3883.56</v>
      </c>
      <c r="I62" s="2"/>
      <c r="J62" s="7">
        <f t="shared" si="41"/>
        <v>0</v>
      </c>
      <c r="K62" s="2"/>
      <c r="L62" s="6">
        <f t="shared" si="42"/>
        <v>0</v>
      </c>
      <c r="M62" s="2"/>
      <c r="N62" s="7">
        <f t="shared" si="43"/>
        <v>0</v>
      </c>
      <c r="O62" s="11"/>
      <c r="P62" s="6">
        <v>27184.92</v>
      </c>
      <c r="Q62" s="2"/>
      <c r="R62" s="7">
        <f t="shared" si="44"/>
        <v>0</v>
      </c>
      <c r="S62" s="2"/>
      <c r="T62" s="6">
        <v>27184.92</v>
      </c>
      <c r="U62" s="2"/>
      <c r="V62" s="7">
        <f t="shared" si="45"/>
        <v>0</v>
      </c>
      <c r="W62" s="2"/>
      <c r="X62" s="6">
        <f t="shared" si="46"/>
        <v>0</v>
      </c>
      <c r="Y62" s="2"/>
      <c r="Z62" s="7">
        <f t="shared" si="47"/>
        <v>0</v>
      </c>
    </row>
    <row r="63" spans="1:26" s="26" customFormat="1" outlineLevel="1" collapsed="1" x14ac:dyDescent="0.25">
      <c r="A63" s="27"/>
      <c r="B63" s="13" t="str">
        <f>CONCATENATE("     ","Professional Services                             ")</f>
        <v xml:space="preserve">     Professional Services                             </v>
      </c>
      <c r="C63" s="13"/>
      <c r="D63" s="1">
        <f>SUM(OSRRefD22_13x_0)</f>
        <v>0</v>
      </c>
      <c r="E63" s="1"/>
      <c r="F63" s="5">
        <f t="shared" si="40"/>
        <v>0</v>
      </c>
      <c r="G63" s="1"/>
      <c r="H63" s="1">
        <f>SUM(OSRRefH22_13x_0)</f>
        <v>0</v>
      </c>
      <c r="I63" s="1"/>
      <c r="J63" s="5">
        <f t="shared" si="41"/>
        <v>0</v>
      </c>
      <c r="K63" s="1"/>
      <c r="L63" s="1">
        <f t="shared" si="42"/>
        <v>0</v>
      </c>
      <c r="M63" s="1"/>
      <c r="N63" s="5">
        <f t="shared" si="43"/>
        <v>0</v>
      </c>
      <c r="O63" s="13"/>
      <c r="P63" s="1">
        <f>SUM(OSRRefP22_13x_0)</f>
        <v>0</v>
      </c>
      <c r="Q63" s="1"/>
      <c r="R63" s="5">
        <f t="shared" si="44"/>
        <v>0</v>
      </c>
      <c r="S63" s="1"/>
      <c r="T63" s="1">
        <f>SUM(OSRRefT22_13x_0)</f>
        <v>4658.41</v>
      </c>
      <c r="U63" s="1"/>
      <c r="V63" s="5">
        <f t="shared" si="45"/>
        <v>0</v>
      </c>
      <c r="W63" s="1"/>
      <c r="X63" s="1">
        <f t="shared" si="46"/>
        <v>-4658.41</v>
      </c>
      <c r="Y63" s="1"/>
      <c r="Z63" s="5">
        <f t="shared" si="47"/>
        <v>-1</v>
      </c>
    </row>
    <row r="64" spans="1:26" s="24" customFormat="1" hidden="1" outlineLevel="2" x14ac:dyDescent="0.25">
      <c r="A64" s="25"/>
      <c r="B64" s="11" t="str">
        <f>CONCATENATE("          ", "6336", " - ", "PROFESSIONAL SERVICES")</f>
        <v xml:space="preserve">          6336 - PROFESSIONAL SERVICES</v>
      </c>
      <c r="C64" s="11"/>
      <c r="D64" s="6"/>
      <c r="E64" s="2"/>
      <c r="F64" s="7">
        <f t="shared" si="40"/>
        <v>0</v>
      </c>
      <c r="G64" s="2"/>
      <c r="H64" s="6"/>
      <c r="I64" s="2"/>
      <c r="J64" s="7">
        <f t="shared" si="41"/>
        <v>0</v>
      </c>
      <c r="K64" s="2"/>
      <c r="L64" s="6">
        <f t="shared" si="42"/>
        <v>0</v>
      </c>
      <c r="M64" s="2"/>
      <c r="N64" s="7">
        <f t="shared" si="43"/>
        <v>0</v>
      </c>
      <c r="O64" s="11"/>
      <c r="P64" s="6"/>
      <c r="Q64" s="2"/>
      <c r="R64" s="7">
        <f t="shared" si="44"/>
        <v>0</v>
      </c>
      <c r="S64" s="2"/>
      <c r="T64" s="6">
        <v>4658.41</v>
      </c>
      <c r="U64" s="2"/>
      <c r="V64" s="7">
        <f t="shared" si="45"/>
        <v>0</v>
      </c>
      <c r="W64" s="2"/>
      <c r="X64" s="6">
        <f t="shared" si="46"/>
        <v>-4658.41</v>
      </c>
      <c r="Y64" s="2"/>
      <c r="Z64" s="7">
        <f t="shared" si="47"/>
        <v>-1</v>
      </c>
    </row>
    <row r="65" spans="1:26" s="26" customFormat="1" outlineLevel="1" collapsed="1" x14ac:dyDescent="0.25">
      <c r="A65" s="27"/>
      <c r="B65" s="13" t="str">
        <f>CONCATENATE("     ","Rent                                              ")</f>
        <v xml:space="preserve">     Rent                                              </v>
      </c>
      <c r="C65" s="13"/>
      <c r="D65" s="1">
        <f>SUM(OSRRefD22_14x_0)</f>
        <v>-800</v>
      </c>
      <c r="E65" s="1"/>
      <c r="F65" s="5">
        <f t="shared" si="40"/>
        <v>0</v>
      </c>
      <c r="G65" s="1"/>
      <c r="H65" s="1">
        <f>SUM(OSRRefH22_14x_0)</f>
        <v>800</v>
      </c>
      <c r="I65" s="1"/>
      <c r="J65" s="5">
        <f t="shared" si="41"/>
        <v>0</v>
      </c>
      <c r="K65" s="1"/>
      <c r="L65" s="1">
        <f t="shared" si="42"/>
        <v>-1600</v>
      </c>
      <c r="M65" s="1"/>
      <c r="N65" s="5">
        <f t="shared" si="43"/>
        <v>-2</v>
      </c>
      <c r="O65" s="13"/>
      <c r="P65" s="1">
        <f>SUM(OSRRefP22_14x_0)</f>
        <v>-5600</v>
      </c>
      <c r="Q65" s="1"/>
      <c r="R65" s="5">
        <f t="shared" si="44"/>
        <v>0</v>
      </c>
      <c r="S65" s="1"/>
      <c r="T65" s="1">
        <f>SUM(OSRRefT22_14x_0)</f>
        <v>-4000</v>
      </c>
      <c r="U65" s="1"/>
      <c r="V65" s="5">
        <f t="shared" si="45"/>
        <v>0</v>
      </c>
      <c r="W65" s="1"/>
      <c r="X65" s="1">
        <f t="shared" si="46"/>
        <v>-1600</v>
      </c>
      <c r="Y65" s="1"/>
      <c r="Z65" s="5">
        <f t="shared" si="47"/>
        <v>0.4</v>
      </c>
    </row>
    <row r="66" spans="1:26" s="24" customFormat="1" hidden="1" outlineLevel="2" x14ac:dyDescent="0.25">
      <c r="A66" s="25"/>
      <c r="B66" s="11" t="str">
        <f>CONCATENATE("          ", "6273", " - ", "RENT")</f>
        <v xml:space="preserve">          6273 - RENT</v>
      </c>
      <c r="C66" s="11"/>
      <c r="D66" s="6">
        <v>-800</v>
      </c>
      <c r="E66" s="2"/>
      <c r="F66" s="7">
        <f t="shared" si="40"/>
        <v>0</v>
      </c>
      <c r="G66" s="2"/>
      <c r="H66" s="6">
        <v>800</v>
      </c>
      <c r="I66" s="2"/>
      <c r="J66" s="7">
        <f t="shared" si="41"/>
        <v>0</v>
      </c>
      <c r="K66" s="2"/>
      <c r="L66" s="6">
        <f t="shared" si="42"/>
        <v>-1600</v>
      </c>
      <c r="M66" s="2"/>
      <c r="N66" s="7">
        <f t="shared" si="43"/>
        <v>-2</v>
      </c>
      <c r="O66" s="11"/>
      <c r="P66" s="6">
        <v>-5600</v>
      </c>
      <c r="Q66" s="2"/>
      <c r="R66" s="7">
        <f t="shared" si="44"/>
        <v>0</v>
      </c>
      <c r="S66" s="2"/>
      <c r="T66" s="6">
        <v>-4000</v>
      </c>
      <c r="U66" s="2"/>
      <c r="V66" s="7">
        <f t="shared" si="45"/>
        <v>0</v>
      </c>
      <c r="W66" s="2"/>
      <c r="X66" s="6">
        <f t="shared" si="46"/>
        <v>-1600</v>
      </c>
      <c r="Y66" s="2"/>
      <c r="Z66" s="7">
        <f t="shared" si="47"/>
        <v>0.4</v>
      </c>
    </row>
    <row r="67" spans="1:26" s="26" customFormat="1" outlineLevel="1" collapsed="1" x14ac:dyDescent="0.25">
      <c r="A67" s="27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SUM(OSRRefD22_15x_0)</f>
        <v>2626.01</v>
      </c>
      <c r="E67" s="1"/>
      <c r="F67" s="5">
        <f t="shared" si="40"/>
        <v>0</v>
      </c>
      <c r="G67" s="1"/>
      <c r="H67" s="1">
        <f>SUM(OSRRefH22_15x_0)</f>
        <v>10109.849999999999</v>
      </c>
      <c r="I67" s="1"/>
      <c r="J67" s="5">
        <f t="shared" si="41"/>
        <v>0</v>
      </c>
      <c r="K67" s="1"/>
      <c r="L67" s="1">
        <f t="shared" si="42"/>
        <v>-7483.8399999999983</v>
      </c>
      <c r="M67" s="1"/>
      <c r="N67" s="5">
        <f t="shared" si="43"/>
        <v>-0.74025232817499764</v>
      </c>
      <c r="O67" s="13"/>
      <c r="P67" s="1">
        <f>SUM(OSRRefP22_15x_0)</f>
        <v>81930.09</v>
      </c>
      <c r="Q67" s="1"/>
      <c r="R67" s="5">
        <f t="shared" si="44"/>
        <v>0</v>
      </c>
      <c r="S67" s="1"/>
      <c r="T67" s="1">
        <f>SUM(OSRRefT22_15x_0)</f>
        <v>54948.53</v>
      </c>
      <c r="U67" s="1"/>
      <c r="V67" s="5">
        <f t="shared" si="45"/>
        <v>0</v>
      </c>
      <c r="W67" s="1"/>
      <c r="X67" s="1">
        <f t="shared" si="46"/>
        <v>26981.559999999998</v>
      </c>
      <c r="Y67" s="1"/>
      <c r="Z67" s="5">
        <f t="shared" si="47"/>
        <v>0.49103333610562461</v>
      </c>
    </row>
    <row r="68" spans="1:26" s="24" customFormat="1" hidden="1" outlineLevel="2" x14ac:dyDescent="0.25">
      <c r="A68" s="25"/>
      <c r="B68" s="11" t="str">
        <f>CONCATENATE("          ", "6371", " - ", "COMPUTER SOFTWARE MAINTENANCE")</f>
        <v xml:space="preserve">          6371 - COMPUTER SOFTWARE MAINTENANCE</v>
      </c>
      <c r="C68" s="11"/>
      <c r="D68" s="6"/>
      <c r="E68" s="2"/>
      <c r="F68" s="7">
        <f t="shared" si="40"/>
        <v>0</v>
      </c>
      <c r="G68" s="2"/>
      <c r="H68" s="6">
        <v>601</v>
      </c>
      <c r="I68" s="2"/>
      <c r="J68" s="7">
        <f t="shared" si="41"/>
        <v>0</v>
      </c>
      <c r="K68" s="2"/>
      <c r="L68" s="6">
        <f t="shared" si="42"/>
        <v>-601</v>
      </c>
      <c r="M68" s="2"/>
      <c r="N68" s="7">
        <f t="shared" si="43"/>
        <v>-1</v>
      </c>
      <c r="O68" s="11"/>
      <c r="P68" s="6">
        <v>58428.780000000006</v>
      </c>
      <c r="Q68" s="2"/>
      <c r="R68" s="7">
        <f t="shared" si="44"/>
        <v>0</v>
      </c>
      <c r="S68" s="2"/>
      <c r="T68" s="6">
        <v>14554.4</v>
      </c>
      <c r="U68" s="2"/>
      <c r="V68" s="7">
        <f t="shared" si="45"/>
        <v>0</v>
      </c>
      <c r="W68" s="2"/>
      <c r="X68" s="6">
        <f t="shared" si="46"/>
        <v>43874.380000000005</v>
      </c>
      <c r="Y68" s="2"/>
      <c r="Z68" s="7">
        <f t="shared" si="47"/>
        <v>3.0145097015335574</v>
      </c>
    </row>
    <row r="69" spans="1:26" s="24" customFormat="1" hidden="1" outlineLevel="2" x14ac:dyDescent="0.25">
      <c r="A69" s="25"/>
      <c r="B69" s="11" t="str">
        <f>CONCATENATE("          ", "6372", " - ", "COMPUTER HARDWARE MAINTENANCE")</f>
        <v xml:space="preserve">          6372 - COMPUTER HARDWARE MAINTENANCE</v>
      </c>
      <c r="C69" s="11"/>
      <c r="D69" s="6"/>
      <c r="E69" s="2"/>
      <c r="F69" s="7">
        <f t="shared" si="40"/>
        <v>0</v>
      </c>
      <c r="G69" s="2"/>
      <c r="H69" s="6">
        <v>52.32</v>
      </c>
      <c r="I69" s="2"/>
      <c r="J69" s="7">
        <f t="shared" si="41"/>
        <v>0</v>
      </c>
      <c r="K69" s="2"/>
      <c r="L69" s="6">
        <f t="shared" si="42"/>
        <v>-52.32</v>
      </c>
      <c r="M69" s="2"/>
      <c r="N69" s="7">
        <f t="shared" si="43"/>
        <v>-1</v>
      </c>
      <c r="O69" s="11"/>
      <c r="P69" s="6">
        <v>0</v>
      </c>
      <c r="Q69" s="2"/>
      <c r="R69" s="7">
        <f t="shared" si="44"/>
        <v>0</v>
      </c>
      <c r="S69" s="2"/>
      <c r="T69" s="6">
        <v>52.32</v>
      </c>
      <c r="U69" s="2"/>
      <c r="V69" s="7">
        <f t="shared" si="45"/>
        <v>0</v>
      </c>
      <c r="W69" s="2"/>
      <c r="X69" s="6">
        <f t="shared" si="46"/>
        <v>-52.32</v>
      </c>
      <c r="Y69" s="2"/>
      <c r="Z69" s="7">
        <f t="shared" si="47"/>
        <v>-1</v>
      </c>
    </row>
    <row r="70" spans="1:26" s="24" customFormat="1" hidden="1" outlineLevel="2" x14ac:dyDescent="0.25">
      <c r="A70" s="25"/>
      <c r="B70" s="11" t="str">
        <f>CONCATENATE("          ", "6373", " - ", "MAINTENANCE CONTRACTS")</f>
        <v xml:space="preserve">          6373 - MAINTENANCE CONTRACTS</v>
      </c>
      <c r="C70" s="11"/>
      <c r="D70" s="6">
        <v>51.01</v>
      </c>
      <c r="E70" s="2"/>
      <c r="F70" s="7">
        <f t="shared" si="40"/>
        <v>0</v>
      </c>
      <c r="G70" s="2"/>
      <c r="H70" s="6">
        <v>4108</v>
      </c>
      <c r="I70" s="2"/>
      <c r="J70" s="7">
        <f t="shared" si="41"/>
        <v>0</v>
      </c>
      <c r="K70" s="2"/>
      <c r="L70" s="6">
        <f t="shared" si="42"/>
        <v>-4056.99</v>
      </c>
      <c r="M70" s="2"/>
      <c r="N70" s="7">
        <f t="shared" si="43"/>
        <v>-0.98758276533592981</v>
      </c>
      <c r="O70" s="11"/>
      <c r="P70" s="6">
        <v>9189.75</v>
      </c>
      <c r="Q70" s="2"/>
      <c r="R70" s="7">
        <f t="shared" si="44"/>
        <v>0</v>
      </c>
      <c r="S70" s="2"/>
      <c r="T70" s="6">
        <v>7244.37</v>
      </c>
      <c r="U70" s="2"/>
      <c r="V70" s="7">
        <f t="shared" si="45"/>
        <v>0</v>
      </c>
      <c r="W70" s="2"/>
      <c r="X70" s="6">
        <f t="shared" si="46"/>
        <v>1945.38</v>
      </c>
      <c r="Y70" s="2"/>
      <c r="Z70" s="7">
        <f t="shared" si="47"/>
        <v>0.26853680858376922</v>
      </c>
    </row>
    <row r="71" spans="1:26" s="24" customFormat="1" hidden="1" outlineLevel="2" x14ac:dyDescent="0.25">
      <c r="A71" s="25"/>
      <c r="B71" s="11" t="str">
        <f>CONCATENATE("          ", "6375", " - ", "OUTSIDE REPAIRS &amp; MAINTENANCE")</f>
        <v xml:space="preserve">          6375 - OUTSIDE REPAIRS &amp; MAINTENANCE</v>
      </c>
      <c r="C71" s="11"/>
      <c r="D71" s="6">
        <v>2575</v>
      </c>
      <c r="E71" s="2"/>
      <c r="F71" s="7">
        <f t="shared" si="40"/>
        <v>0</v>
      </c>
      <c r="G71" s="2"/>
      <c r="H71" s="6">
        <v>5348.53</v>
      </c>
      <c r="I71" s="2"/>
      <c r="J71" s="7">
        <f t="shared" si="41"/>
        <v>0</v>
      </c>
      <c r="K71" s="2"/>
      <c r="L71" s="6">
        <f t="shared" si="42"/>
        <v>-2773.5299999999997</v>
      </c>
      <c r="M71" s="2"/>
      <c r="N71" s="7">
        <f t="shared" si="43"/>
        <v>-0.51855930508008741</v>
      </c>
      <c r="O71" s="11"/>
      <c r="P71" s="6">
        <v>14311.56</v>
      </c>
      <c r="Q71" s="2"/>
      <c r="R71" s="7">
        <f t="shared" si="44"/>
        <v>0</v>
      </c>
      <c r="S71" s="2"/>
      <c r="T71" s="6">
        <v>33097.440000000002</v>
      </c>
      <c r="U71" s="2"/>
      <c r="V71" s="7">
        <f t="shared" si="45"/>
        <v>0</v>
      </c>
      <c r="W71" s="2"/>
      <c r="X71" s="6">
        <f t="shared" si="46"/>
        <v>-18785.880000000005</v>
      </c>
      <c r="Y71" s="2"/>
      <c r="Z71" s="7">
        <f t="shared" si="47"/>
        <v>-0.56759314315548282</v>
      </c>
    </row>
    <row r="72" spans="1:26" s="26" customFormat="1" outlineLevel="1" collapsed="1" x14ac:dyDescent="0.25">
      <c r="A72" s="27"/>
      <c r="B72" s="13" t="str">
        <f>CONCATENATE("     ","Services                                          ")</f>
        <v xml:space="preserve">     Services                                          </v>
      </c>
      <c r="C72" s="13"/>
      <c r="D72" s="1">
        <f>SUM(OSRRefD22_16x_0)</f>
        <v>5463.73</v>
      </c>
      <c r="E72" s="1"/>
      <c r="F72" s="5">
        <f t="shared" ref="F72:F75" si="48">IF(D$12=0,0,D72/D$12)</f>
        <v>0</v>
      </c>
      <c r="G72" s="1"/>
      <c r="H72" s="1">
        <f>SUM(OSRRefH22_16x_0)</f>
        <v>4330.68</v>
      </c>
      <c r="I72" s="1"/>
      <c r="J72" s="5">
        <f t="shared" ref="J72:J75" si="49">IF(H$12=0,0,H72/H$12)</f>
        <v>0</v>
      </c>
      <c r="K72" s="1"/>
      <c r="L72" s="1">
        <f t="shared" ref="L72:L75" si="50">+D72-H72</f>
        <v>1133.0499999999993</v>
      </c>
      <c r="M72" s="1"/>
      <c r="N72" s="5">
        <f t="shared" ref="N72:N75" si="51">IF(H72=0,0,L72/H72)</f>
        <v>0.26163327699114208</v>
      </c>
      <c r="O72" s="13"/>
      <c r="P72" s="1">
        <f>SUM(OSRRefP22_16x_0)</f>
        <v>24436.16</v>
      </c>
      <c r="Q72" s="1"/>
      <c r="R72" s="5">
        <f t="shared" ref="R72:R75" si="52">IF(P$12=0,0,P72/P$12)</f>
        <v>0</v>
      </c>
      <c r="S72" s="1"/>
      <c r="T72" s="1">
        <f>SUM(OSRRefT22_16x_0)</f>
        <v>28489.589999999997</v>
      </c>
      <c r="U72" s="1"/>
      <c r="V72" s="5">
        <f t="shared" ref="V72:V75" si="53">IF(T$12=0,0,T72/T$12)</f>
        <v>0</v>
      </c>
      <c r="W72" s="1"/>
      <c r="X72" s="1">
        <f t="shared" ref="X72:X75" si="54">+P72-T72</f>
        <v>-4053.4299999999967</v>
      </c>
      <c r="Y72" s="1"/>
      <c r="Z72" s="5">
        <f t="shared" ref="Z72:Z75" si="55">IF(T72=0,0,X72/T72)</f>
        <v>-0.14227758279427669</v>
      </c>
    </row>
    <row r="73" spans="1:26" s="24" customFormat="1" hidden="1" outlineLevel="2" x14ac:dyDescent="0.25">
      <c r="A73" s="25"/>
      <c r="B73" s="11" t="str">
        <f>CONCATENATE("          ", "6282", " - ", "JANITORIAL/EXTERMINATOR EXPENS")</f>
        <v xml:space="preserve">          6282 - JANITORIAL/EXTERMINATOR EXPENS</v>
      </c>
      <c r="C73" s="11"/>
      <c r="D73" s="6">
        <v>1613</v>
      </c>
      <c r="E73" s="2"/>
      <c r="F73" s="7">
        <f t="shared" si="48"/>
        <v>0</v>
      </c>
      <c r="G73" s="2"/>
      <c r="H73" s="6">
        <v>222.5</v>
      </c>
      <c r="I73" s="2"/>
      <c r="J73" s="7">
        <f t="shared" si="49"/>
        <v>0</v>
      </c>
      <c r="K73" s="2"/>
      <c r="L73" s="6">
        <f t="shared" si="50"/>
        <v>1390.5</v>
      </c>
      <c r="M73" s="2"/>
      <c r="N73" s="7">
        <f t="shared" si="51"/>
        <v>6.249438202247191</v>
      </c>
      <c r="O73" s="11"/>
      <c r="P73" s="6">
        <v>6777.12</v>
      </c>
      <c r="Q73" s="2"/>
      <c r="R73" s="7">
        <f t="shared" si="52"/>
        <v>0</v>
      </c>
      <c r="S73" s="2"/>
      <c r="T73" s="6">
        <v>1557.5</v>
      </c>
      <c r="U73" s="2"/>
      <c r="V73" s="7">
        <f t="shared" si="53"/>
        <v>0</v>
      </c>
      <c r="W73" s="2"/>
      <c r="X73" s="6">
        <f t="shared" si="54"/>
        <v>5219.62</v>
      </c>
      <c r="Y73" s="2"/>
      <c r="Z73" s="7">
        <f t="shared" si="55"/>
        <v>3.3512808988764045</v>
      </c>
    </row>
    <row r="74" spans="1:26" s="24" customFormat="1" hidden="1" outlineLevel="2" x14ac:dyDescent="0.25">
      <c r="A74" s="25"/>
      <c r="B74" s="11" t="str">
        <f>CONCATENATE("          ", "6283", " - ", "PLANT SERVICE")</f>
        <v xml:space="preserve">          6283 - PLANT SERVICE</v>
      </c>
      <c r="C74" s="11"/>
      <c r="D74" s="6"/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1"/>
      <c r="P74" s="6">
        <v>130</v>
      </c>
      <c r="Q74" s="2"/>
      <c r="R74" s="7">
        <f t="shared" si="52"/>
        <v>0</v>
      </c>
      <c r="S74" s="2"/>
      <c r="T74" s="6">
        <v>363.33</v>
      </c>
      <c r="U74" s="2"/>
      <c r="V74" s="7">
        <f t="shared" si="53"/>
        <v>0</v>
      </c>
      <c r="W74" s="2"/>
      <c r="X74" s="6">
        <f t="shared" si="54"/>
        <v>-233.32999999999998</v>
      </c>
      <c r="Y74" s="2"/>
      <c r="Z74" s="7">
        <f t="shared" si="55"/>
        <v>-0.6421985522802961</v>
      </c>
    </row>
    <row r="75" spans="1:26" s="24" customFormat="1" hidden="1" outlineLevel="2" x14ac:dyDescent="0.25">
      <c r="A75" s="25"/>
      <c r="B75" s="11" t="str">
        <f>CONCATENATE("          ", "6285", " - ", "JANITORIAL SERVICES")</f>
        <v xml:space="preserve">          6285 - JANITORIAL SERVICES</v>
      </c>
      <c r="C75" s="11"/>
      <c r="D75" s="6">
        <v>3850.73</v>
      </c>
      <c r="E75" s="2"/>
      <c r="F75" s="7">
        <f t="shared" si="48"/>
        <v>0</v>
      </c>
      <c r="G75" s="2"/>
      <c r="H75" s="6">
        <v>4108.18</v>
      </c>
      <c r="I75" s="2"/>
      <c r="J75" s="7">
        <f t="shared" si="49"/>
        <v>0</v>
      </c>
      <c r="K75" s="2"/>
      <c r="L75" s="6">
        <f t="shared" si="50"/>
        <v>-257.45000000000027</v>
      </c>
      <c r="M75" s="2"/>
      <c r="N75" s="7">
        <f t="shared" si="51"/>
        <v>-6.2667653316067037E-2</v>
      </c>
      <c r="O75" s="11"/>
      <c r="P75" s="6">
        <v>17529.04</v>
      </c>
      <c r="Q75" s="2"/>
      <c r="R75" s="7">
        <f t="shared" si="52"/>
        <v>0</v>
      </c>
      <c r="S75" s="2"/>
      <c r="T75" s="6">
        <v>26568.76</v>
      </c>
      <c r="U75" s="2"/>
      <c r="V75" s="7">
        <f t="shared" si="53"/>
        <v>0</v>
      </c>
      <c r="W75" s="2"/>
      <c r="X75" s="6">
        <f t="shared" si="54"/>
        <v>-9039.7199999999975</v>
      </c>
      <c r="Y75" s="2"/>
      <c r="Z75" s="7">
        <f t="shared" si="55"/>
        <v>-0.34023868633688581</v>
      </c>
    </row>
    <row r="76" spans="1:26" s="26" customFormat="1" outlineLevel="1" collapsed="1" x14ac:dyDescent="0.25">
      <c r="A76" s="27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SUM(OSRRefD22_17x_0)</f>
        <v>0</v>
      </c>
      <c r="E76" s="1"/>
      <c r="F76" s="5">
        <f t="shared" ref="F76:F84" si="56">IF(D$12=0,0,D76/D$12)</f>
        <v>0</v>
      </c>
      <c r="G76" s="1"/>
      <c r="H76" s="1">
        <f>SUM(OSRRefH22_17x_0)</f>
        <v>0</v>
      </c>
      <c r="I76" s="1"/>
      <c r="J76" s="5">
        <f t="shared" ref="J76:J84" si="57">IF(H$12=0,0,H76/H$12)</f>
        <v>0</v>
      </c>
      <c r="K76" s="1"/>
      <c r="L76" s="1">
        <f t="shared" ref="L76:L84" si="58">+D76-H76</f>
        <v>0</v>
      </c>
      <c r="M76" s="1"/>
      <c r="N76" s="5">
        <f t="shared" ref="N76:N84" si="59">IF(H76=0,0,L76/H76)</f>
        <v>0</v>
      </c>
      <c r="O76" s="13"/>
      <c r="P76" s="1">
        <f>SUM(OSRRefP22_17x_0)</f>
        <v>0</v>
      </c>
      <c r="Q76" s="1"/>
      <c r="R76" s="5">
        <f t="shared" ref="R76:R84" si="60">IF(P$12=0,0,P76/P$12)</f>
        <v>0</v>
      </c>
      <c r="S76" s="1"/>
      <c r="T76" s="1">
        <f>SUM(OSRRefT22_17x_0)</f>
        <v>405.3</v>
      </c>
      <c r="U76" s="1"/>
      <c r="V76" s="5">
        <f t="shared" ref="V76:V84" si="61">IF(T$12=0,0,T76/T$12)</f>
        <v>0</v>
      </c>
      <c r="W76" s="1"/>
      <c r="X76" s="1">
        <f t="shared" ref="X76:X84" si="62">+P76-T76</f>
        <v>-405.3</v>
      </c>
      <c r="Y76" s="1"/>
      <c r="Z76" s="5">
        <f t="shared" ref="Z76:Z84" si="63">IF(T76=0,0,X76/T76)</f>
        <v>-1</v>
      </c>
    </row>
    <row r="77" spans="1:26" s="24" customFormat="1" hidden="1" outlineLevel="2" x14ac:dyDescent="0.25">
      <c r="A77" s="25"/>
      <c r="B77" s="11" t="str">
        <f>CONCATENATE("          ", "6275", " - ", "SUBSCRIPTIONS")</f>
        <v xml:space="preserve">          6275 - SUBSCRIPTIONS</v>
      </c>
      <c r="C77" s="11"/>
      <c r="D77" s="6"/>
      <c r="E77" s="2"/>
      <c r="F77" s="7">
        <f t="shared" si="56"/>
        <v>0</v>
      </c>
      <c r="G77" s="2"/>
      <c r="H77" s="6"/>
      <c r="I77" s="2"/>
      <c r="J77" s="7">
        <f t="shared" si="57"/>
        <v>0</v>
      </c>
      <c r="K77" s="2"/>
      <c r="L77" s="6">
        <f t="shared" si="58"/>
        <v>0</v>
      </c>
      <c r="M77" s="2"/>
      <c r="N77" s="7">
        <f t="shared" si="59"/>
        <v>0</v>
      </c>
      <c r="O77" s="11"/>
      <c r="P77" s="6"/>
      <c r="Q77" s="2"/>
      <c r="R77" s="7">
        <f t="shared" si="60"/>
        <v>0</v>
      </c>
      <c r="S77" s="2"/>
      <c r="T77" s="6">
        <v>405.3</v>
      </c>
      <c r="U77" s="2"/>
      <c r="V77" s="7">
        <f t="shared" si="61"/>
        <v>0</v>
      </c>
      <c r="W77" s="2"/>
      <c r="X77" s="6">
        <f t="shared" si="62"/>
        <v>-405.3</v>
      </c>
      <c r="Y77" s="2"/>
      <c r="Z77" s="7">
        <f t="shared" si="63"/>
        <v>-1</v>
      </c>
    </row>
    <row r="78" spans="1:26" s="26" customFormat="1" outlineLevel="1" collapsed="1" x14ac:dyDescent="0.25">
      <c r="A78" s="27"/>
      <c r="B78" s="13" t="str">
        <f>CONCATENATE("     ","Supplies                                          ")</f>
        <v xml:space="preserve">     Supplies                                          </v>
      </c>
      <c r="C78" s="13"/>
      <c r="D78" s="1">
        <f>SUM(OSRRefD22_18x_0)</f>
        <v>3619.8199999999997</v>
      </c>
      <c r="E78" s="1"/>
      <c r="F78" s="5">
        <f t="shared" si="56"/>
        <v>0</v>
      </c>
      <c r="G78" s="1"/>
      <c r="H78" s="1">
        <f>SUM(OSRRefH22_18x_0)</f>
        <v>2012.2399999999998</v>
      </c>
      <c r="I78" s="1"/>
      <c r="J78" s="5">
        <f t="shared" si="57"/>
        <v>0</v>
      </c>
      <c r="K78" s="1"/>
      <c r="L78" s="1">
        <f t="shared" si="58"/>
        <v>1607.58</v>
      </c>
      <c r="M78" s="1"/>
      <c r="N78" s="5">
        <f t="shared" si="59"/>
        <v>0.79890072754740993</v>
      </c>
      <c r="O78" s="13"/>
      <c r="P78" s="1">
        <f>SUM(OSRRefP22_18x_0)</f>
        <v>48922.29</v>
      </c>
      <c r="Q78" s="1"/>
      <c r="R78" s="5">
        <f t="shared" si="60"/>
        <v>0</v>
      </c>
      <c r="S78" s="1"/>
      <c r="T78" s="1">
        <f>SUM(OSRRefT22_18x_0)</f>
        <v>12334.72</v>
      </c>
      <c r="U78" s="1"/>
      <c r="V78" s="5">
        <f t="shared" si="61"/>
        <v>0</v>
      </c>
      <c r="W78" s="1"/>
      <c r="X78" s="1">
        <f t="shared" si="62"/>
        <v>36587.57</v>
      </c>
      <c r="Y78" s="1"/>
      <c r="Z78" s="5">
        <f t="shared" si="63"/>
        <v>2.9662262296995801</v>
      </c>
    </row>
    <row r="79" spans="1:26" s="24" customFormat="1" hidden="1" outlineLevel="2" x14ac:dyDescent="0.25">
      <c r="A79" s="25"/>
      <c r="B79" s="11" t="str">
        <f>CONCATENATE("          ", "6234", " - ", "EXPENDABLE SUPPLIES &amp; EQUIPMEN")</f>
        <v xml:space="preserve">          6234 - EXPENDABLE SUPPLIES &amp; EQUIPMEN</v>
      </c>
      <c r="C79" s="11"/>
      <c r="D79" s="6"/>
      <c r="E79" s="2"/>
      <c r="F79" s="7">
        <f t="shared" si="56"/>
        <v>0</v>
      </c>
      <c r="G79" s="2"/>
      <c r="H79" s="6">
        <v>522.41999999999996</v>
      </c>
      <c r="I79" s="2"/>
      <c r="J79" s="7">
        <f t="shared" si="57"/>
        <v>0</v>
      </c>
      <c r="K79" s="2"/>
      <c r="L79" s="6">
        <f t="shared" si="58"/>
        <v>-522.41999999999996</v>
      </c>
      <c r="M79" s="2"/>
      <c r="N79" s="7">
        <f t="shared" si="59"/>
        <v>-1</v>
      </c>
      <c r="O79" s="11"/>
      <c r="P79" s="6">
        <v>-449.34</v>
      </c>
      <c r="Q79" s="2"/>
      <c r="R79" s="7">
        <f t="shared" si="60"/>
        <v>0</v>
      </c>
      <c r="S79" s="2"/>
      <c r="T79" s="6">
        <v>1307.54</v>
      </c>
      <c r="U79" s="2"/>
      <c r="V79" s="7">
        <f t="shared" si="61"/>
        <v>0</v>
      </c>
      <c r="W79" s="2"/>
      <c r="X79" s="6">
        <f t="shared" si="62"/>
        <v>-1756.8799999999999</v>
      </c>
      <c r="Y79" s="2"/>
      <c r="Z79" s="7">
        <f t="shared" si="63"/>
        <v>-1.343652966639644</v>
      </c>
    </row>
    <row r="80" spans="1:26" s="24" customFormat="1" hidden="1" outlineLevel="2" x14ac:dyDescent="0.25">
      <c r="A80" s="25"/>
      <c r="B80" s="11" t="str">
        <f>CONCATENATE("          ", "6235", " - ", "COVID-19 EXPENSES")</f>
        <v xml:space="preserve">          6235 - COVID-19 EXPENSES</v>
      </c>
      <c r="C80" s="11"/>
      <c r="D80" s="6">
        <v>2921.2</v>
      </c>
      <c r="E80" s="2"/>
      <c r="F80" s="7">
        <f t="shared" si="56"/>
        <v>0</v>
      </c>
      <c r="G80" s="2"/>
      <c r="H80" s="6"/>
      <c r="I80" s="2"/>
      <c r="J80" s="7">
        <f t="shared" si="57"/>
        <v>0</v>
      </c>
      <c r="K80" s="2"/>
      <c r="L80" s="6">
        <f t="shared" si="58"/>
        <v>2921.2</v>
      </c>
      <c r="M80" s="2"/>
      <c r="N80" s="7">
        <f t="shared" si="59"/>
        <v>0</v>
      </c>
      <c r="O80" s="11"/>
      <c r="P80" s="6">
        <v>32251.69</v>
      </c>
      <c r="Q80" s="2"/>
      <c r="R80" s="7">
        <f t="shared" si="60"/>
        <v>0</v>
      </c>
      <c r="S80" s="2"/>
      <c r="T80" s="6"/>
      <c r="U80" s="2"/>
      <c r="V80" s="7">
        <f t="shared" si="61"/>
        <v>0</v>
      </c>
      <c r="W80" s="2"/>
      <c r="X80" s="6">
        <f t="shared" si="62"/>
        <v>32251.69</v>
      </c>
      <c r="Y80" s="2"/>
      <c r="Z80" s="7">
        <f t="shared" si="63"/>
        <v>0</v>
      </c>
    </row>
    <row r="81" spans="1:26" s="24" customFormat="1" hidden="1" outlineLevel="2" x14ac:dyDescent="0.25">
      <c r="A81" s="25"/>
      <c r="B81" s="11" t="str">
        <f>CONCATENATE("          ", "6237", " - ", "JANITORIAL SUPPLIES")</f>
        <v xml:space="preserve">          6237 - JANITORIAL SUPPLIES</v>
      </c>
      <c r="C81" s="11"/>
      <c r="D81" s="6">
        <v>329.77</v>
      </c>
      <c r="E81" s="2"/>
      <c r="F81" s="7">
        <f t="shared" si="56"/>
        <v>0</v>
      </c>
      <c r="G81" s="2"/>
      <c r="H81" s="6">
        <v>792.65</v>
      </c>
      <c r="I81" s="2"/>
      <c r="J81" s="7">
        <f t="shared" si="57"/>
        <v>0</v>
      </c>
      <c r="K81" s="2"/>
      <c r="L81" s="6">
        <f t="shared" si="58"/>
        <v>-462.88</v>
      </c>
      <c r="M81" s="2"/>
      <c r="N81" s="7">
        <f t="shared" si="59"/>
        <v>-0.58396518009209619</v>
      </c>
      <c r="O81" s="11"/>
      <c r="P81" s="6">
        <v>2071.91</v>
      </c>
      <c r="Q81" s="2"/>
      <c r="R81" s="7">
        <f t="shared" si="60"/>
        <v>0</v>
      </c>
      <c r="S81" s="2"/>
      <c r="T81" s="6">
        <v>3267.46</v>
      </c>
      <c r="U81" s="2"/>
      <c r="V81" s="7">
        <f t="shared" si="61"/>
        <v>0</v>
      </c>
      <c r="W81" s="2"/>
      <c r="X81" s="6">
        <f t="shared" si="62"/>
        <v>-1195.5500000000002</v>
      </c>
      <c r="Y81" s="2"/>
      <c r="Z81" s="7">
        <f t="shared" si="63"/>
        <v>-0.36589583346085341</v>
      </c>
    </row>
    <row r="82" spans="1:26" s="24" customFormat="1" hidden="1" outlineLevel="2" x14ac:dyDescent="0.25">
      <c r="A82" s="25"/>
      <c r="B82" s="11" t="str">
        <f>CONCATENATE("          ", "6241", " - ", "OFFICE EXPENSE")</f>
        <v xml:space="preserve">          6241 - OFFICE EXPENSE</v>
      </c>
      <c r="C82" s="11"/>
      <c r="D82" s="6">
        <v>21.92</v>
      </c>
      <c r="E82" s="2"/>
      <c r="F82" s="7">
        <f t="shared" si="56"/>
        <v>0</v>
      </c>
      <c r="G82" s="2"/>
      <c r="H82" s="6">
        <v>938.32</v>
      </c>
      <c r="I82" s="2"/>
      <c r="J82" s="7">
        <f t="shared" si="57"/>
        <v>0</v>
      </c>
      <c r="K82" s="2"/>
      <c r="L82" s="6">
        <f t="shared" si="58"/>
        <v>-916.40000000000009</v>
      </c>
      <c r="M82" s="2"/>
      <c r="N82" s="7">
        <f t="shared" si="59"/>
        <v>-0.97663909966749085</v>
      </c>
      <c r="O82" s="11"/>
      <c r="P82" s="6">
        <v>2295.9699999999998</v>
      </c>
      <c r="Q82" s="2"/>
      <c r="R82" s="7">
        <f t="shared" si="60"/>
        <v>0</v>
      </c>
      <c r="S82" s="2"/>
      <c r="T82" s="6">
        <v>7999.61</v>
      </c>
      <c r="U82" s="2"/>
      <c r="V82" s="7">
        <f t="shared" si="61"/>
        <v>0</v>
      </c>
      <c r="W82" s="2"/>
      <c r="X82" s="6">
        <f t="shared" si="62"/>
        <v>-5703.6399999999994</v>
      </c>
      <c r="Y82" s="2"/>
      <c r="Z82" s="7">
        <f t="shared" si="63"/>
        <v>-0.71298975825071464</v>
      </c>
    </row>
    <row r="83" spans="1:26" s="24" customFormat="1" hidden="1" outlineLevel="2" x14ac:dyDescent="0.25">
      <c r="A83" s="25"/>
      <c r="B83" s="11" t="str">
        <f>CONCATENATE("          ", "6245", " - ", "PRINTING")</f>
        <v xml:space="preserve">          6245 - PRINTING</v>
      </c>
      <c r="C83" s="11"/>
      <c r="D83" s="6"/>
      <c r="E83" s="2"/>
      <c r="F83" s="7">
        <f t="shared" si="56"/>
        <v>0</v>
      </c>
      <c r="G83" s="2"/>
      <c r="H83" s="6"/>
      <c r="I83" s="2"/>
      <c r="J83" s="7">
        <f t="shared" si="57"/>
        <v>0</v>
      </c>
      <c r="K83" s="2"/>
      <c r="L83" s="6">
        <f t="shared" si="58"/>
        <v>0</v>
      </c>
      <c r="M83" s="2"/>
      <c r="N83" s="7">
        <f t="shared" si="59"/>
        <v>0</v>
      </c>
      <c r="O83" s="11"/>
      <c r="P83" s="6">
        <v>68.66</v>
      </c>
      <c r="Q83" s="2"/>
      <c r="R83" s="7">
        <f t="shared" si="60"/>
        <v>0</v>
      </c>
      <c r="S83" s="2"/>
      <c r="T83" s="6">
        <v>19.73</v>
      </c>
      <c r="U83" s="2"/>
      <c r="V83" s="7">
        <f t="shared" si="61"/>
        <v>0</v>
      </c>
      <c r="W83" s="2"/>
      <c r="X83" s="6">
        <f t="shared" si="62"/>
        <v>48.929999999999993</v>
      </c>
      <c r="Y83" s="2"/>
      <c r="Z83" s="7">
        <f t="shared" si="63"/>
        <v>2.4799797263051189</v>
      </c>
    </row>
    <row r="84" spans="1:26" s="24" customFormat="1" hidden="1" outlineLevel="2" x14ac:dyDescent="0.25">
      <c r="A84" s="25"/>
      <c r="B84" s="11" t="str">
        <f>CONCATENATE("          ", "6247", " - ", "STORE SUPPLIES")</f>
        <v xml:space="preserve">          6247 - STORE SUPPLIES</v>
      </c>
      <c r="C84" s="11"/>
      <c r="D84" s="6">
        <v>346.93</v>
      </c>
      <c r="E84" s="2"/>
      <c r="F84" s="7">
        <f t="shared" si="56"/>
        <v>0</v>
      </c>
      <c r="G84" s="2"/>
      <c r="H84" s="6">
        <v>-241.15</v>
      </c>
      <c r="I84" s="2"/>
      <c r="J84" s="7">
        <f t="shared" si="57"/>
        <v>0</v>
      </c>
      <c r="K84" s="2"/>
      <c r="L84" s="6">
        <f t="shared" si="58"/>
        <v>588.08000000000004</v>
      </c>
      <c r="M84" s="2"/>
      <c r="N84" s="7">
        <f t="shared" si="59"/>
        <v>-2.4386481443085217</v>
      </c>
      <c r="O84" s="11"/>
      <c r="P84" s="6">
        <v>12683.4</v>
      </c>
      <c r="Q84" s="2"/>
      <c r="R84" s="7">
        <f t="shared" si="60"/>
        <v>0</v>
      </c>
      <c r="S84" s="2"/>
      <c r="T84" s="6">
        <v>-259.62</v>
      </c>
      <c r="U84" s="2"/>
      <c r="V84" s="7">
        <f t="shared" si="61"/>
        <v>0</v>
      </c>
      <c r="W84" s="2"/>
      <c r="X84" s="6">
        <f t="shared" si="62"/>
        <v>12943.02</v>
      </c>
      <c r="Y84" s="2"/>
      <c r="Z84" s="7">
        <f t="shared" si="63"/>
        <v>-49.853709267390805</v>
      </c>
    </row>
    <row r="85" spans="1:26" s="26" customFormat="1" outlineLevel="1" collapsed="1" x14ac:dyDescent="0.25">
      <c r="A85" s="27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SUM(OSRRefD22_19x_0)</f>
        <v>473.32</v>
      </c>
      <c r="E85" s="1"/>
      <c r="F85" s="5">
        <f t="shared" ref="F85:F92" si="64">IF(D$12=0,0,D85/D$12)</f>
        <v>0</v>
      </c>
      <c r="G85" s="1"/>
      <c r="H85" s="1">
        <f>SUM(OSRRefH22_19x_0)</f>
        <v>557.88</v>
      </c>
      <c r="I85" s="1"/>
      <c r="J85" s="5">
        <f t="shared" ref="J85:J92" si="65">IF(H$12=0,0,H85/H$12)</f>
        <v>0</v>
      </c>
      <c r="K85" s="1"/>
      <c r="L85" s="1">
        <f t="shared" ref="L85:L92" si="66">+D85-H85</f>
        <v>-84.56</v>
      </c>
      <c r="M85" s="1"/>
      <c r="N85" s="5">
        <f t="shared" ref="N85:N92" si="67">IF(H85=0,0,L85/H85)</f>
        <v>-0.15157381515738153</v>
      </c>
      <c r="O85" s="13"/>
      <c r="P85" s="1">
        <f>SUM(OSRRefP22_19x_0)</f>
        <v>4206.26</v>
      </c>
      <c r="Q85" s="1"/>
      <c r="R85" s="5">
        <f t="shared" ref="R85:R92" si="68">IF(P$12=0,0,P85/P$12)</f>
        <v>0</v>
      </c>
      <c r="S85" s="1"/>
      <c r="T85" s="1">
        <f>SUM(OSRRefT22_19x_0)</f>
        <v>3700.44</v>
      </c>
      <c r="U85" s="1"/>
      <c r="V85" s="5">
        <f t="shared" ref="V85:V92" si="69">IF(T$12=0,0,T85/T$12)</f>
        <v>0</v>
      </c>
      <c r="W85" s="1"/>
      <c r="X85" s="1">
        <f t="shared" ref="X85:X92" si="70">+P85-T85</f>
        <v>505.82000000000016</v>
      </c>
      <c r="Y85" s="1"/>
      <c r="Z85" s="5">
        <f t="shared" ref="Z85:Z92" si="71">IF(T85=0,0,X85/T85)</f>
        <v>0.13669185286074093</v>
      </c>
    </row>
    <row r="86" spans="1:26" s="24" customFormat="1" hidden="1" outlineLevel="2" x14ac:dyDescent="0.25">
      <c r="A86" s="25"/>
      <c r="B86" s="11" t="str">
        <f>CONCATENATE("          ", "6309", " - ", "TELEPHONE")</f>
        <v xml:space="preserve">          6309 - TELEPHONE</v>
      </c>
      <c r="C86" s="11"/>
      <c r="D86" s="6">
        <v>473.32</v>
      </c>
      <c r="E86" s="2"/>
      <c r="F86" s="7">
        <f t="shared" si="64"/>
        <v>0</v>
      </c>
      <c r="G86" s="2"/>
      <c r="H86" s="6">
        <v>557.88</v>
      </c>
      <c r="I86" s="2"/>
      <c r="J86" s="7">
        <f t="shared" si="65"/>
        <v>0</v>
      </c>
      <c r="K86" s="2"/>
      <c r="L86" s="6">
        <f t="shared" si="66"/>
        <v>-84.56</v>
      </c>
      <c r="M86" s="2"/>
      <c r="N86" s="7">
        <f t="shared" si="67"/>
        <v>-0.15157381515738153</v>
      </c>
      <c r="O86" s="11"/>
      <c r="P86" s="6">
        <v>4206.26</v>
      </c>
      <c r="Q86" s="2"/>
      <c r="R86" s="7">
        <f t="shared" si="68"/>
        <v>0</v>
      </c>
      <c r="S86" s="2"/>
      <c r="T86" s="6">
        <v>3700.44</v>
      </c>
      <c r="U86" s="2"/>
      <c r="V86" s="7">
        <f t="shared" si="69"/>
        <v>0</v>
      </c>
      <c r="W86" s="2"/>
      <c r="X86" s="6">
        <f t="shared" si="70"/>
        <v>505.82000000000016</v>
      </c>
      <c r="Y86" s="2"/>
      <c r="Z86" s="7">
        <f t="shared" si="71"/>
        <v>0.13669185286074093</v>
      </c>
    </row>
    <row r="87" spans="1:26" s="26" customFormat="1" outlineLevel="1" collapsed="1" x14ac:dyDescent="0.25">
      <c r="A87" s="27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SUM(OSRRefD22_20x_0)</f>
        <v>0</v>
      </c>
      <c r="E87" s="1"/>
      <c r="F87" s="5">
        <f t="shared" si="64"/>
        <v>0</v>
      </c>
      <c r="G87" s="1"/>
      <c r="H87" s="1">
        <f>SUM(OSRRefH22_20x_0)</f>
        <v>1212.0899999999999</v>
      </c>
      <c r="I87" s="1"/>
      <c r="J87" s="5">
        <f t="shared" si="65"/>
        <v>0</v>
      </c>
      <c r="K87" s="1"/>
      <c r="L87" s="1">
        <f t="shared" si="66"/>
        <v>-1212.0899999999999</v>
      </c>
      <c r="M87" s="1"/>
      <c r="N87" s="5">
        <f t="shared" si="67"/>
        <v>-1</v>
      </c>
      <c r="O87" s="13"/>
      <c r="P87" s="1">
        <f>SUM(OSRRefP22_20x_0)</f>
        <v>131.63</v>
      </c>
      <c r="Q87" s="1"/>
      <c r="R87" s="5">
        <f t="shared" si="68"/>
        <v>0</v>
      </c>
      <c r="S87" s="1"/>
      <c r="T87" s="1">
        <f>SUM(OSRRefT22_20x_0)</f>
        <v>6591.53</v>
      </c>
      <c r="U87" s="1"/>
      <c r="V87" s="5">
        <f t="shared" si="69"/>
        <v>0</v>
      </c>
      <c r="W87" s="1"/>
      <c r="X87" s="1">
        <f t="shared" si="70"/>
        <v>-6459.9</v>
      </c>
      <c r="Y87" s="1"/>
      <c r="Z87" s="5">
        <f t="shared" si="71"/>
        <v>-0.98003043299507098</v>
      </c>
    </row>
    <row r="88" spans="1:26" s="24" customFormat="1" hidden="1" outlineLevel="2" x14ac:dyDescent="0.25">
      <c r="A88" s="25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64"/>
        <v>0</v>
      </c>
      <c r="G88" s="2"/>
      <c r="H88" s="6">
        <v>1212.0899999999999</v>
      </c>
      <c r="I88" s="2"/>
      <c r="J88" s="7">
        <f t="shared" si="65"/>
        <v>0</v>
      </c>
      <c r="K88" s="2"/>
      <c r="L88" s="6">
        <f t="shared" si="66"/>
        <v>-1212.0899999999999</v>
      </c>
      <c r="M88" s="2"/>
      <c r="N88" s="7">
        <f t="shared" si="67"/>
        <v>-1</v>
      </c>
      <c r="O88" s="11"/>
      <c r="P88" s="6">
        <v>131.63</v>
      </c>
      <c r="Q88" s="2"/>
      <c r="R88" s="7">
        <f t="shared" si="68"/>
        <v>0</v>
      </c>
      <c r="S88" s="2"/>
      <c r="T88" s="6">
        <v>6591.53</v>
      </c>
      <c r="U88" s="2"/>
      <c r="V88" s="7">
        <f t="shared" si="69"/>
        <v>0</v>
      </c>
      <c r="W88" s="2"/>
      <c r="X88" s="6">
        <f t="shared" si="70"/>
        <v>-6459.9</v>
      </c>
      <c r="Y88" s="2"/>
      <c r="Z88" s="7">
        <f t="shared" si="71"/>
        <v>-0.98003043299507098</v>
      </c>
    </row>
    <row r="89" spans="1:26" s="26" customFormat="1" outlineLevel="1" collapsed="1" x14ac:dyDescent="0.25">
      <c r="A89" s="27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SUM(OSRRefD22_21x_0)</f>
        <v>0</v>
      </c>
      <c r="E89" s="1"/>
      <c r="F89" s="5">
        <f t="shared" si="64"/>
        <v>0</v>
      </c>
      <c r="G89" s="1"/>
      <c r="H89" s="1">
        <f>SUM(OSRRefH22_21x_0)</f>
        <v>-125.31</v>
      </c>
      <c r="I89" s="1"/>
      <c r="J89" s="5">
        <f t="shared" si="65"/>
        <v>0</v>
      </c>
      <c r="K89" s="1"/>
      <c r="L89" s="1">
        <f t="shared" si="66"/>
        <v>125.31</v>
      </c>
      <c r="M89" s="1"/>
      <c r="N89" s="5">
        <f t="shared" si="67"/>
        <v>-1</v>
      </c>
      <c r="O89" s="13"/>
      <c r="P89" s="1">
        <f>SUM(OSRRefP22_21x_0)</f>
        <v>358.89</v>
      </c>
      <c r="Q89" s="1"/>
      <c r="R89" s="5">
        <f t="shared" si="68"/>
        <v>0</v>
      </c>
      <c r="S89" s="1"/>
      <c r="T89" s="1">
        <f>SUM(OSRRefT22_21x_0)</f>
        <v>645.55999999999995</v>
      </c>
      <c r="U89" s="1"/>
      <c r="V89" s="5">
        <f t="shared" si="69"/>
        <v>0</v>
      </c>
      <c r="W89" s="1"/>
      <c r="X89" s="1">
        <f t="shared" si="70"/>
        <v>-286.66999999999996</v>
      </c>
      <c r="Y89" s="1"/>
      <c r="Z89" s="5">
        <f t="shared" si="71"/>
        <v>-0.44406406840572521</v>
      </c>
    </row>
    <row r="90" spans="1:26" s="24" customFormat="1" hidden="1" outlineLevel="2" x14ac:dyDescent="0.25">
      <c r="A90" s="25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64"/>
        <v>0</v>
      </c>
      <c r="G90" s="2"/>
      <c r="H90" s="6"/>
      <c r="I90" s="2"/>
      <c r="J90" s="7">
        <f t="shared" si="65"/>
        <v>0</v>
      </c>
      <c r="K90" s="2"/>
      <c r="L90" s="6">
        <f t="shared" si="66"/>
        <v>0</v>
      </c>
      <c r="M90" s="2"/>
      <c r="N90" s="7">
        <f t="shared" si="67"/>
        <v>0</v>
      </c>
      <c r="O90" s="11"/>
      <c r="P90" s="6">
        <v>299</v>
      </c>
      <c r="Q90" s="2"/>
      <c r="R90" s="7">
        <f t="shared" si="68"/>
        <v>0</v>
      </c>
      <c r="S90" s="2"/>
      <c r="T90" s="6">
        <v>497.64</v>
      </c>
      <c r="U90" s="2"/>
      <c r="V90" s="7">
        <f t="shared" si="69"/>
        <v>0</v>
      </c>
      <c r="W90" s="2"/>
      <c r="X90" s="6">
        <f t="shared" si="70"/>
        <v>-198.64</v>
      </c>
      <c r="Y90" s="2"/>
      <c r="Z90" s="7">
        <f t="shared" si="71"/>
        <v>-0.39916405433646812</v>
      </c>
    </row>
    <row r="91" spans="1:26" s="24" customFormat="1" hidden="1" outlineLevel="2" x14ac:dyDescent="0.25">
      <c r="A91" s="25"/>
      <c r="B91" s="11" t="str">
        <f>CONCATENATE("          ", "6294", " - ", "TRAVEL OPERATIONAL")</f>
        <v xml:space="preserve">          6294 - TRAVEL OPERATIONAL</v>
      </c>
      <c r="C91" s="11"/>
      <c r="D91" s="6"/>
      <c r="E91" s="2"/>
      <c r="F91" s="7">
        <f t="shared" si="64"/>
        <v>0</v>
      </c>
      <c r="G91" s="2"/>
      <c r="H91" s="6">
        <v>-160</v>
      </c>
      <c r="I91" s="2"/>
      <c r="J91" s="7">
        <f t="shared" si="65"/>
        <v>0</v>
      </c>
      <c r="K91" s="2"/>
      <c r="L91" s="6">
        <f t="shared" si="66"/>
        <v>160</v>
      </c>
      <c r="M91" s="2"/>
      <c r="N91" s="7">
        <f t="shared" si="67"/>
        <v>-1</v>
      </c>
      <c r="O91" s="11"/>
      <c r="P91" s="6"/>
      <c r="Q91" s="2"/>
      <c r="R91" s="7">
        <f t="shared" si="68"/>
        <v>0</v>
      </c>
      <c r="S91" s="2"/>
      <c r="T91" s="6">
        <v>-144.33000000000001</v>
      </c>
      <c r="U91" s="2"/>
      <c r="V91" s="7">
        <f t="shared" si="69"/>
        <v>0</v>
      </c>
      <c r="W91" s="2"/>
      <c r="X91" s="6">
        <f t="shared" si="70"/>
        <v>144.33000000000001</v>
      </c>
      <c r="Y91" s="2"/>
      <c r="Z91" s="7">
        <f t="shared" si="71"/>
        <v>-1</v>
      </c>
    </row>
    <row r="92" spans="1:26" s="24" customFormat="1" hidden="1" outlineLevel="2" x14ac:dyDescent="0.25">
      <c r="A92" s="25"/>
      <c r="B92" s="11" t="str">
        <f>CONCATENATE("          ", "6298", " - ", "VEHICLE MILEAGE")</f>
        <v xml:space="preserve">          6298 - VEHICLE MILEAGE</v>
      </c>
      <c r="C92" s="11"/>
      <c r="D92" s="6"/>
      <c r="E92" s="2"/>
      <c r="F92" s="7">
        <f t="shared" si="64"/>
        <v>0</v>
      </c>
      <c r="G92" s="2"/>
      <c r="H92" s="6">
        <v>34.69</v>
      </c>
      <c r="I92" s="2"/>
      <c r="J92" s="7">
        <f t="shared" si="65"/>
        <v>0</v>
      </c>
      <c r="K92" s="2"/>
      <c r="L92" s="6">
        <f t="shared" si="66"/>
        <v>-34.69</v>
      </c>
      <c r="M92" s="2"/>
      <c r="N92" s="7">
        <f t="shared" si="67"/>
        <v>-1</v>
      </c>
      <c r="O92" s="11"/>
      <c r="P92" s="6">
        <v>59.89</v>
      </c>
      <c r="Q92" s="2"/>
      <c r="R92" s="7">
        <f t="shared" si="68"/>
        <v>0</v>
      </c>
      <c r="S92" s="2"/>
      <c r="T92" s="6">
        <v>292.25</v>
      </c>
      <c r="U92" s="2"/>
      <c r="V92" s="7">
        <f t="shared" si="69"/>
        <v>0</v>
      </c>
      <c r="W92" s="2"/>
      <c r="X92" s="6">
        <f t="shared" si="70"/>
        <v>-232.36</v>
      </c>
      <c r="Y92" s="2"/>
      <c r="Z92" s="7">
        <f t="shared" si="71"/>
        <v>-0.7950727117194184</v>
      </c>
    </row>
    <row r="93" spans="1:26" s="26" customFormat="1" outlineLevel="1" collapsed="1" x14ac:dyDescent="0.25">
      <c r="A93" s="27"/>
      <c r="B93" s="13" t="str">
        <f>CONCATENATE("     ","Utilities                                         ")</f>
        <v xml:space="preserve">     Utilities                                         </v>
      </c>
      <c r="C93" s="13"/>
      <c r="D93" s="1">
        <f>SUM(OSRRefD22_22x_0)</f>
        <v>6133</v>
      </c>
      <c r="E93" s="1"/>
      <c r="F93" s="5">
        <f t="shared" ref="F93:F94" si="72">IF(D$12=0,0,D93/D$12)</f>
        <v>0</v>
      </c>
      <c r="G93" s="1"/>
      <c r="H93" s="1">
        <f>SUM(OSRRefH22_22x_0)</f>
        <v>6135</v>
      </c>
      <c r="I93" s="1"/>
      <c r="J93" s="5">
        <f t="shared" ref="J93:J94" si="73">IF(H$12=0,0,H93/H$12)</f>
        <v>0</v>
      </c>
      <c r="K93" s="1"/>
      <c r="L93" s="1">
        <f t="shared" ref="L93:L94" si="74">+D93-H93</f>
        <v>-2</v>
      </c>
      <c r="M93" s="1"/>
      <c r="N93" s="5">
        <f t="shared" ref="N93:N94" si="75">IF(H93=0,0,L93/H93)</f>
        <v>-3.2599837000814997E-4</v>
      </c>
      <c r="O93" s="13"/>
      <c r="P93" s="1">
        <f>SUM(OSRRefP22_22x_0)</f>
        <v>42735</v>
      </c>
      <c r="Q93" s="1"/>
      <c r="R93" s="5">
        <f t="shared" ref="R93:R94" si="76">IF(P$12=0,0,P93/P$12)</f>
        <v>0</v>
      </c>
      <c r="S93" s="1"/>
      <c r="T93" s="1">
        <f>SUM(OSRRefT22_22x_0)</f>
        <v>37872</v>
      </c>
      <c r="U93" s="1"/>
      <c r="V93" s="5">
        <f t="shared" ref="V93:V94" si="77">IF(T$12=0,0,T93/T$12)</f>
        <v>0</v>
      </c>
      <c r="W93" s="1"/>
      <c r="X93" s="1">
        <f t="shared" ref="X93:X94" si="78">+P93-T93</f>
        <v>4863</v>
      </c>
      <c r="Y93" s="1"/>
      <c r="Z93" s="5">
        <f t="shared" ref="Z93:Z94" si="79">IF(T93=0,0,X93/T93)</f>
        <v>0.1284062103929024</v>
      </c>
    </row>
    <row r="94" spans="1:26" s="24" customFormat="1" hidden="1" outlineLevel="2" x14ac:dyDescent="0.25">
      <c r="A94" s="25"/>
      <c r="B94" s="11" t="str">
        <f>CONCATENATE("          ", "6274", " - ", "UTILITIES")</f>
        <v xml:space="preserve">          6274 - UTILITIES</v>
      </c>
      <c r="C94" s="11"/>
      <c r="D94" s="6">
        <v>6133</v>
      </c>
      <c r="E94" s="2"/>
      <c r="F94" s="7">
        <f t="shared" si="72"/>
        <v>0</v>
      </c>
      <c r="G94" s="2"/>
      <c r="H94" s="6">
        <v>6135</v>
      </c>
      <c r="I94" s="2"/>
      <c r="J94" s="7">
        <f t="shared" si="73"/>
        <v>0</v>
      </c>
      <c r="K94" s="2"/>
      <c r="L94" s="6">
        <f t="shared" si="74"/>
        <v>-2</v>
      </c>
      <c r="M94" s="2"/>
      <c r="N94" s="7">
        <f t="shared" si="75"/>
        <v>-3.2599837000814997E-4</v>
      </c>
      <c r="O94" s="11"/>
      <c r="P94" s="6">
        <v>42735</v>
      </c>
      <c r="Q94" s="2"/>
      <c r="R94" s="7">
        <f t="shared" si="76"/>
        <v>0</v>
      </c>
      <c r="S94" s="2"/>
      <c r="T94" s="6">
        <v>37872</v>
      </c>
      <c r="U94" s="2"/>
      <c r="V94" s="7">
        <f t="shared" si="77"/>
        <v>0</v>
      </c>
      <c r="W94" s="2"/>
      <c r="X94" s="6">
        <f t="shared" si="78"/>
        <v>4863</v>
      </c>
      <c r="Y94" s="2"/>
      <c r="Z94" s="7">
        <f t="shared" si="79"/>
        <v>0.1284062103929024</v>
      </c>
    </row>
    <row r="95" spans="1:26" s="61" customFormat="1" x14ac:dyDescent="0.25">
      <c r="A95" s="37"/>
      <c r="B95" s="37"/>
      <c r="C95" s="37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7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collapsed="1" x14ac:dyDescent="0.25">
      <c r="A96" s="10"/>
      <c r="B96" s="29" t="s">
        <v>0</v>
      </c>
      <c r="C96" s="10"/>
      <c r="D96" s="4">
        <f>SUM(OSRRefD25x_0)</f>
        <v>2579.89</v>
      </c>
      <c r="E96" s="4"/>
      <c r="F96" s="12">
        <f t="shared" ref="F96:F99" si="80">IF(D$12=0,0,D96/D$12)</f>
        <v>0</v>
      </c>
      <c r="G96" s="4"/>
      <c r="H96" s="4">
        <f>SUM(OSRRefH25x_0)</f>
        <v>63692.43</v>
      </c>
      <c r="I96" s="4"/>
      <c r="J96" s="12">
        <f t="shared" ref="J96:J99" si="81">IF(H$12=0,0,H96/H$12)</f>
        <v>0</v>
      </c>
      <c r="K96" s="4"/>
      <c r="L96" s="4">
        <f t="shared" ref="L96:L99" si="82">+D96-H96</f>
        <v>-61112.54</v>
      </c>
      <c r="M96" s="4"/>
      <c r="N96" s="12">
        <f t="shared" ref="N96:N99" si="83">IF(H96=0,0,L96/H96)</f>
        <v>-0.95949455845851694</v>
      </c>
      <c r="O96" s="10"/>
      <c r="P96" s="4">
        <f>SUM(OSRRefP25x_0)</f>
        <v>126303.77</v>
      </c>
      <c r="Q96" s="4"/>
      <c r="R96" s="12">
        <f t="shared" ref="R96:R99" si="84">IF(P$12=0,0,P96/P$12)</f>
        <v>0</v>
      </c>
      <c r="S96" s="4"/>
      <c r="T96" s="4">
        <f>SUM(OSRRefT25x_0)</f>
        <v>160863.63</v>
      </c>
      <c r="U96" s="4"/>
      <c r="V96" s="12">
        <f t="shared" ref="V96:V99" si="85">IF(T$12=0,0,T96/T$12)</f>
        <v>0</v>
      </c>
      <c r="W96" s="4"/>
      <c r="X96" s="4">
        <f t="shared" ref="X96:X99" si="86">+P96-T96</f>
        <v>-34559.86</v>
      </c>
      <c r="Y96" s="4"/>
      <c r="Z96" s="12">
        <f t="shared" ref="Z96:Z99" si="87">IF(T96=0,0,X96/T96)</f>
        <v>-0.21483948857799615</v>
      </c>
    </row>
    <row r="97" spans="1:26" s="24" customFormat="1" hidden="1" outlineLevel="1" x14ac:dyDescent="0.25">
      <c r="A97" s="44"/>
      <c r="B97" s="11" t="str">
        <f>CONCATENATE("          ", "9150", " - ", "MISC. INCOME")</f>
        <v xml:space="preserve">          9150 - MISC. INCOME</v>
      </c>
      <c r="C97" s="11"/>
      <c r="D97" s="2">
        <f>--2579.89</f>
        <v>2579.89</v>
      </c>
      <c r="E97" s="2"/>
      <c r="F97" s="19">
        <f t="shared" si="80"/>
        <v>0</v>
      </c>
      <c r="G97" s="2"/>
      <c r="H97" s="2">
        <f>--65231.56</f>
        <v>65231.56</v>
      </c>
      <c r="I97" s="2"/>
      <c r="J97" s="19">
        <f t="shared" si="81"/>
        <v>0</v>
      </c>
      <c r="K97" s="2"/>
      <c r="L97" s="2">
        <f t="shared" si="82"/>
        <v>-62651.67</v>
      </c>
      <c r="M97" s="2"/>
      <c r="N97" s="19">
        <f t="shared" si="83"/>
        <v>-0.9604502789753917</v>
      </c>
      <c r="O97" s="11"/>
      <c r="P97" s="2">
        <f>--126303.77</f>
        <v>126303.77</v>
      </c>
      <c r="Q97" s="2"/>
      <c r="R97" s="19">
        <f t="shared" si="84"/>
        <v>0</v>
      </c>
      <c r="S97" s="2"/>
      <c r="T97" s="2">
        <f>--162136.45</f>
        <v>162136.45000000001</v>
      </c>
      <c r="U97" s="2"/>
      <c r="V97" s="19">
        <f t="shared" si="85"/>
        <v>0</v>
      </c>
      <c r="W97" s="2"/>
      <c r="X97" s="2">
        <f t="shared" si="86"/>
        <v>-35832.680000000008</v>
      </c>
      <c r="Y97" s="2"/>
      <c r="Z97" s="19">
        <f t="shared" si="87"/>
        <v>-0.22100323523797397</v>
      </c>
    </row>
    <row r="98" spans="1:26" s="24" customFormat="1" hidden="1" outlineLevel="1" x14ac:dyDescent="0.25">
      <c r="A98" s="44"/>
      <c r="B98" s="11" t="str">
        <f>CONCATENATE("          ", "9151", " - ", "MISC. INCOME")</f>
        <v xml:space="preserve">          9151 - MISC. INCOME</v>
      </c>
      <c r="C98" s="11"/>
      <c r="D98" s="2">
        <f t="shared" ref="D98:D99" si="88">0</f>
        <v>0</v>
      </c>
      <c r="E98" s="2"/>
      <c r="F98" s="19">
        <f t="shared" si="80"/>
        <v>0</v>
      </c>
      <c r="G98" s="2"/>
      <c r="H98" s="2">
        <f>-1539.13</f>
        <v>-1539.13</v>
      </c>
      <c r="I98" s="2"/>
      <c r="J98" s="19">
        <f t="shared" si="81"/>
        <v>0</v>
      </c>
      <c r="K98" s="2"/>
      <c r="L98" s="2">
        <f t="shared" si="82"/>
        <v>1539.13</v>
      </c>
      <c r="M98" s="2"/>
      <c r="N98" s="19">
        <f t="shared" si="83"/>
        <v>-1</v>
      </c>
      <c r="O98" s="11"/>
      <c r="P98" s="2">
        <f t="shared" ref="P98:P99" si="89">0</f>
        <v>0</v>
      </c>
      <c r="Q98" s="2"/>
      <c r="R98" s="19">
        <f t="shared" si="84"/>
        <v>0</v>
      </c>
      <c r="S98" s="2"/>
      <c r="T98" s="2">
        <f>-1722.82</f>
        <v>-1722.82</v>
      </c>
      <c r="U98" s="2"/>
      <c r="V98" s="19">
        <f t="shared" si="85"/>
        <v>0</v>
      </c>
      <c r="W98" s="2"/>
      <c r="X98" s="2">
        <f t="shared" si="86"/>
        <v>1722.82</v>
      </c>
      <c r="Y98" s="2"/>
      <c r="Z98" s="19">
        <f t="shared" si="87"/>
        <v>-1</v>
      </c>
    </row>
    <row r="99" spans="1:26" s="24" customFormat="1" hidden="1" outlineLevel="1" x14ac:dyDescent="0.25">
      <c r="A99" s="44"/>
      <c r="B99" s="11" t="str">
        <f>CONCATENATE("          ", "9153", " - ", "MISC. INCOME")</f>
        <v xml:space="preserve">          9153 - MISC. INCOME</v>
      </c>
      <c r="C99" s="11"/>
      <c r="D99" s="2">
        <f t="shared" si="88"/>
        <v>0</v>
      </c>
      <c r="E99" s="2"/>
      <c r="F99" s="19">
        <f t="shared" si="80"/>
        <v>0</v>
      </c>
      <c r="G99" s="2"/>
      <c r="H99" s="2">
        <f>0</f>
        <v>0</v>
      </c>
      <c r="I99" s="2"/>
      <c r="J99" s="19">
        <f t="shared" si="81"/>
        <v>0</v>
      </c>
      <c r="K99" s="2"/>
      <c r="L99" s="2">
        <f t="shared" si="82"/>
        <v>0</v>
      </c>
      <c r="M99" s="2"/>
      <c r="N99" s="19">
        <f t="shared" si="83"/>
        <v>0</v>
      </c>
      <c r="O99" s="11"/>
      <c r="P99" s="2">
        <f t="shared" si="89"/>
        <v>0</v>
      </c>
      <c r="Q99" s="2"/>
      <c r="R99" s="19">
        <f t="shared" si="84"/>
        <v>0</v>
      </c>
      <c r="S99" s="2"/>
      <c r="T99" s="2">
        <f>--450</f>
        <v>450</v>
      </c>
      <c r="U99" s="2"/>
      <c r="V99" s="19">
        <f t="shared" si="85"/>
        <v>0</v>
      </c>
      <c r="W99" s="2"/>
      <c r="X99" s="2">
        <f t="shared" si="86"/>
        <v>-450</v>
      </c>
      <c r="Y99" s="2"/>
      <c r="Z99" s="19">
        <f t="shared" si="87"/>
        <v>-1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8" t="s">
        <v>3</v>
      </c>
      <c r="C101" s="28"/>
      <c r="D101" s="20">
        <f>+D16-D18+D96</f>
        <v>-140379.47999999998</v>
      </c>
      <c r="E101" s="14"/>
      <c r="F101" s="22">
        <f>IF(D$12=0,0,D101/D$12)</f>
        <v>0</v>
      </c>
      <c r="G101" s="14"/>
      <c r="H101" s="20">
        <f>+H16-H18+H96</f>
        <v>-98501.170000000013</v>
      </c>
      <c r="I101" s="14"/>
      <c r="J101" s="22">
        <f>IF(H$12=0,0,H101/H$12)</f>
        <v>0</v>
      </c>
      <c r="K101" s="15"/>
      <c r="L101" s="20">
        <f>+D101-H101</f>
        <v>-41878.309999999969</v>
      </c>
      <c r="M101" s="15"/>
      <c r="N101" s="22">
        <f>IF(H101=0,0,L101/H101)</f>
        <v>0.42515545754431106</v>
      </c>
      <c r="O101" s="29"/>
      <c r="P101" s="20">
        <f>+P16-P18+P96</f>
        <v>-749743.74000000022</v>
      </c>
      <c r="Q101" s="14"/>
      <c r="R101" s="22">
        <f>IF(P$12=0,0,P101/P$12)</f>
        <v>0</v>
      </c>
      <c r="S101" s="14"/>
      <c r="T101" s="20">
        <f>+T16-T18+T96</f>
        <v>-780847.96</v>
      </c>
      <c r="U101" s="14"/>
      <c r="V101" s="22">
        <f>IF(T$12=0,0,T101/T$12)</f>
        <v>0</v>
      </c>
      <c r="W101" s="15"/>
      <c r="X101" s="20">
        <f>+P101-T101</f>
        <v>31104.219999999739</v>
      </c>
      <c r="Y101" s="15"/>
      <c r="Z101" s="22">
        <f>IF(T101=0,0,X101/T101)</f>
        <v>-3.9833900571373385E-2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1"/>
      <c r="B103" s="10" t="s">
        <v>13</v>
      </c>
      <c r="C103" s="10"/>
      <c r="D103" s="4"/>
      <c r="E103" s="4"/>
      <c r="F103" s="12">
        <f>IF(D$12=0,0,D103/D$12)</f>
        <v>0</v>
      </c>
      <c r="G103" s="4"/>
      <c r="H103" s="4"/>
      <c r="I103" s="4"/>
      <c r="J103" s="12">
        <f>IF(H$12=0,0,H103/H$12)</f>
        <v>0</v>
      </c>
      <c r="K103" s="4"/>
      <c r="L103" s="4">
        <f>+D103-H103</f>
        <v>0</v>
      </c>
      <c r="M103" s="4"/>
      <c r="N103" s="12">
        <f>IF(H103=0,0,L103/H103)</f>
        <v>0</v>
      </c>
      <c r="O103" s="10"/>
      <c r="P103" s="4"/>
      <c r="Q103" s="4"/>
      <c r="R103" s="12">
        <f>IF(P$12=0,0,P103/P$12)</f>
        <v>0</v>
      </c>
      <c r="S103" s="4"/>
      <c r="T103" s="4"/>
      <c r="U103" s="4"/>
      <c r="V103" s="12">
        <f>IF(T$12=0,0,T103/T$12)</f>
        <v>0</v>
      </c>
      <c r="W103" s="4"/>
      <c r="X103" s="4">
        <f>+P103-T103</f>
        <v>0</v>
      </c>
      <c r="Y103" s="4"/>
      <c r="Z103" s="12">
        <f>IF(T103=0,0,X103/T103)</f>
        <v>0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8" t="s">
        <v>4</v>
      </c>
      <c r="C105" s="28"/>
      <c r="D105" s="30">
        <f>+D101-D103</f>
        <v>-140379.47999999998</v>
      </c>
      <c r="E105" s="14"/>
      <c r="F105" s="36">
        <f>IF(D$12=0,0,D105/D$12)</f>
        <v>0</v>
      </c>
      <c r="G105" s="14"/>
      <c r="H105" s="30">
        <f>+H101-H103</f>
        <v>-98501.170000000013</v>
      </c>
      <c r="I105" s="14"/>
      <c r="J105" s="36">
        <f>IF(H$12=0,0,H105/H$12)</f>
        <v>0</v>
      </c>
      <c r="K105" s="15"/>
      <c r="L105" s="30">
        <f>D105-H105</f>
        <v>-41878.309999999969</v>
      </c>
      <c r="M105" s="15"/>
      <c r="N105" s="36">
        <f>IF(H105=0,0,L105/H105)</f>
        <v>0.42515545754431106</v>
      </c>
      <c r="O105" s="29"/>
      <c r="P105" s="30">
        <f>+P101-P103</f>
        <v>-749743.74000000022</v>
      </c>
      <c r="Q105" s="14"/>
      <c r="R105" s="36">
        <f>IF(P$12=0,0,P105/P$12)</f>
        <v>0</v>
      </c>
      <c r="S105" s="14"/>
      <c r="T105" s="30">
        <f>+T101-T103</f>
        <v>-780847.96</v>
      </c>
      <c r="U105" s="14"/>
      <c r="V105" s="36">
        <f>IF(T$12=0,0,T105/T$12)</f>
        <v>0</v>
      </c>
      <c r="W105" s="15"/>
      <c r="X105" s="30">
        <f>P105-T105</f>
        <v>31104.219999999739</v>
      </c>
      <c r="Y105" s="15"/>
      <c r="Z105" s="36">
        <f>IF(T105=0,0,X105/T105)</f>
        <v>-3.9833900571373385E-2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8" t="s">
        <v>5</v>
      </c>
      <c r="C108" s="28"/>
      <c r="D108" s="32">
        <f>SUM(D105:D107)</f>
        <v>-140379.47999999998</v>
      </c>
      <c r="E108" s="14"/>
      <c r="F108" s="31">
        <f>IF(D$12=0,0,D108/D$12)</f>
        <v>0</v>
      </c>
      <c r="G108" s="14"/>
      <c r="H108" s="32">
        <f>SUM(H105:H107)</f>
        <v>-98501.170000000013</v>
      </c>
      <c r="I108" s="14"/>
      <c r="J108" s="31">
        <f>IF(H$12=0,0,H108/H$12)</f>
        <v>0</v>
      </c>
      <c r="K108" s="15"/>
      <c r="L108" s="32">
        <f>+D108-H108</f>
        <v>-41878.309999999969</v>
      </c>
      <c r="M108" s="15"/>
      <c r="N108" s="31">
        <f>IF(H108=0,0,L108/H108)</f>
        <v>0.42515545754431106</v>
      </c>
      <c r="O108" s="29"/>
      <c r="P108" s="32">
        <f>SUM(P105:P107)</f>
        <v>-749743.74000000022</v>
      </c>
      <c r="Q108" s="14"/>
      <c r="R108" s="31">
        <f>IF(P$12=0,0,P108/P$12)</f>
        <v>0</v>
      </c>
      <c r="S108" s="14"/>
      <c r="T108" s="32">
        <f>SUM(T105:T107)</f>
        <v>-780847.96</v>
      </c>
      <c r="U108" s="14"/>
      <c r="V108" s="31">
        <f>IF(T$12=0,0,T108/T$12)</f>
        <v>0</v>
      </c>
      <c r="W108" s="15"/>
      <c r="X108" s="32">
        <f>+P108-T108</f>
        <v>31104.219999999739</v>
      </c>
      <c r="Y108" s="15"/>
      <c r="Z108" s="31">
        <f>IF(T108=0,0,X108/T108)</f>
        <v>-3.9833900571373385E-2</v>
      </c>
    </row>
    <row r="109" spans="1:26" ht="15.75" thickTop="1" x14ac:dyDescent="0.25">
      <c r="A109" s="9"/>
      <c r="C109" s="9"/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A110" s="9"/>
      <c r="B110" s="62">
        <v>44238.496116782408</v>
      </c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59" t="s">
        <v>313</v>
      </c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56"/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4:24" x14ac:dyDescent="0.25"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","306", " - ", "Warehouse")</f>
        <v>Department 306 - Warehouse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0</v>
      </c>
      <c r="E18" s="21"/>
      <c r="F18" s="35">
        <f t="shared" ref="F18:F28" si="0">IF(D$12=0,0,D18/D$12)</f>
        <v>0</v>
      </c>
      <c r="G18" s="21"/>
      <c r="H18" s="21">
        <f>SUM(OSRRefH22x_0)</f>
        <v>91836.680000000008</v>
      </c>
      <c r="I18" s="21"/>
      <c r="J18" s="35">
        <f t="shared" ref="J18:J28" si="1">IF(H$12=0,0,H18/H$12)</f>
        <v>0</v>
      </c>
      <c r="K18" s="4"/>
      <c r="L18" s="21">
        <f t="shared" ref="L18:L28" si="2">+D18-H18</f>
        <v>-91836.680000000008</v>
      </c>
      <c r="M18" s="4"/>
      <c r="N18" s="35">
        <f t="shared" ref="N18:N28" si="3">IF(H18=0,0,L18/H18)</f>
        <v>-1</v>
      </c>
      <c r="O18" s="10"/>
      <c r="P18" s="21">
        <f>SUM(OSRRefP22x_0)</f>
        <v>0.37000000000004318</v>
      </c>
      <c r="Q18" s="21"/>
      <c r="R18" s="35">
        <f t="shared" ref="R18:R28" si="4">IF(P$12=0,0,P18/P$12)</f>
        <v>0</v>
      </c>
      <c r="S18" s="21"/>
      <c r="T18" s="21">
        <f>SUM(OSRRefT22x_0)</f>
        <v>342972.46</v>
      </c>
      <c r="U18" s="21"/>
      <c r="V18" s="35">
        <f t="shared" ref="V18:V28" si="5">IF(T$12=0,0,T18/T$12)</f>
        <v>0</v>
      </c>
      <c r="W18" s="4"/>
      <c r="X18" s="21">
        <f t="shared" ref="X18:X28" si="6">+P18-T18</f>
        <v>-342972.09</v>
      </c>
      <c r="Y18" s="4"/>
      <c r="Z18" s="35">
        <f t="shared" ref="Z18:Z28" si="7">IF(T18=0,0,X18/T18)</f>
        <v>-0.99999892119618006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6585.2</v>
      </c>
      <c r="I19" s="1"/>
      <c r="J19" s="5">
        <f t="shared" si="1"/>
        <v>0</v>
      </c>
      <c r="K19" s="1"/>
      <c r="L19" s="1">
        <f t="shared" si="2"/>
        <v>-6585.2</v>
      </c>
      <c r="M19" s="1"/>
      <c r="N19" s="5">
        <f t="shared" si="3"/>
        <v>-1</v>
      </c>
      <c r="O19" s="13"/>
      <c r="P19" s="1">
        <f>SUM(OSRRefP22_0x_0)</f>
        <v>0.1400000000000432</v>
      </c>
      <c r="Q19" s="1"/>
      <c r="R19" s="5">
        <f t="shared" si="4"/>
        <v>0</v>
      </c>
      <c r="S19" s="1"/>
      <c r="T19" s="1">
        <f>SUM(OSRRefT22_0x_0)</f>
        <v>44212.380000000005</v>
      </c>
      <c r="U19" s="1"/>
      <c r="V19" s="5">
        <f t="shared" si="5"/>
        <v>0</v>
      </c>
      <c r="W19" s="1"/>
      <c r="X19" s="1">
        <f t="shared" si="6"/>
        <v>-44212.240000000005</v>
      </c>
      <c r="Y19" s="1"/>
      <c r="Z19" s="5">
        <f t="shared" si="7"/>
        <v>-0.99999683346610158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979.64</v>
      </c>
      <c r="I20" s="2"/>
      <c r="J20" s="7">
        <f t="shared" si="1"/>
        <v>0</v>
      </c>
      <c r="K20" s="2"/>
      <c r="L20" s="6">
        <f t="shared" si="2"/>
        <v>-979.64</v>
      </c>
      <c r="M20" s="2"/>
      <c r="N20" s="7">
        <f t="shared" si="3"/>
        <v>-1</v>
      </c>
      <c r="O20" s="11"/>
      <c r="P20" s="6">
        <v>402.04</v>
      </c>
      <c r="Q20" s="2"/>
      <c r="R20" s="7">
        <f t="shared" si="4"/>
        <v>0</v>
      </c>
      <c r="S20" s="2"/>
      <c r="T20" s="6">
        <v>10925.42</v>
      </c>
      <c r="U20" s="2"/>
      <c r="V20" s="7">
        <f t="shared" si="5"/>
        <v>0</v>
      </c>
      <c r="W20" s="2"/>
      <c r="X20" s="6">
        <f t="shared" si="6"/>
        <v>-10523.38</v>
      </c>
      <c r="Y20" s="2"/>
      <c r="Z20" s="7">
        <f t="shared" si="7"/>
        <v>-0.96320141468245601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1343.18</v>
      </c>
      <c r="I21" s="2"/>
      <c r="J21" s="7">
        <f t="shared" si="1"/>
        <v>0</v>
      </c>
      <c r="K21" s="2"/>
      <c r="L21" s="6">
        <f t="shared" si="2"/>
        <v>-1343.18</v>
      </c>
      <c r="M21" s="2"/>
      <c r="N21" s="7">
        <f t="shared" si="3"/>
        <v>-1</v>
      </c>
      <c r="O21" s="11"/>
      <c r="P21" s="6"/>
      <c r="Q21" s="2"/>
      <c r="R21" s="7">
        <f t="shared" si="4"/>
        <v>0</v>
      </c>
      <c r="S21" s="2"/>
      <c r="T21" s="6">
        <v>4807.58</v>
      </c>
      <c r="U21" s="2"/>
      <c r="V21" s="7">
        <f t="shared" si="5"/>
        <v>0</v>
      </c>
      <c r="W21" s="2"/>
      <c r="X21" s="6">
        <f t="shared" si="6"/>
        <v>-4807.58</v>
      </c>
      <c r="Y21" s="2"/>
      <c r="Z21" s="7">
        <f t="shared" si="7"/>
        <v>-1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2064.35</v>
      </c>
      <c r="I22" s="2"/>
      <c r="J22" s="7">
        <f t="shared" si="1"/>
        <v>0</v>
      </c>
      <c r="K22" s="2"/>
      <c r="L22" s="6">
        <f t="shared" si="2"/>
        <v>-2064.35</v>
      </c>
      <c r="M22" s="2"/>
      <c r="N22" s="7">
        <f t="shared" si="3"/>
        <v>-1</v>
      </c>
      <c r="O22" s="11"/>
      <c r="P22" s="6"/>
      <c r="Q22" s="2"/>
      <c r="R22" s="7">
        <f t="shared" si="4"/>
        <v>0</v>
      </c>
      <c r="S22" s="2"/>
      <c r="T22" s="6">
        <v>13759.97</v>
      </c>
      <c r="U22" s="2"/>
      <c r="V22" s="7">
        <f t="shared" si="5"/>
        <v>0</v>
      </c>
      <c r="W22" s="2"/>
      <c r="X22" s="6">
        <f t="shared" si="6"/>
        <v>-13759.97</v>
      </c>
      <c r="Y22" s="2"/>
      <c r="Z22" s="7">
        <f t="shared" si="7"/>
        <v>-1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181.44</v>
      </c>
      <c r="I23" s="2"/>
      <c r="J23" s="7">
        <f t="shared" si="1"/>
        <v>0</v>
      </c>
      <c r="K23" s="2"/>
      <c r="L23" s="6">
        <f t="shared" si="2"/>
        <v>-181.44</v>
      </c>
      <c r="M23" s="2"/>
      <c r="N23" s="7">
        <f t="shared" si="3"/>
        <v>-1</v>
      </c>
      <c r="O23" s="11"/>
      <c r="P23" s="6"/>
      <c r="Q23" s="2"/>
      <c r="R23" s="7">
        <f t="shared" si="4"/>
        <v>0</v>
      </c>
      <c r="S23" s="2"/>
      <c r="T23" s="6">
        <v>751.38</v>
      </c>
      <c r="U23" s="2"/>
      <c r="V23" s="7">
        <f t="shared" si="5"/>
        <v>0</v>
      </c>
      <c r="W23" s="2"/>
      <c r="X23" s="6">
        <f t="shared" si="6"/>
        <v>-751.38</v>
      </c>
      <c r="Y23" s="2"/>
      <c r="Z23" s="7">
        <f t="shared" si="7"/>
        <v>-1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1069.6500000000001</v>
      </c>
      <c r="I24" s="2"/>
      <c r="J24" s="7">
        <f t="shared" si="1"/>
        <v>0</v>
      </c>
      <c r="K24" s="2"/>
      <c r="L24" s="6">
        <f t="shared" si="2"/>
        <v>-1069.6500000000001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5498.07</v>
      </c>
      <c r="U24" s="2"/>
      <c r="V24" s="7">
        <f t="shared" si="5"/>
        <v>0</v>
      </c>
      <c r="W24" s="2"/>
      <c r="X24" s="6">
        <f t="shared" si="6"/>
        <v>-5498.07</v>
      </c>
      <c r="Y24" s="2"/>
      <c r="Z24" s="7">
        <f t="shared" si="7"/>
        <v>-1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-401.9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-401.9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0"/>
        <v>0</v>
      </c>
      <c r="G26" s="2"/>
      <c r="H26" s="6">
        <v>208</v>
      </c>
      <c r="I26" s="2"/>
      <c r="J26" s="7">
        <f t="shared" si="1"/>
        <v>0</v>
      </c>
      <c r="K26" s="2"/>
      <c r="L26" s="6">
        <f t="shared" si="2"/>
        <v>-208</v>
      </c>
      <c r="M26" s="2"/>
      <c r="N26" s="7">
        <f t="shared" si="3"/>
        <v>-1</v>
      </c>
      <c r="O26" s="11"/>
      <c r="P26" s="6"/>
      <c r="Q26" s="2"/>
      <c r="R26" s="7">
        <f t="shared" si="4"/>
        <v>0</v>
      </c>
      <c r="S26" s="2"/>
      <c r="T26" s="6">
        <v>2514.4299999999998</v>
      </c>
      <c r="U26" s="2"/>
      <c r="V26" s="7">
        <f t="shared" si="5"/>
        <v>0</v>
      </c>
      <c r="W26" s="2"/>
      <c r="X26" s="6">
        <f t="shared" si="6"/>
        <v>-2514.4299999999998</v>
      </c>
      <c r="Y26" s="2"/>
      <c r="Z26" s="7">
        <f t="shared" si="7"/>
        <v>-1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0"/>
        <v>0</v>
      </c>
      <c r="G27" s="2"/>
      <c r="H27" s="6">
        <v>389.2</v>
      </c>
      <c r="I27" s="2"/>
      <c r="J27" s="7">
        <f t="shared" si="1"/>
        <v>0</v>
      </c>
      <c r="K27" s="2"/>
      <c r="L27" s="6">
        <f t="shared" si="2"/>
        <v>-389.2</v>
      </c>
      <c r="M27" s="2"/>
      <c r="N27" s="7">
        <f t="shared" si="3"/>
        <v>-1</v>
      </c>
      <c r="O27" s="11"/>
      <c r="P27" s="6"/>
      <c r="Q27" s="2"/>
      <c r="R27" s="7">
        <f t="shared" si="4"/>
        <v>0</v>
      </c>
      <c r="S27" s="2"/>
      <c r="T27" s="6">
        <v>3701.69</v>
      </c>
      <c r="U27" s="2"/>
      <c r="V27" s="7">
        <f t="shared" si="5"/>
        <v>0</v>
      </c>
      <c r="W27" s="2"/>
      <c r="X27" s="6">
        <f t="shared" si="6"/>
        <v>-3701.69</v>
      </c>
      <c r="Y27" s="2"/>
      <c r="Z27" s="7">
        <f t="shared" si="7"/>
        <v>-1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>
        <v>349.74</v>
      </c>
      <c r="I28" s="2"/>
      <c r="J28" s="7">
        <f t="shared" si="1"/>
        <v>0</v>
      </c>
      <c r="K28" s="2"/>
      <c r="L28" s="6">
        <f t="shared" si="2"/>
        <v>-349.74</v>
      </c>
      <c r="M28" s="2"/>
      <c r="N28" s="7">
        <f t="shared" si="3"/>
        <v>-1</v>
      </c>
      <c r="O28" s="11"/>
      <c r="P28" s="6"/>
      <c r="Q28" s="2"/>
      <c r="R28" s="7">
        <f t="shared" si="4"/>
        <v>0</v>
      </c>
      <c r="S28" s="2"/>
      <c r="T28" s="6">
        <v>2253.84</v>
      </c>
      <c r="U28" s="2"/>
      <c r="V28" s="7">
        <f t="shared" si="5"/>
        <v>0</v>
      </c>
      <c r="W28" s="2"/>
      <c r="X28" s="6">
        <f t="shared" si="6"/>
        <v>-2253.84</v>
      </c>
      <c r="Y28" s="2"/>
      <c r="Z28" s="7">
        <f t="shared" si="7"/>
        <v>-1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0</v>
      </c>
      <c r="E29" s="1"/>
      <c r="F29" s="5">
        <f t="shared" ref="F29:F35" si="8">IF(D$12=0,0,D29/D$12)</f>
        <v>0</v>
      </c>
      <c r="G29" s="1"/>
      <c r="H29" s="1">
        <f>SUM(OSRRefH22_1x_0)</f>
        <v>83601.61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-83601.61</v>
      </c>
      <c r="M29" s="1"/>
      <c r="N29" s="5">
        <f t="shared" ref="N29:N35" si="11">IF(H29=0,0,L29/H29)</f>
        <v>-1</v>
      </c>
      <c r="O29" s="13"/>
      <c r="P29" s="1">
        <f>SUM(OSRRefP22_1x_0)</f>
        <v>0.23</v>
      </c>
      <c r="Q29" s="1"/>
      <c r="R29" s="5">
        <f t="shared" ref="R29:R35" si="12">IF(P$12=0,0,P29/P$12)</f>
        <v>0</v>
      </c>
      <c r="S29" s="1"/>
      <c r="T29" s="1">
        <f>SUM(OSRRefT22_1x_0)</f>
        <v>292348.16000000003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-292347.93000000005</v>
      </c>
      <c r="Y29" s="1"/>
      <c r="Z29" s="5">
        <f t="shared" ref="Z29:Z35" si="15">IF(T29=0,0,X29/T29)</f>
        <v>-0.99999921326681185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10338.84</v>
      </c>
      <c r="I30" s="2"/>
      <c r="J30" s="7">
        <f t="shared" si="9"/>
        <v>0</v>
      </c>
      <c r="K30" s="2"/>
      <c r="L30" s="6">
        <f t="shared" si="10"/>
        <v>-10338.84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60806.400000000001</v>
      </c>
      <c r="U30" s="2"/>
      <c r="V30" s="7">
        <f t="shared" si="13"/>
        <v>0</v>
      </c>
      <c r="W30" s="2"/>
      <c r="X30" s="6">
        <f t="shared" si="14"/>
        <v>-60806.400000000001</v>
      </c>
      <c r="Y30" s="2"/>
      <c r="Z30" s="7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0.23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0.23</v>
      </c>
      <c r="Y31" s="2"/>
      <c r="Z31" s="7">
        <f t="shared" si="15"/>
        <v>0</v>
      </c>
    </row>
    <row r="32" spans="1:26" s="24" customFormat="1" hidden="1" outlineLevel="2" x14ac:dyDescent="0.25">
      <c r="A32" s="25"/>
      <c r="B32" s="11" t="str">
        <f>CONCATENATE("          ", "6005", " - ", "TEMPORARY WAGES-HOURLY")</f>
        <v xml:space="preserve">          6005 - TEMPORARY WAGES-HOURLY</v>
      </c>
      <c r="C32" s="11"/>
      <c r="D32" s="6"/>
      <c r="E32" s="2"/>
      <c r="F32" s="7">
        <f t="shared" si="8"/>
        <v>0</v>
      </c>
      <c r="G32" s="2"/>
      <c r="H32" s="6">
        <v>3030.83</v>
      </c>
      <c r="I32" s="2"/>
      <c r="J32" s="7">
        <f t="shared" si="9"/>
        <v>0</v>
      </c>
      <c r="K32" s="2"/>
      <c r="L32" s="6">
        <f t="shared" si="10"/>
        <v>-3030.83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14120.21</v>
      </c>
      <c r="U32" s="2"/>
      <c r="V32" s="7">
        <f t="shared" si="13"/>
        <v>0</v>
      </c>
      <c r="W32" s="2"/>
      <c r="X32" s="6">
        <f t="shared" si="14"/>
        <v>-14120.21</v>
      </c>
      <c r="Y32" s="2"/>
      <c r="Z32" s="7">
        <f t="shared" si="15"/>
        <v>-1</v>
      </c>
    </row>
    <row r="33" spans="1:26" s="24" customFormat="1" hidden="1" outlineLevel="2" x14ac:dyDescent="0.25">
      <c r="A33" s="25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8"/>
        <v>0</v>
      </c>
      <c r="G33" s="2"/>
      <c r="H33" s="6">
        <v>891.81</v>
      </c>
      <c r="I33" s="2"/>
      <c r="J33" s="7">
        <f t="shared" si="9"/>
        <v>0</v>
      </c>
      <c r="K33" s="2"/>
      <c r="L33" s="6">
        <f t="shared" si="10"/>
        <v>-891.81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9977.18</v>
      </c>
      <c r="U33" s="2"/>
      <c r="V33" s="7">
        <f t="shared" si="13"/>
        <v>0</v>
      </c>
      <c r="W33" s="2"/>
      <c r="X33" s="6">
        <f t="shared" si="14"/>
        <v>-9977.18</v>
      </c>
      <c r="Y33" s="2"/>
      <c r="Z33" s="7">
        <f t="shared" si="15"/>
        <v>-1</v>
      </c>
    </row>
    <row r="34" spans="1:26" s="24" customFormat="1" hidden="1" outlineLevel="2" x14ac:dyDescent="0.25">
      <c r="A34" s="25"/>
      <c r="B34" s="11" t="str">
        <f>CONCATENATE("          ", "6007", " - ", "STUDENT HOURLY")</f>
        <v xml:space="preserve">          6007 - STUDENT HOURLY</v>
      </c>
      <c r="C34" s="11"/>
      <c r="D34" s="6"/>
      <c r="E34" s="2"/>
      <c r="F34" s="7">
        <f t="shared" si="8"/>
        <v>0</v>
      </c>
      <c r="G34" s="2"/>
      <c r="H34" s="6">
        <v>65830.490000000005</v>
      </c>
      <c r="I34" s="2"/>
      <c r="J34" s="7">
        <f t="shared" si="9"/>
        <v>0</v>
      </c>
      <c r="K34" s="2"/>
      <c r="L34" s="6">
        <f t="shared" si="10"/>
        <v>-65830.490000000005</v>
      </c>
      <c r="M34" s="2"/>
      <c r="N34" s="7">
        <f t="shared" si="11"/>
        <v>-1</v>
      </c>
      <c r="O34" s="11"/>
      <c r="P34" s="6"/>
      <c r="Q34" s="2"/>
      <c r="R34" s="7">
        <f t="shared" si="12"/>
        <v>0</v>
      </c>
      <c r="S34" s="2"/>
      <c r="T34" s="6">
        <v>198238.47999999998</v>
      </c>
      <c r="U34" s="2"/>
      <c r="V34" s="7">
        <f t="shared" si="13"/>
        <v>0</v>
      </c>
      <c r="W34" s="2"/>
      <c r="X34" s="6">
        <f t="shared" si="14"/>
        <v>-198238.47999999998</v>
      </c>
      <c r="Y34" s="2"/>
      <c r="Z34" s="7">
        <f t="shared" si="15"/>
        <v>-1</v>
      </c>
    </row>
    <row r="35" spans="1:26" s="24" customFormat="1" hidden="1" outlineLevel="2" x14ac:dyDescent="0.25">
      <c r="A35" s="25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8"/>
        <v>0</v>
      </c>
      <c r="G35" s="2"/>
      <c r="H35" s="6">
        <v>3509.64</v>
      </c>
      <c r="I35" s="2"/>
      <c r="J35" s="7">
        <f t="shared" si="9"/>
        <v>0</v>
      </c>
      <c r="K35" s="2"/>
      <c r="L35" s="6">
        <f t="shared" si="10"/>
        <v>-3509.64</v>
      </c>
      <c r="M35" s="2"/>
      <c r="N35" s="7">
        <f t="shared" si="11"/>
        <v>-1</v>
      </c>
      <c r="O35" s="11"/>
      <c r="P35" s="6"/>
      <c r="Q35" s="2"/>
      <c r="R35" s="7">
        <f t="shared" si="12"/>
        <v>0</v>
      </c>
      <c r="S35" s="2"/>
      <c r="T35" s="6">
        <v>9205.89</v>
      </c>
      <c r="U35" s="2"/>
      <c r="V35" s="7">
        <f t="shared" si="13"/>
        <v>0</v>
      </c>
      <c r="W35" s="2"/>
      <c r="X35" s="6">
        <f t="shared" si="14"/>
        <v>-9205.89</v>
      </c>
      <c r="Y35" s="2"/>
      <c r="Z35" s="7">
        <f t="shared" si="15"/>
        <v>-1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6" si="16">IF(D$12=0,0,D36/D$12)</f>
        <v>0</v>
      </c>
      <c r="G36" s="1"/>
      <c r="H36" s="1">
        <f>SUM(OSRRefH22_2x_0)</f>
        <v>174</v>
      </c>
      <c r="I36" s="1"/>
      <c r="J36" s="5">
        <f t="shared" ref="J36:J46" si="17">IF(H$12=0,0,H36/H$12)</f>
        <v>0</v>
      </c>
      <c r="K36" s="1"/>
      <c r="L36" s="1">
        <f t="shared" ref="L36:L46" si="18">+D36-H36</f>
        <v>-174</v>
      </c>
      <c r="M36" s="1"/>
      <c r="N36" s="5">
        <f t="shared" ref="N36:N46" si="19">IF(H36=0,0,L36/H36)</f>
        <v>-1</v>
      </c>
      <c r="O36" s="13"/>
      <c r="P36" s="1">
        <f>SUM(OSRRefP22_2x_0)</f>
        <v>0</v>
      </c>
      <c r="Q36" s="1"/>
      <c r="R36" s="5">
        <f t="shared" ref="R36:R46" si="20">IF(P$12=0,0,P36/P$12)</f>
        <v>0</v>
      </c>
      <c r="S36" s="1"/>
      <c r="T36" s="1">
        <f>SUM(OSRRefT22_2x_0)</f>
        <v>360</v>
      </c>
      <c r="U36" s="1"/>
      <c r="V36" s="5">
        <f t="shared" ref="V36:V46" si="21">IF(T$12=0,0,T36/T$12)</f>
        <v>0</v>
      </c>
      <c r="W36" s="1"/>
      <c r="X36" s="1">
        <f t="shared" ref="X36:X46" si="22">+P36-T36</f>
        <v>-360</v>
      </c>
      <c r="Y36" s="1"/>
      <c r="Z36" s="5">
        <f t="shared" ref="Z36:Z46" si="23">IF(T36=0,0,X36/T36)</f>
        <v>-1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>
        <v>174</v>
      </c>
      <c r="I37" s="2"/>
      <c r="J37" s="7">
        <f t="shared" si="17"/>
        <v>0</v>
      </c>
      <c r="K37" s="2"/>
      <c r="L37" s="6">
        <f t="shared" si="18"/>
        <v>-174</v>
      </c>
      <c r="M37" s="2"/>
      <c r="N37" s="7">
        <f t="shared" si="19"/>
        <v>-1</v>
      </c>
      <c r="O37" s="11"/>
      <c r="P37" s="6"/>
      <c r="Q37" s="2"/>
      <c r="R37" s="7">
        <f t="shared" si="20"/>
        <v>0</v>
      </c>
      <c r="S37" s="2"/>
      <c r="T37" s="6">
        <v>360</v>
      </c>
      <c r="U37" s="2"/>
      <c r="V37" s="7">
        <f t="shared" si="21"/>
        <v>0</v>
      </c>
      <c r="W37" s="2"/>
      <c r="X37" s="6">
        <f t="shared" si="22"/>
        <v>-360</v>
      </c>
      <c r="Y37" s="2"/>
      <c r="Z37" s="7">
        <f t="shared" si="23"/>
        <v>-1</v>
      </c>
    </row>
    <row r="38" spans="1:26" s="26" customFormat="1" outlineLevel="1" collapsed="1" x14ac:dyDescent="0.25">
      <c r="A38" s="27"/>
      <c r="B38" s="13" t="str">
        <f>CONCATENATE("     ","Equipment Rental                                  ")</f>
        <v xml:space="preserve">     Equipment Rental                                  </v>
      </c>
      <c r="C38" s="13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91.26</v>
      </c>
      <c r="I38" s="1"/>
      <c r="J38" s="5">
        <f t="shared" si="17"/>
        <v>0</v>
      </c>
      <c r="K38" s="1"/>
      <c r="L38" s="1">
        <f t="shared" si="18"/>
        <v>-91.26</v>
      </c>
      <c r="M38" s="1"/>
      <c r="N38" s="5">
        <f t="shared" si="19"/>
        <v>-1</v>
      </c>
      <c r="O38" s="13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701.68</v>
      </c>
      <c r="U38" s="1"/>
      <c r="V38" s="5">
        <f t="shared" si="21"/>
        <v>0</v>
      </c>
      <c r="W38" s="1"/>
      <c r="X38" s="1">
        <f t="shared" si="22"/>
        <v>-701.68</v>
      </c>
      <c r="Y38" s="1"/>
      <c r="Z38" s="5">
        <f t="shared" si="23"/>
        <v>-1</v>
      </c>
    </row>
    <row r="39" spans="1:26" s="24" customFormat="1" hidden="1" outlineLevel="2" x14ac:dyDescent="0.25">
      <c r="A39" s="25"/>
      <c r="B39" s="11" t="str">
        <f>CONCATENATE("          ", "6351", " - ", "EQUIPMENT RENTAL")</f>
        <v xml:space="preserve">          6351 - EQUIPMENT RENTAL</v>
      </c>
      <c r="C39" s="11"/>
      <c r="D39" s="6"/>
      <c r="E39" s="2"/>
      <c r="F39" s="7">
        <f t="shared" si="16"/>
        <v>0</v>
      </c>
      <c r="G39" s="2"/>
      <c r="H39" s="6">
        <v>91.26</v>
      </c>
      <c r="I39" s="2"/>
      <c r="J39" s="7">
        <f t="shared" si="17"/>
        <v>0</v>
      </c>
      <c r="K39" s="2"/>
      <c r="L39" s="6">
        <f t="shared" si="18"/>
        <v>-91.26</v>
      </c>
      <c r="M39" s="2"/>
      <c r="N39" s="7">
        <f t="shared" si="19"/>
        <v>-1</v>
      </c>
      <c r="O39" s="11"/>
      <c r="P39" s="6"/>
      <c r="Q39" s="2"/>
      <c r="R39" s="7">
        <f t="shared" si="20"/>
        <v>0</v>
      </c>
      <c r="S39" s="2"/>
      <c r="T39" s="6">
        <v>701.68</v>
      </c>
      <c r="U39" s="2"/>
      <c r="V39" s="7">
        <f t="shared" si="21"/>
        <v>0</v>
      </c>
      <c r="W39" s="2"/>
      <c r="X39" s="6">
        <f t="shared" si="22"/>
        <v>-701.68</v>
      </c>
      <c r="Y39" s="2"/>
      <c r="Z39" s="7">
        <f t="shared" si="23"/>
        <v>-1</v>
      </c>
    </row>
    <row r="40" spans="1:26" s="26" customFormat="1" outlineLevel="1" collapsed="1" x14ac:dyDescent="0.25">
      <c r="A40" s="27"/>
      <c r="B40" s="13" t="str">
        <f>CONCATENATE("     ","Freight out/Postage                               ")</f>
        <v xml:space="preserve">     Freight out/Postage                               </v>
      </c>
      <c r="C40" s="13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565.95000000000005</v>
      </c>
      <c r="I40" s="1"/>
      <c r="J40" s="5">
        <f t="shared" si="17"/>
        <v>0</v>
      </c>
      <c r="K40" s="1"/>
      <c r="L40" s="1">
        <f t="shared" si="18"/>
        <v>-565.95000000000005</v>
      </c>
      <c r="M40" s="1"/>
      <c r="N40" s="5">
        <f t="shared" si="19"/>
        <v>-1</v>
      </c>
      <c r="O40" s="13"/>
      <c r="P40" s="1">
        <f>SUM(OSRRefP22_4x_0)</f>
        <v>0</v>
      </c>
      <c r="Q40" s="1"/>
      <c r="R40" s="5">
        <f t="shared" si="20"/>
        <v>0</v>
      </c>
      <c r="S40" s="1"/>
      <c r="T40" s="1">
        <f>SUM(OSRRefT22_4x_0)</f>
        <v>965.95</v>
      </c>
      <c r="U40" s="1"/>
      <c r="V40" s="5">
        <f t="shared" si="21"/>
        <v>0</v>
      </c>
      <c r="W40" s="1"/>
      <c r="X40" s="1">
        <f t="shared" si="22"/>
        <v>-965.95</v>
      </c>
      <c r="Y40" s="1"/>
      <c r="Z40" s="5">
        <f t="shared" si="23"/>
        <v>-1</v>
      </c>
    </row>
    <row r="41" spans="1:26" s="24" customFormat="1" hidden="1" outlineLevel="2" x14ac:dyDescent="0.25">
      <c r="A41" s="25"/>
      <c r="B41" s="11" t="str">
        <f>CONCATENATE("          ", "6307", " - ", "POSTAGE")</f>
        <v xml:space="preserve">          6307 - POSTAGE</v>
      </c>
      <c r="C41" s="11"/>
      <c r="D41" s="6"/>
      <c r="E41" s="2"/>
      <c r="F41" s="7">
        <f t="shared" si="16"/>
        <v>0</v>
      </c>
      <c r="G41" s="2"/>
      <c r="H41" s="6">
        <v>565.95000000000005</v>
      </c>
      <c r="I41" s="2"/>
      <c r="J41" s="7">
        <f t="shared" si="17"/>
        <v>0</v>
      </c>
      <c r="K41" s="2"/>
      <c r="L41" s="6">
        <f t="shared" si="18"/>
        <v>-565.95000000000005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965.95</v>
      </c>
      <c r="U41" s="2"/>
      <c r="V41" s="7">
        <f t="shared" si="21"/>
        <v>0</v>
      </c>
      <c r="W41" s="2"/>
      <c r="X41" s="6">
        <f t="shared" si="22"/>
        <v>-965.95</v>
      </c>
      <c r="Y41" s="2"/>
      <c r="Z41" s="7">
        <f t="shared" si="23"/>
        <v>-1</v>
      </c>
    </row>
    <row r="42" spans="1:26" s="26" customFormat="1" outlineLevel="1" collapsed="1" x14ac:dyDescent="0.25">
      <c r="A42" s="27"/>
      <c r="B42" s="13" t="str">
        <f>CONCATENATE("     ","General                                           ")</f>
        <v xml:space="preserve">     General                                           </v>
      </c>
      <c r="C42" s="13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SUM(OSRRefP22_5x_0)</f>
        <v>0</v>
      </c>
      <c r="Q42" s="1"/>
      <c r="R42" s="5">
        <f t="shared" si="20"/>
        <v>0</v>
      </c>
      <c r="S42" s="1"/>
      <c r="T42" s="1">
        <f>SUM(OSRRefT22_5x_0)</f>
        <v>89.45</v>
      </c>
      <c r="U42" s="1"/>
      <c r="V42" s="5">
        <f t="shared" si="21"/>
        <v>0</v>
      </c>
      <c r="W42" s="1"/>
      <c r="X42" s="1">
        <f t="shared" si="22"/>
        <v>-89.45</v>
      </c>
      <c r="Y42" s="1"/>
      <c r="Z42" s="5">
        <f t="shared" si="23"/>
        <v>-1</v>
      </c>
    </row>
    <row r="43" spans="1:26" s="24" customFormat="1" hidden="1" outlineLevel="2" x14ac:dyDescent="0.25">
      <c r="A43" s="25"/>
      <c r="B43" s="11" t="str">
        <f>CONCATENATE("          ", "6279", " - ", "GENERAL EXPENSE")</f>
        <v xml:space="preserve">          6279 - GENERAL EXPENSE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/>
      <c r="Q43" s="2"/>
      <c r="R43" s="7">
        <f t="shared" si="20"/>
        <v>0</v>
      </c>
      <c r="S43" s="2"/>
      <c r="T43" s="6">
        <v>89.45</v>
      </c>
      <c r="U43" s="2"/>
      <c r="V43" s="7">
        <f t="shared" si="21"/>
        <v>0</v>
      </c>
      <c r="W43" s="2"/>
      <c r="X43" s="6">
        <f t="shared" si="22"/>
        <v>-89.45</v>
      </c>
      <c r="Y43" s="2"/>
      <c r="Z43" s="7">
        <f t="shared" si="23"/>
        <v>-1</v>
      </c>
    </row>
    <row r="44" spans="1:26" s="26" customFormat="1" outlineLevel="1" collapsed="1" x14ac:dyDescent="0.25">
      <c r="A44" s="27"/>
      <c r="B44" s="13" t="str">
        <f>CONCATENATE("     ","Repair and Maintenance                            ")</f>
        <v xml:space="preserve">     Repair and Maintenance                            </v>
      </c>
      <c r="C44" s="13"/>
      <c r="D44" s="1">
        <f>SUM(OSRRefD22_6x_0)</f>
        <v>0</v>
      </c>
      <c r="E44" s="1"/>
      <c r="F44" s="5">
        <f t="shared" si="16"/>
        <v>0</v>
      </c>
      <c r="G44" s="1"/>
      <c r="H44" s="1">
        <f>SUM(OSRRefH22_6x_0)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SUM(OSRRefP22_6x_0)</f>
        <v>0</v>
      </c>
      <c r="Q44" s="1"/>
      <c r="R44" s="5">
        <f t="shared" si="20"/>
        <v>0</v>
      </c>
      <c r="S44" s="1"/>
      <c r="T44" s="1">
        <f>SUM(OSRRefT22_6x_0)</f>
        <v>251.55</v>
      </c>
      <c r="U44" s="1"/>
      <c r="V44" s="5">
        <f t="shared" si="21"/>
        <v>0</v>
      </c>
      <c r="W44" s="1"/>
      <c r="X44" s="1">
        <f t="shared" si="22"/>
        <v>-251.55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"6373", " - ", "MAINTENANCE CONTRACTS")</f>
        <v xml:space="preserve">          6373 - MAINTENANCE CONTRACTS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59.22</v>
      </c>
      <c r="U45" s="2"/>
      <c r="V45" s="7">
        <f t="shared" si="21"/>
        <v>0</v>
      </c>
      <c r="W45" s="2"/>
      <c r="X45" s="6">
        <f t="shared" si="22"/>
        <v>-59.22</v>
      </c>
      <c r="Y45" s="2"/>
      <c r="Z45" s="7">
        <f t="shared" si="23"/>
        <v>-1</v>
      </c>
    </row>
    <row r="46" spans="1:26" s="24" customFormat="1" hidden="1" outlineLevel="2" x14ac:dyDescent="0.25">
      <c r="A46" s="25"/>
      <c r="B46" s="11" t="str">
        <f>CONCATENATE("          ", "6375", " - ", "OUTSIDE REPAIRS &amp; MAINTENANCE")</f>
        <v xml:space="preserve">          6375 - OUTSIDE REPAIRS &amp; MAINTENANCE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/>
      <c r="Q46" s="2"/>
      <c r="R46" s="7">
        <f t="shared" si="20"/>
        <v>0</v>
      </c>
      <c r="S46" s="2"/>
      <c r="T46" s="6">
        <v>192.33</v>
      </c>
      <c r="U46" s="2"/>
      <c r="V46" s="7">
        <f t="shared" si="21"/>
        <v>0</v>
      </c>
      <c r="W46" s="2"/>
      <c r="X46" s="6">
        <f t="shared" si="22"/>
        <v>-192.33</v>
      </c>
      <c r="Y46" s="2"/>
      <c r="Z46" s="7">
        <f t="shared" si="23"/>
        <v>-1</v>
      </c>
    </row>
    <row r="47" spans="1:26" s="26" customFormat="1" outlineLevel="1" collapsed="1" x14ac:dyDescent="0.25">
      <c r="A47" s="27"/>
      <c r="B47" s="13" t="str">
        <f>CONCATENATE("     ","Supplies                                          ")</f>
        <v xml:space="preserve">     Supplies                                          </v>
      </c>
      <c r="C47" s="13"/>
      <c r="D47" s="1">
        <f>SUM(OSRRefD22_7x_0)</f>
        <v>0</v>
      </c>
      <c r="E47" s="1"/>
      <c r="F47" s="5">
        <f t="shared" ref="F47:F50" si="24">IF(D$12=0,0,D47/D$12)</f>
        <v>0</v>
      </c>
      <c r="G47" s="1"/>
      <c r="H47" s="1">
        <f>SUM(OSRRefH22_7x_0)</f>
        <v>668.66</v>
      </c>
      <c r="I47" s="1"/>
      <c r="J47" s="5">
        <f t="shared" ref="J47:J50" si="25">IF(H$12=0,0,H47/H$12)</f>
        <v>0</v>
      </c>
      <c r="K47" s="1"/>
      <c r="L47" s="1">
        <f t="shared" ref="L47:L50" si="26">+D47-H47</f>
        <v>-668.66</v>
      </c>
      <c r="M47" s="1"/>
      <c r="N47" s="5">
        <f t="shared" ref="N47:N50" si="27">IF(H47=0,0,L47/H47)</f>
        <v>-1</v>
      </c>
      <c r="O47" s="13"/>
      <c r="P47" s="1">
        <f>SUM(OSRRefP22_7x_0)</f>
        <v>0</v>
      </c>
      <c r="Q47" s="1"/>
      <c r="R47" s="5">
        <f t="shared" ref="R47:R50" si="28">IF(P$12=0,0,P47/P$12)</f>
        <v>0</v>
      </c>
      <c r="S47" s="1"/>
      <c r="T47" s="1">
        <f>SUM(OSRRefT22_7x_0)</f>
        <v>2881.39</v>
      </c>
      <c r="U47" s="1"/>
      <c r="V47" s="5">
        <f t="shared" ref="V47:V50" si="29">IF(T$12=0,0,T47/T$12)</f>
        <v>0</v>
      </c>
      <c r="W47" s="1"/>
      <c r="X47" s="1">
        <f t="shared" ref="X47:X50" si="30">+P47-T47</f>
        <v>-2881.39</v>
      </c>
      <c r="Y47" s="1"/>
      <c r="Z47" s="5">
        <f t="shared" ref="Z47:Z50" si="31">IF(T47=0,0,X47/T47)</f>
        <v>-1</v>
      </c>
    </row>
    <row r="48" spans="1:26" s="24" customFormat="1" hidden="1" outlineLevel="2" x14ac:dyDescent="0.25">
      <c r="A48" s="25"/>
      <c r="B48" s="11" t="str">
        <f>CONCATENATE("          ", "6237", " - ", "JANITORIAL SUPPLIES")</f>
        <v xml:space="preserve">          6237 - JANITORIAL SUPPLIES</v>
      </c>
      <c r="C48" s="11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1"/>
      <c r="P48" s="6"/>
      <c r="Q48" s="2"/>
      <c r="R48" s="7">
        <f t="shared" si="28"/>
        <v>0</v>
      </c>
      <c r="S48" s="2"/>
      <c r="T48" s="6">
        <v>226.95</v>
      </c>
      <c r="U48" s="2"/>
      <c r="V48" s="7">
        <f t="shared" si="29"/>
        <v>0</v>
      </c>
      <c r="W48" s="2"/>
      <c r="X48" s="6">
        <f t="shared" si="30"/>
        <v>-226.95</v>
      </c>
      <c r="Y48" s="2"/>
      <c r="Z48" s="7">
        <f t="shared" si="31"/>
        <v>-1</v>
      </c>
    </row>
    <row r="49" spans="1:26" s="24" customFormat="1" hidden="1" outlineLevel="2" x14ac:dyDescent="0.25">
      <c r="A49" s="25"/>
      <c r="B49" s="11" t="str">
        <f>CONCATENATE("          ", "6241", " - ", "OFFICE EXPENSE")</f>
        <v xml:space="preserve">          6241 - OFFICE EXPENSE</v>
      </c>
      <c r="C49" s="11"/>
      <c r="D49" s="6"/>
      <c r="E49" s="2"/>
      <c r="F49" s="7">
        <f t="shared" si="24"/>
        <v>0</v>
      </c>
      <c r="G49" s="2"/>
      <c r="H49" s="6">
        <v>668.66</v>
      </c>
      <c r="I49" s="2"/>
      <c r="J49" s="7">
        <f t="shared" si="25"/>
        <v>0</v>
      </c>
      <c r="K49" s="2"/>
      <c r="L49" s="6">
        <f t="shared" si="26"/>
        <v>-668.66</v>
      </c>
      <c r="M49" s="2"/>
      <c r="N49" s="7">
        <f t="shared" si="27"/>
        <v>-1</v>
      </c>
      <c r="O49" s="11"/>
      <c r="P49" s="6"/>
      <c r="Q49" s="2"/>
      <c r="R49" s="7">
        <f t="shared" si="28"/>
        <v>0</v>
      </c>
      <c r="S49" s="2"/>
      <c r="T49" s="6">
        <v>2019.71</v>
      </c>
      <c r="U49" s="2"/>
      <c r="V49" s="7">
        <f t="shared" si="29"/>
        <v>0</v>
      </c>
      <c r="W49" s="2"/>
      <c r="X49" s="6">
        <f t="shared" si="30"/>
        <v>-2019.71</v>
      </c>
      <c r="Y49" s="2"/>
      <c r="Z49" s="7">
        <f t="shared" si="31"/>
        <v>-1</v>
      </c>
    </row>
    <row r="50" spans="1:26" s="24" customFormat="1" hidden="1" outlineLevel="2" x14ac:dyDescent="0.25">
      <c r="A50" s="25"/>
      <c r="B50" s="11" t="str">
        <f>CONCATENATE("          ", "6247", " - ", "STORE SUPPLIES")</f>
        <v xml:space="preserve">          6247 - STORE SUPPLIES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/>
      <c r="Q50" s="2"/>
      <c r="R50" s="7">
        <f t="shared" si="28"/>
        <v>0</v>
      </c>
      <c r="S50" s="2"/>
      <c r="T50" s="6">
        <v>634.73</v>
      </c>
      <c r="U50" s="2"/>
      <c r="V50" s="7">
        <f t="shared" si="29"/>
        <v>0</v>
      </c>
      <c r="W50" s="2"/>
      <c r="X50" s="6">
        <f t="shared" si="30"/>
        <v>-634.73</v>
      </c>
      <c r="Y50" s="2"/>
      <c r="Z50" s="7">
        <f t="shared" si="31"/>
        <v>-1</v>
      </c>
    </row>
    <row r="51" spans="1:26" s="26" customFormat="1" outlineLevel="1" collapsed="1" x14ac:dyDescent="0.25">
      <c r="A51" s="27"/>
      <c r="B51" s="13" t="str">
        <f>CONCATENATE("     ","Telephone/Data Lines                              ")</f>
        <v xml:space="preserve">     Telephone/Data Lines                              </v>
      </c>
      <c r="C51" s="13"/>
      <c r="D51" s="1">
        <f>SUM(OSRRefD22_8x_0)</f>
        <v>0</v>
      </c>
      <c r="E51" s="1"/>
      <c r="F51" s="5">
        <f t="shared" ref="F51:F54" si="32">IF(D$12=0,0,D51/D$12)</f>
        <v>0</v>
      </c>
      <c r="G51" s="1"/>
      <c r="H51" s="1">
        <f>SUM(OSRRefH22_8x_0)</f>
        <v>150</v>
      </c>
      <c r="I51" s="1"/>
      <c r="J51" s="5">
        <f t="shared" ref="J51:J54" si="33">IF(H$12=0,0,H51/H$12)</f>
        <v>0</v>
      </c>
      <c r="K51" s="1"/>
      <c r="L51" s="1">
        <f t="shared" ref="L51:L54" si="34">+D51-H51</f>
        <v>-150</v>
      </c>
      <c r="M51" s="1"/>
      <c r="N51" s="5">
        <f t="shared" ref="N51:N54" si="35">IF(H51=0,0,L51/H51)</f>
        <v>-1</v>
      </c>
      <c r="O51" s="13"/>
      <c r="P51" s="1">
        <f>SUM(OSRRefP22_8x_0)</f>
        <v>0</v>
      </c>
      <c r="Q51" s="1"/>
      <c r="R51" s="5">
        <f t="shared" ref="R51:R54" si="36">IF(P$12=0,0,P51/P$12)</f>
        <v>0</v>
      </c>
      <c r="S51" s="1"/>
      <c r="T51" s="1">
        <f>SUM(OSRRefT22_8x_0)</f>
        <v>1081.9000000000001</v>
      </c>
      <c r="U51" s="1"/>
      <c r="V51" s="5">
        <f t="shared" ref="V51:V54" si="37">IF(T$12=0,0,T51/T$12)</f>
        <v>0</v>
      </c>
      <c r="W51" s="1"/>
      <c r="X51" s="1">
        <f t="shared" ref="X51:X54" si="38">+P51-T51</f>
        <v>-1081.9000000000001</v>
      </c>
      <c r="Y51" s="1"/>
      <c r="Z51" s="5">
        <f t="shared" ref="Z51:Z54" si="39">IF(T51=0,0,X51/T51)</f>
        <v>-1</v>
      </c>
    </row>
    <row r="52" spans="1:26" s="24" customFormat="1" hidden="1" outlineLevel="2" x14ac:dyDescent="0.25">
      <c r="A52" s="25"/>
      <c r="B52" s="11" t="str">
        <f>CONCATENATE("          ", "6309", " - ", "TELEPHONE")</f>
        <v xml:space="preserve">          6309 - TELEPHONE</v>
      </c>
      <c r="C52" s="11"/>
      <c r="D52" s="6"/>
      <c r="E52" s="2"/>
      <c r="F52" s="7">
        <f t="shared" si="32"/>
        <v>0</v>
      </c>
      <c r="G52" s="2"/>
      <c r="H52" s="6">
        <v>150</v>
      </c>
      <c r="I52" s="2"/>
      <c r="J52" s="7">
        <f t="shared" si="33"/>
        <v>0</v>
      </c>
      <c r="K52" s="2"/>
      <c r="L52" s="6">
        <f t="shared" si="34"/>
        <v>-150</v>
      </c>
      <c r="M52" s="2"/>
      <c r="N52" s="7">
        <f t="shared" si="35"/>
        <v>-1</v>
      </c>
      <c r="O52" s="11"/>
      <c r="P52" s="6"/>
      <c r="Q52" s="2"/>
      <c r="R52" s="7">
        <f t="shared" si="36"/>
        <v>0</v>
      </c>
      <c r="S52" s="2"/>
      <c r="T52" s="6">
        <v>1081.9000000000001</v>
      </c>
      <c r="U52" s="2"/>
      <c r="V52" s="7">
        <f t="shared" si="37"/>
        <v>0</v>
      </c>
      <c r="W52" s="2"/>
      <c r="X52" s="6">
        <f t="shared" si="38"/>
        <v>-1081.9000000000001</v>
      </c>
      <c r="Y52" s="2"/>
      <c r="Z52" s="7">
        <f t="shared" si="39"/>
        <v>-1</v>
      </c>
    </row>
    <row r="53" spans="1:26" s="26" customFormat="1" outlineLevel="1" collapsed="1" x14ac:dyDescent="0.25">
      <c r="A53" s="27"/>
      <c r="B53" s="13" t="str">
        <f>CONCATENATE("     ","Training                                          ")</f>
        <v xml:space="preserve">     Training                                          </v>
      </c>
      <c r="C53" s="13"/>
      <c r="D53" s="1">
        <f>SUM(OSRRefD22_9x_0)</f>
        <v>0</v>
      </c>
      <c r="E53" s="1"/>
      <c r="F53" s="5">
        <f t="shared" si="32"/>
        <v>0</v>
      </c>
      <c r="G53" s="1"/>
      <c r="H53" s="1">
        <f>SUM(OSRRefH22_9x_0)</f>
        <v>0</v>
      </c>
      <c r="I53" s="1"/>
      <c r="J53" s="5">
        <f t="shared" si="33"/>
        <v>0</v>
      </c>
      <c r="K53" s="1"/>
      <c r="L53" s="1">
        <f t="shared" si="34"/>
        <v>0</v>
      </c>
      <c r="M53" s="1"/>
      <c r="N53" s="5">
        <f t="shared" si="35"/>
        <v>0</v>
      </c>
      <c r="O53" s="13"/>
      <c r="P53" s="1">
        <f>SUM(OSRRefP22_9x_0)</f>
        <v>0</v>
      </c>
      <c r="Q53" s="1"/>
      <c r="R53" s="5">
        <f t="shared" si="36"/>
        <v>0</v>
      </c>
      <c r="S53" s="1"/>
      <c r="T53" s="1">
        <f>SUM(OSRRefT22_9x_0)</f>
        <v>80</v>
      </c>
      <c r="U53" s="1"/>
      <c r="V53" s="5">
        <f t="shared" si="37"/>
        <v>0</v>
      </c>
      <c r="W53" s="1"/>
      <c r="X53" s="1">
        <f t="shared" si="38"/>
        <v>-80</v>
      </c>
      <c r="Y53" s="1"/>
      <c r="Z53" s="5">
        <f t="shared" si="39"/>
        <v>-1</v>
      </c>
    </row>
    <row r="54" spans="1:26" s="24" customFormat="1" hidden="1" outlineLevel="2" x14ac:dyDescent="0.25">
      <c r="A54" s="25"/>
      <c r="B54" s="11" t="str">
        <f>CONCATENATE("          ", "6376", " - ", "TRAINING")</f>
        <v xml:space="preserve">          6376 - TRAINING</v>
      </c>
      <c r="C54" s="11"/>
      <c r="D54" s="6"/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0</v>
      </c>
      <c r="M54" s="2"/>
      <c r="N54" s="7">
        <f t="shared" si="35"/>
        <v>0</v>
      </c>
      <c r="O54" s="11"/>
      <c r="P54" s="6"/>
      <c r="Q54" s="2"/>
      <c r="R54" s="7">
        <f t="shared" si="36"/>
        <v>0</v>
      </c>
      <c r="S54" s="2"/>
      <c r="T54" s="6">
        <v>80</v>
      </c>
      <c r="U54" s="2"/>
      <c r="V54" s="7">
        <f t="shared" si="37"/>
        <v>0</v>
      </c>
      <c r="W54" s="2"/>
      <c r="X54" s="6">
        <f t="shared" si="38"/>
        <v>-80</v>
      </c>
      <c r="Y54" s="2"/>
      <c r="Z54" s="7">
        <f t="shared" si="39"/>
        <v>-1</v>
      </c>
    </row>
    <row r="55" spans="1:26" s="61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8" t="s">
        <v>3</v>
      </c>
      <c r="C58" s="28"/>
      <c r="D58" s="20">
        <f>+D16-D18+D56</f>
        <v>0</v>
      </c>
      <c r="E58" s="14"/>
      <c r="F58" s="22">
        <f>IF(D$12=0,0,D58/D$12)</f>
        <v>0</v>
      </c>
      <c r="G58" s="14"/>
      <c r="H58" s="20">
        <f>+H16-H18+H56</f>
        <v>-91836.680000000008</v>
      </c>
      <c r="I58" s="14"/>
      <c r="J58" s="22">
        <f>IF(H$12=0,0,H58/H$12)</f>
        <v>0</v>
      </c>
      <c r="K58" s="15"/>
      <c r="L58" s="20">
        <f>+D58-H58</f>
        <v>91836.680000000008</v>
      </c>
      <c r="M58" s="15"/>
      <c r="N58" s="22">
        <f>IF(H58=0,0,L58/H58)</f>
        <v>-1</v>
      </c>
      <c r="O58" s="29"/>
      <c r="P58" s="20">
        <f>+P16-P18+P56</f>
        <v>-0.37000000000004318</v>
      </c>
      <c r="Q58" s="14"/>
      <c r="R58" s="22">
        <f>IF(P$12=0,0,P58/P$12)</f>
        <v>0</v>
      </c>
      <c r="S58" s="14"/>
      <c r="T58" s="20">
        <f>+T16-T18+T56</f>
        <v>-342972.46</v>
      </c>
      <c r="U58" s="14"/>
      <c r="V58" s="22">
        <f>IF(T$12=0,0,T58/T$12)</f>
        <v>0</v>
      </c>
      <c r="W58" s="15"/>
      <c r="X58" s="20">
        <f>+P58-T58</f>
        <v>342972.09</v>
      </c>
      <c r="Y58" s="15"/>
      <c r="Z58" s="22">
        <f>IF(T58=0,0,X58/T58)</f>
        <v>-0.99999892119618006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1"/>
      <c r="B60" s="10" t="s">
        <v>13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8" t="s">
        <v>4</v>
      </c>
      <c r="C62" s="28"/>
      <c r="D62" s="30">
        <f>+D58-D60</f>
        <v>0</v>
      </c>
      <c r="E62" s="14"/>
      <c r="F62" s="36">
        <f>IF(D$12=0,0,D62/D$12)</f>
        <v>0</v>
      </c>
      <c r="G62" s="14"/>
      <c r="H62" s="30">
        <f>+H58-H60</f>
        <v>-91836.680000000008</v>
      </c>
      <c r="I62" s="14"/>
      <c r="J62" s="36">
        <f>IF(H$12=0,0,H62/H$12)</f>
        <v>0</v>
      </c>
      <c r="K62" s="15"/>
      <c r="L62" s="30">
        <f>D62-H62</f>
        <v>91836.680000000008</v>
      </c>
      <c r="M62" s="15"/>
      <c r="N62" s="36">
        <f>IF(H62=0,0,L62/H62)</f>
        <v>-1</v>
      </c>
      <c r="O62" s="29"/>
      <c r="P62" s="30">
        <f>+P58-P60</f>
        <v>-0.37000000000004318</v>
      </c>
      <c r="Q62" s="14"/>
      <c r="R62" s="36">
        <f>IF(P$12=0,0,P62/P$12)</f>
        <v>0</v>
      </c>
      <c r="S62" s="14"/>
      <c r="T62" s="30">
        <f>+T58-T60</f>
        <v>-342972.46</v>
      </c>
      <c r="U62" s="14"/>
      <c r="V62" s="36">
        <f>IF(T$12=0,0,T62/T$12)</f>
        <v>0</v>
      </c>
      <c r="W62" s="15"/>
      <c r="X62" s="30">
        <f>P62-T62</f>
        <v>342972.09</v>
      </c>
      <c r="Y62" s="15"/>
      <c r="Z62" s="36">
        <f>IF(T62=0,0,X62/T62)</f>
        <v>-0.99999892119618006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5</v>
      </c>
      <c r="C65" s="28"/>
      <c r="D65" s="32">
        <f>SUM(D62:D64)</f>
        <v>0</v>
      </c>
      <c r="E65" s="14"/>
      <c r="F65" s="31">
        <f>IF(D$12=0,0,D65/D$12)</f>
        <v>0</v>
      </c>
      <c r="G65" s="14"/>
      <c r="H65" s="32">
        <f>SUM(H62:H64)</f>
        <v>-91836.680000000008</v>
      </c>
      <c r="I65" s="14"/>
      <c r="J65" s="31">
        <f>IF(H$12=0,0,H65/H$12)</f>
        <v>0</v>
      </c>
      <c r="K65" s="15"/>
      <c r="L65" s="32">
        <f>+D65-H65</f>
        <v>91836.680000000008</v>
      </c>
      <c r="M65" s="15"/>
      <c r="N65" s="31">
        <f>IF(H65=0,0,L65/H65)</f>
        <v>-1</v>
      </c>
      <c r="O65" s="29"/>
      <c r="P65" s="32">
        <f>SUM(P62:P64)</f>
        <v>-0.37000000000004318</v>
      </c>
      <c r="Q65" s="14"/>
      <c r="R65" s="31">
        <f>IF(P$12=0,0,P65/P$12)</f>
        <v>0</v>
      </c>
      <c r="S65" s="14"/>
      <c r="T65" s="32">
        <f>SUM(T62:T64)</f>
        <v>-342972.46</v>
      </c>
      <c r="U65" s="14"/>
      <c r="V65" s="31">
        <f>IF(T$12=0,0,T65/T$12)</f>
        <v>0</v>
      </c>
      <c r="W65" s="15"/>
      <c r="X65" s="32">
        <f>+P65-T65</f>
        <v>342972.09</v>
      </c>
      <c r="Y65" s="15"/>
      <c r="Z65" s="31">
        <f>IF(T65=0,0,X65/T65)</f>
        <v>-0.99999892119618006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6" x14ac:dyDescent="0.25">
      <c r="A67" s="9"/>
      <c r="B67" s="62">
        <v>44238.496162847223</v>
      </c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59" t="s">
        <v>313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56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304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137907.52000000002</v>
      </c>
      <c r="I12" s="4"/>
      <c r="J12" s="12"/>
      <c r="K12" s="4"/>
      <c r="L12" s="4">
        <f t="shared" ref="L12:L48" si="0">+D12-H12</f>
        <v>-137907.52000000002</v>
      </c>
      <c r="M12" s="4"/>
      <c r="N12" s="12">
        <f t="shared" ref="N12:N48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653884.83000000019</v>
      </c>
      <c r="U12" s="4"/>
      <c r="V12" s="12"/>
      <c r="W12" s="4"/>
      <c r="X12" s="4">
        <f t="shared" ref="X12:X48" si="2">+P12-T12</f>
        <v>-632572.91000000015</v>
      </c>
      <c r="Y12" s="4"/>
      <c r="Z12" s="12">
        <f t="shared" ref="Z12:Z48" si="3">IF(T12=0,0,X12/T12)</f>
        <v>-0.96740722674358415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48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>
        <f>--12.98</f>
        <v>12.98</v>
      </c>
      <c r="I14" s="2"/>
      <c r="J14" s="19"/>
      <c r="K14" s="2"/>
      <c r="L14" s="2">
        <f t="shared" si="0"/>
        <v>-12.98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--255.12</f>
        <v>255.12</v>
      </c>
      <c r="U14" s="2"/>
      <c r="V14" s="19"/>
      <c r="W14" s="2"/>
      <c r="X14" s="2">
        <f t="shared" si="2"/>
        <v>-255.12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si="4"/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5"/>
        <v>0</v>
      </c>
      <c r="Q15" s="2"/>
      <c r="R15" s="19"/>
      <c r="S15" s="2"/>
      <c r="T15" s="2">
        <f>--33.88</f>
        <v>33.880000000000003</v>
      </c>
      <c r="U15" s="2"/>
      <c r="V15" s="19"/>
      <c r="W15" s="2"/>
      <c r="X15" s="2">
        <f t="shared" si="2"/>
        <v>-33.880000000000003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 t="shared" si="4"/>
        <v>0</v>
      </c>
      <c r="E16" s="2"/>
      <c r="F16" s="19"/>
      <c r="G16" s="2"/>
      <c r="H16" s="2">
        <f>--5293.73</f>
        <v>5293.73</v>
      </c>
      <c r="I16" s="2"/>
      <c r="J16" s="19"/>
      <c r="K16" s="2"/>
      <c r="L16" s="2">
        <f t="shared" si="0"/>
        <v>-5293.73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--40426.83</f>
        <v>40426.83</v>
      </c>
      <c r="U16" s="2"/>
      <c r="V16" s="19"/>
      <c r="W16" s="2"/>
      <c r="X16" s="2">
        <f t="shared" si="2"/>
        <v>-40426.83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 t="shared" si="4"/>
        <v>0</v>
      </c>
      <c r="E17" s="2"/>
      <c r="F17" s="19"/>
      <c r="G17" s="2"/>
      <c r="H17" s="2">
        <f>--13736.34</f>
        <v>13736.34</v>
      </c>
      <c r="I17" s="2"/>
      <c r="J17" s="19"/>
      <c r="K17" s="2"/>
      <c r="L17" s="2">
        <f t="shared" si="0"/>
        <v>-13736.34</v>
      </c>
      <c r="M17" s="2"/>
      <c r="N17" s="19">
        <f t="shared" si="1"/>
        <v>-1</v>
      </c>
      <c r="O17" s="11"/>
      <c r="P17" s="2">
        <f>--17.51</f>
        <v>17.510000000000002</v>
      </c>
      <c r="Q17" s="2"/>
      <c r="R17" s="19"/>
      <c r="S17" s="2"/>
      <c r="T17" s="2">
        <f>--63514.86</f>
        <v>63514.86</v>
      </c>
      <c r="U17" s="2"/>
      <c r="V17" s="19"/>
      <c r="W17" s="2"/>
      <c r="X17" s="2">
        <f t="shared" si="2"/>
        <v>-63497.35</v>
      </c>
      <c r="Y17" s="2"/>
      <c r="Z17" s="19">
        <f t="shared" si="3"/>
        <v>-0.99972431648278837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 t="shared" si="4"/>
        <v>0</v>
      </c>
      <c r="E18" s="2"/>
      <c r="F18" s="19"/>
      <c r="G18" s="2"/>
      <c r="H18" s="2">
        <f>--66198.12</f>
        <v>66198.12</v>
      </c>
      <c r="I18" s="2"/>
      <c r="J18" s="19"/>
      <c r="K18" s="2"/>
      <c r="L18" s="2">
        <f t="shared" si="0"/>
        <v>-66198.12</v>
      </c>
      <c r="M18" s="2"/>
      <c r="N18" s="19">
        <f t="shared" si="1"/>
        <v>-1</v>
      </c>
      <c r="O18" s="11"/>
      <c r="P18" s="2">
        <f>--7990.32</f>
        <v>7990.32</v>
      </c>
      <c r="Q18" s="2"/>
      <c r="R18" s="19"/>
      <c r="S18" s="2"/>
      <c r="T18" s="2">
        <f>--231507.68</f>
        <v>231507.68</v>
      </c>
      <c r="U18" s="2"/>
      <c r="V18" s="19"/>
      <c r="W18" s="2"/>
      <c r="X18" s="2">
        <f t="shared" si="2"/>
        <v>-223517.36</v>
      </c>
      <c r="Y18" s="2"/>
      <c r="Z18" s="19">
        <f t="shared" si="3"/>
        <v>-0.96548572384294118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 t="shared" si="4"/>
        <v>0</v>
      </c>
      <c r="E19" s="2"/>
      <c r="F19" s="19"/>
      <c r="G19" s="2"/>
      <c r="H19" s="2">
        <f>--43035.21</f>
        <v>43035.21</v>
      </c>
      <c r="I19" s="2"/>
      <c r="J19" s="19"/>
      <c r="K19" s="2"/>
      <c r="L19" s="2">
        <f t="shared" si="0"/>
        <v>-43035.21</v>
      </c>
      <c r="M19" s="2"/>
      <c r="N19" s="19">
        <f t="shared" si="1"/>
        <v>-1</v>
      </c>
      <c r="O19" s="11"/>
      <c r="P19" s="2">
        <f>--12479.05</f>
        <v>12479.05</v>
      </c>
      <c r="Q19" s="2"/>
      <c r="R19" s="19"/>
      <c r="S19" s="2"/>
      <c r="T19" s="2">
        <f>--232672.78</f>
        <v>232672.78</v>
      </c>
      <c r="U19" s="2"/>
      <c r="V19" s="19"/>
      <c r="W19" s="2"/>
      <c r="X19" s="2">
        <f t="shared" si="2"/>
        <v>-220193.73</v>
      </c>
      <c r="Y19" s="2"/>
      <c r="Z19" s="19">
        <f t="shared" si="3"/>
        <v>-0.94636652383660869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 t="shared" si="4"/>
        <v>0</v>
      </c>
      <c r="E20" s="2"/>
      <c r="F20" s="19"/>
      <c r="G20" s="2"/>
      <c r="H20" s="2">
        <f>--43.03</f>
        <v>43.03</v>
      </c>
      <c r="I20" s="2"/>
      <c r="J20" s="19"/>
      <c r="K20" s="2"/>
      <c r="L20" s="2">
        <f t="shared" si="0"/>
        <v>-43.03</v>
      </c>
      <c r="M20" s="2"/>
      <c r="N20" s="19">
        <f t="shared" si="1"/>
        <v>-1</v>
      </c>
      <c r="O20" s="11"/>
      <c r="P20" s="2">
        <f>--374.55</f>
        <v>374.55</v>
      </c>
      <c r="Q20" s="2"/>
      <c r="R20" s="19"/>
      <c r="S20" s="2"/>
      <c r="T20" s="2">
        <f>--349.97</f>
        <v>349.97</v>
      </c>
      <c r="U20" s="2"/>
      <c r="V20" s="19"/>
      <c r="W20" s="2"/>
      <c r="X20" s="2">
        <f t="shared" si="2"/>
        <v>24.579999999999984</v>
      </c>
      <c r="Y20" s="2"/>
      <c r="Z20" s="19">
        <f t="shared" si="3"/>
        <v>7.0234591536417354E-2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 t="shared" si="4"/>
        <v>0</v>
      </c>
      <c r="E21" s="2"/>
      <c r="F21" s="19"/>
      <c r="G21" s="2"/>
      <c r="H21" s="2">
        <f>--242.25</f>
        <v>242.25</v>
      </c>
      <c r="I21" s="2"/>
      <c r="J21" s="19"/>
      <c r="K21" s="2"/>
      <c r="L21" s="2">
        <f t="shared" si="0"/>
        <v>-242.25</v>
      </c>
      <c r="M21" s="2"/>
      <c r="N21" s="19">
        <f t="shared" si="1"/>
        <v>-1</v>
      </c>
      <c r="O21" s="11"/>
      <c r="P21" s="2">
        <f t="shared" ref="P21:P26" si="6">0</f>
        <v>0</v>
      </c>
      <c r="Q21" s="2"/>
      <c r="R21" s="19"/>
      <c r="S21" s="2"/>
      <c r="T21" s="2">
        <f>--1108.59</f>
        <v>1108.5899999999999</v>
      </c>
      <c r="U21" s="2"/>
      <c r="V21" s="19"/>
      <c r="W21" s="2"/>
      <c r="X21" s="2">
        <f t="shared" si="2"/>
        <v>-1108.5899999999999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 t="shared" si="4"/>
        <v>0</v>
      </c>
      <c r="E22" s="2"/>
      <c r="F22" s="19"/>
      <c r="G22" s="2"/>
      <c r="H22" s="2">
        <f>--15.13</f>
        <v>15.13</v>
      </c>
      <c r="I22" s="2"/>
      <c r="J22" s="19"/>
      <c r="K22" s="2"/>
      <c r="L22" s="2">
        <f t="shared" si="0"/>
        <v>-15.13</v>
      </c>
      <c r="M22" s="2"/>
      <c r="N22" s="19">
        <f t="shared" si="1"/>
        <v>-1</v>
      </c>
      <c r="O22" s="11"/>
      <c r="P22" s="2">
        <f t="shared" si="6"/>
        <v>0</v>
      </c>
      <c r="Q22" s="2"/>
      <c r="R22" s="19"/>
      <c r="S22" s="2"/>
      <c r="T22" s="2">
        <f>--146.15</f>
        <v>146.15</v>
      </c>
      <c r="U22" s="2"/>
      <c r="V22" s="19"/>
      <c r="W22" s="2"/>
      <c r="X22" s="2">
        <f t="shared" si="2"/>
        <v>-146.15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 t="shared" si="4"/>
        <v>0</v>
      </c>
      <c r="E23" s="2"/>
      <c r="F23" s="19"/>
      <c r="G23" s="2"/>
      <c r="H23" s="2">
        <f>--479.73</f>
        <v>479.73</v>
      </c>
      <c r="I23" s="2"/>
      <c r="J23" s="19"/>
      <c r="K23" s="2"/>
      <c r="L23" s="2">
        <f t="shared" si="0"/>
        <v>-479.73</v>
      </c>
      <c r="M23" s="2"/>
      <c r="N23" s="19">
        <f t="shared" si="1"/>
        <v>-1</v>
      </c>
      <c r="O23" s="11"/>
      <c r="P23" s="2">
        <f t="shared" si="6"/>
        <v>0</v>
      </c>
      <c r="Q23" s="2"/>
      <c r="R23" s="19"/>
      <c r="S23" s="2"/>
      <c r="T23" s="2">
        <f>--5751.24</f>
        <v>5751.24</v>
      </c>
      <c r="U23" s="2"/>
      <c r="V23" s="19"/>
      <c r="W23" s="2"/>
      <c r="X23" s="2">
        <f t="shared" si="2"/>
        <v>-5751.24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 t="shared" si="4"/>
        <v>0</v>
      </c>
      <c r="E24" s="2"/>
      <c r="F24" s="19"/>
      <c r="G24" s="2"/>
      <c r="H24" s="2">
        <f>--171.4</f>
        <v>171.4</v>
      </c>
      <c r="I24" s="2"/>
      <c r="J24" s="19"/>
      <c r="K24" s="2"/>
      <c r="L24" s="2">
        <f t="shared" si="0"/>
        <v>-171.4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--1438.49</f>
        <v>1438.49</v>
      </c>
      <c r="U24" s="2"/>
      <c r="V24" s="19"/>
      <c r="W24" s="2"/>
      <c r="X24" s="2">
        <f t="shared" si="2"/>
        <v>-1438.49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 t="shared" si="4"/>
        <v>0</v>
      </c>
      <c r="E25" s="2"/>
      <c r="F25" s="19"/>
      <c r="G25" s="2"/>
      <c r="H25" s="2">
        <f>--17.84</f>
        <v>17.84</v>
      </c>
      <c r="I25" s="2"/>
      <c r="J25" s="19"/>
      <c r="K25" s="2"/>
      <c r="L25" s="2">
        <f t="shared" si="0"/>
        <v>-17.84</v>
      </c>
      <c r="M25" s="2"/>
      <c r="N25" s="19">
        <f t="shared" si="1"/>
        <v>-1</v>
      </c>
      <c r="O25" s="11"/>
      <c r="P25" s="2">
        <f t="shared" si="6"/>
        <v>0</v>
      </c>
      <c r="Q25" s="2"/>
      <c r="R25" s="19"/>
      <c r="S25" s="2"/>
      <c r="T25" s="2">
        <f>--414.1</f>
        <v>414.1</v>
      </c>
      <c r="U25" s="2"/>
      <c r="V25" s="19"/>
      <c r="W25" s="2"/>
      <c r="X25" s="2">
        <f t="shared" si="2"/>
        <v>-414.1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"4042", " - ", "TAXABLE SALES-EVERYDAY GIFTS")</f>
        <v xml:space="preserve">          4042 - TAXABLE SALES-EVERYDAY GIFTS</v>
      </c>
      <c r="C26" s="11"/>
      <c r="D26" s="2">
        <f t="shared" si="4"/>
        <v>0</v>
      </c>
      <c r="E26" s="2"/>
      <c r="F26" s="19"/>
      <c r="G26" s="2"/>
      <c r="H26" s="2">
        <f>--32.95</f>
        <v>32.950000000000003</v>
      </c>
      <c r="I26" s="2"/>
      <c r="J26" s="19"/>
      <c r="K26" s="2"/>
      <c r="L26" s="2">
        <f t="shared" si="0"/>
        <v>-32.950000000000003</v>
      </c>
      <c r="M26" s="2"/>
      <c r="N26" s="19">
        <f t="shared" si="1"/>
        <v>-1</v>
      </c>
      <c r="O26" s="11"/>
      <c r="P26" s="2">
        <f t="shared" si="6"/>
        <v>0</v>
      </c>
      <c r="Q26" s="2"/>
      <c r="R26" s="19"/>
      <c r="S26" s="2"/>
      <c r="T26" s="2">
        <f>--32.95</f>
        <v>32.950000000000003</v>
      </c>
      <c r="U26" s="2"/>
      <c r="V26" s="19"/>
      <c r="W26" s="2"/>
      <c r="X26" s="2">
        <f t="shared" si="2"/>
        <v>-32.950000000000003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"4081", " - ", "TAXABLE SALES-ELECTRONICS")</f>
        <v xml:space="preserve">          4081 - TAXABLE SALES-ELECTRONICS</v>
      </c>
      <c r="C27" s="11"/>
      <c r="D27" s="2">
        <f t="shared" si="4"/>
        <v>0</v>
      </c>
      <c r="E27" s="2"/>
      <c r="F27" s="19"/>
      <c r="G27" s="2"/>
      <c r="H27" s="2">
        <f>--266.85</f>
        <v>266.85000000000002</v>
      </c>
      <c r="I27" s="2"/>
      <c r="J27" s="19"/>
      <c r="K27" s="2"/>
      <c r="L27" s="2">
        <f t="shared" si="0"/>
        <v>-266.85000000000002</v>
      </c>
      <c r="M27" s="2"/>
      <c r="N27" s="19">
        <f t="shared" si="1"/>
        <v>-1</v>
      </c>
      <c r="O27" s="11"/>
      <c r="P27" s="2">
        <f>--71.95</f>
        <v>71.95</v>
      </c>
      <c r="Q27" s="2"/>
      <c r="R27" s="19"/>
      <c r="S27" s="2"/>
      <c r="T27" s="2">
        <f>--2801.28</f>
        <v>2801.28</v>
      </c>
      <c r="U27" s="2"/>
      <c r="V27" s="19"/>
      <c r="W27" s="2"/>
      <c r="X27" s="2">
        <f t="shared" si="2"/>
        <v>-2729.3300000000004</v>
      </c>
      <c r="Y27" s="2"/>
      <c r="Z27" s="19">
        <f t="shared" si="3"/>
        <v>-0.97431531299977159</v>
      </c>
    </row>
    <row r="28" spans="1:26" s="24" customFormat="1" hidden="1" outlineLevel="1" x14ac:dyDescent="0.25">
      <c r="A28" s="44"/>
      <c r="B28" s="11" t="str">
        <f>CONCATENATE("          ", "4082", " - ", "TAXABLE SALES-COMPUTER HARDWAR")</f>
        <v xml:space="preserve">          4082 - TAXABLE SALES-COMPUTER HARDWAR</v>
      </c>
      <c r="C28" s="11"/>
      <c r="D28" s="2">
        <f t="shared" si="4"/>
        <v>0</v>
      </c>
      <c r="E28" s="2"/>
      <c r="F28" s="19"/>
      <c r="G28" s="2"/>
      <c r="H28" s="2">
        <f>--38</f>
        <v>38</v>
      </c>
      <c r="I28" s="2"/>
      <c r="J28" s="19"/>
      <c r="K28" s="2"/>
      <c r="L28" s="2">
        <f t="shared" si="0"/>
        <v>-38</v>
      </c>
      <c r="M28" s="2"/>
      <c r="N28" s="19">
        <f t="shared" si="1"/>
        <v>-1</v>
      </c>
      <c r="O28" s="11"/>
      <c r="P28" s="2">
        <f>0</f>
        <v>0</v>
      </c>
      <c r="Q28" s="2"/>
      <c r="R28" s="19"/>
      <c r="S28" s="2"/>
      <c r="T28" s="2">
        <f>--219</f>
        <v>219</v>
      </c>
      <c r="U28" s="2"/>
      <c r="V28" s="19"/>
      <c r="W28" s="2"/>
      <c r="X28" s="2">
        <f t="shared" si="2"/>
        <v>-219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"4083", " - ", "TAXABLE SALES-COMPUTER EQUIPME")</f>
        <v xml:space="preserve">          4083 - TAXABLE SALES-COMPUTER EQUIPME</v>
      </c>
      <c r="C29" s="11"/>
      <c r="D29" s="2">
        <f t="shared" si="4"/>
        <v>0</v>
      </c>
      <c r="E29" s="2"/>
      <c r="F29" s="19"/>
      <c r="G29" s="2"/>
      <c r="H29" s="2">
        <f>--149.91</f>
        <v>149.91</v>
      </c>
      <c r="I29" s="2"/>
      <c r="J29" s="19"/>
      <c r="K29" s="2"/>
      <c r="L29" s="2">
        <f t="shared" si="0"/>
        <v>-149.91</v>
      </c>
      <c r="M29" s="2"/>
      <c r="N29" s="19">
        <f t="shared" si="1"/>
        <v>-1</v>
      </c>
      <c r="O29" s="11"/>
      <c r="P29" s="2">
        <f>--9.99</f>
        <v>9.99</v>
      </c>
      <c r="Q29" s="2"/>
      <c r="R29" s="19"/>
      <c r="S29" s="2"/>
      <c r="T29" s="2">
        <f>--849.39</f>
        <v>849.39</v>
      </c>
      <c r="U29" s="2"/>
      <c r="V29" s="19"/>
      <c r="W29" s="2"/>
      <c r="X29" s="2">
        <f t="shared" si="2"/>
        <v>-839.4</v>
      </c>
      <c r="Y29" s="2"/>
      <c r="Z29" s="19">
        <f t="shared" si="3"/>
        <v>-0.98823861830254656</v>
      </c>
    </row>
    <row r="30" spans="1:26" s="24" customFormat="1" hidden="1" outlineLevel="1" x14ac:dyDescent="0.25">
      <c r="A30" s="44"/>
      <c r="B30" s="11" t="str">
        <f>CONCATENATE("          ", "4086", " - ", "TAXABLE SALES-COMPUTER SUPPLIE")</f>
        <v xml:space="preserve">          4086 - TAXABLE SALES-COMPUTER SUPPLIE</v>
      </c>
      <c r="C30" s="11"/>
      <c r="D30" s="2">
        <f t="shared" si="4"/>
        <v>0</v>
      </c>
      <c r="E30" s="2"/>
      <c r="F30" s="19"/>
      <c r="G30" s="2"/>
      <c r="H30" s="2">
        <f>--76.99</f>
        <v>76.989999999999995</v>
      </c>
      <c r="I30" s="2"/>
      <c r="J30" s="19"/>
      <c r="K30" s="2"/>
      <c r="L30" s="2">
        <f t="shared" si="0"/>
        <v>-76.989999999999995</v>
      </c>
      <c r="M30" s="2"/>
      <c r="N30" s="19">
        <f t="shared" si="1"/>
        <v>-1</v>
      </c>
      <c r="O30" s="11"/>
      <c r="P30" s="2">
        <f t="shared" ref="P30:P34" si="7">0</f>
        <v>0</v>
      </c>
      <c r="Q30" s="2"/>
      <c r="R30" s="19"/>
      <c r="S30" s="2"/>
      <c r="T30" s="2">
        <f>--775.76</f>
        <v>775.76</v>
      </c>
      <c r="U30" s="2"/>
      <c r="V30" s="19"/>
      <c r="W30" s="2"/>
      <c r="X30" s="2">
        <f t="shared" si="2"/>
        <v>-775.76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"4125", " - ", "NON-TAXABLE SALES-TEST FORMS")</f>
        <v xml:space="preserve">          4125 - NON-TAXABLE SALES-TEST FORMS</v>
      </c>
      <c r="C31" s="11"/>
      <c r="D31" s="2">
        <f t="shared" si="4"/>
        <v>0</v>
      </c>
      <c r="E31" s="2"/>
      <c r="F31" s="19"/>
      <c r="G31" s="2"/>
      <c r="H31" s="2">
        <f>--98.5</f>
        <v>98.5</v>
      </c>
      <c r="I31" s="2"/>
      <c r="J31" s="19"/>
      <c r="K31" s="2"/>
      <c r="L31" s="2">
        <f t="shared" si="0"/>
        <v>-98.5</v>
      </c>
      <c r="M31" s="2"/>
      <c r="N31" s="19">
        <f t="shared" si="1"/>
        <v>-1</v>
      </c>
      <c r="O31" s="11"/>
      <c r="P31" s="2">
        <f t="shared" si="7"/>
        <v>0</v>
      </c>
      <c r="Q31" s="2"/>
      <c r="R31" s="19"/>
      <c r="S31" s="2"/>
      <c r="T31" s="2">
        <f>--222.68</f>
        <v>222.68</v>
      </c>
      <c r="U31" s="2"/>
      <c r="V31" s="19"/>
      <c r="W31" s="2"/>
      <c r="X31" s="2">
        <f t="shared" si="2"/>
        <v>-222.68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"4126", " - ", "NON-TAXABLE SALES-WRITING INST")</f>
        <v xml:space="preserve">          4126 - NON-TAXABLE SALES-WRITING INST</v>
      </c>
      <c r="C32" s="11"/>
      <c r="D32" s="2">
        <f t="shared" si="4"/>
        <v>0</v>
      </c>
      <c r="E32" s="2"/>
      <c r="F32" s="19"/>
      <c r="G32" s="2"/>
      <c r="H32" s="2">
        <f>--1047.53</f>
        <v>1047.53</v>
      </c>
      <c r="I32" s="2"/>
      <c r="J32" s="19"/>
      <c r="K32" s="2"/>
      <c r="L32" s="2">
        <f t="shared" si="0"/>
        <v>-1047.53</v>
      </c>
      <c r="M32" s="2"/>
      <c r="N32" s="19">
        <f t="shared" si="1"/>
        <v>-1</v>
      </c>
      <c r="O32" s="11"/>
      <c r="P32" s="2">
        <f t="shared" si="7"/>
        <v>0</v>
      </c>
      <c r="Q32" s="2"/>
      <c r="R32" s="19"/>
      <c r="S32" s="2"/>
      <c r="T32" s="2">
        <f>--2556.64</f>
        <v>2556.64</v>
      </c>
      <c r="U32" s="2"/>
      <c r="V32" s="19"/>
      <c r="W32" s="2"/>
      <c r="X32" s="2">
        <f t="shared" si="2"/>
        <v>-2556.64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"4127", " - ", "NON-TAXABLE SALES-SCHOOL SUPPL")</f>
        <v xml:space="preserve">          4127 - NON-TAXABLE SALES-SCHOOL SUPPL</v>
      </c>
      <c r="C33" s="11"/>
      <c r="D33" s="2">
        <f t="shared" si="4"/>
        <v>0</v>
      </c>
      <c r="E33" s="2"/>
      <c r="F33" s="19"/>
      <c r="G33" s="2"/>
      <c r="H33" s="2">
        <f>--1531.2</f>
        <v>1531.2</v>
      </c>
      <c r="I33" s="2"/>
      <c r="J33" s="19"/>
      <c r="K33" s="2"/>
      <c r="L33" s="2">
        <f t="shared" si="0"/>
        <v>-1531.2</v>
      </c>
      <c r="M33" s="2"/>
      <c r="N33" s="19">
        <f t="shared" si="1"/>
        <v>-1</v>
      </c>
      <c r="O33" s="11"/>
      <c r="P33" s="2">
        <f t="shared" si="7"/>
        <v>0</v>
      </c>
      <c r="Q33" s="2"/>
      <c r="R33" s="19"/>
      <c r="S33" s="2"/>
      <c r="T33" s="2">
        <f>--4134.6</f>
        <v>4134.6000000000004</v>
      </c>
      <c r="U33" s="2"/>
      <c r="V33" s="19"/>
      <c r="W33" s="2"/>
      <c r="X33" s="2">
        <f t="shared" si="2"/>
        <v>-4134.6000000000004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"4128", " - ", "NON-TAXABLE SALES-ART/TECH")</f>
        <v xml:space="preserve">          4128 - NON-TAXABLE SALES-ART/TECH</v>
      </c>
      <c r="C34" s="11"/>
      <c r="D34" s="2">
        <f t="shared" si="4"/>
        <v>0</v>
      </c>
      <c r="E34" s="2"/>
      <c r="F34" s="19"/>
      <c r="G34" s="2"/>
      <c r="H34" s="2">
        <f>--182.3</f>
        <v>182.3</v>
      </c>
      <c r="I34" s="2"/>
      <c r="J34" s="19"/>
      <c r="K34" s="2"/>
      <c r="L34" s="2">
        <f t="shared" si="0"/>
        <v>-182.3</v>
      </c>
      <c r="M34" s="2"/>
      <c r="N34" s="19">
        <f t="shared" si="1"/>
        <v>-1</v>
      </c>
      <c r="O34" s="11"/>
      <c r="P34" s="2">
        <f t="shared" si="7"/>
        <v>0</v>
      </c>
      <c r="Q34" s="2"/>
      <c r="R34" s="19"/>
      <c r="S34" s="2"/>
      <c r="T34" s="2">
        <f>--531.02</f>
        <v>531.02</v>
      </c>
      <c r="U34" s="2"/>
      <c r="V34" s="19"/>
      <c r="W34" s="2"/>
      <c r="X34" s="2">
        <f t="shared" si="2"/>
        <v>-531.02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"4131", " - ", "NON-TAXABLE SALES-FOOD")</f>
        <v xml:space="preserve">          4131 - NON-TAXABLE SALES-FOOD</v>
      </c>
      <c r="C35" s="11"/>
      <c r="D35" s="2">
        <f t="shared" si="4"/>
        <v>0</v>
      </c>
      <c r="E35" s="2"/>
      <c r="F35" s="19"/>
      <c r="G35" s="2"/>
      <c r="H35" s="2">
        <f>--3944.61</f>
        <v>3944.61</v>
      </c>
      <c r="I35" s="2"/>
      <c r="J35" s="19"/>
      <c r="K35" s="2"/>
      <c r="L35" s="2">
        <f t="shared" si="0"/>
        <v>-3944.61</v>
      </c>
      <c r="M35" s="2"/>
      <c r="N35" s="19">
        <f t="shared" si="1"/>
        <v>-1</v>
      </c>
      <c r="O35" s="11"/>
      <c r="P35" s="2">
        <f>--1847.16</f>
        <v>1847.16</v>
      </c>
      <c r="Q35" s="2"/>
      <c r="R35" s="19"/>
      <c r="S35" s="2"/>
      <c r="T35" s="2">
        <f>--43030.34</f>
        <v>43030.34</v>
      </c>
      <c r="U35" s="2"/>
      <c r="V35" s="19"/>
      <c r="W35" s="2"/>
      <c r="X35" s="2">
        <f t="shared" si="2"/>
        <v>-41183.179999999993</v>
      </c>
      <c r="Y35" s="2"/>
      <c r="Z35" s="19">
        <f t="shared" si="3"/>
        <v>-0.95707307913439676</v>
      </c>
    </row>
    <row r="36" spans="1:26" s="24" customFormat="1" hidden="1" outlineLevel="1" x14ac:dyDescent="0.25">
      <c r="A36" s="44"/>
      <c r="B36" s="11" t="str">
        <f>CONCATENATE("          ", "4132", " - ", "NON-TAXABLE SALES-JUICE")</f>
        <v xml:space="preserve">          4132 - NON-TAXABLE SALES-JUICE</v>
      </c>
      <c r="C36" s="11"/>
      <c r="D36" s="2">
        <f t="shared" si="4"/>
        <v>0</v>
      </c>
      <c r="E36" s="2"/>
      <c r="F36" s="19"/>
      <c r="G36" s="2"/>
      <c r="H36" s="2">
        <f>--1102.23</f>
        <v>1102.23</v>
      </c>
      <c r="I36" s="2"/>
      <c r="J36" s="19"/>
      <c r="K36" s="2"/>
      <c r="L36" s="2">
        <f t="shared" si="0"/>
        <v>-1102.23</v>
      </c>
      <c r="M36" s="2"/>
      <c r="N36" s="19">
        <f t="shared" si="1"/>
        <v>-1</v>
      </c>
      <c r="O36" s="11"/>
      <c r="P36" s="2">
        <f t="shared" ref="P36:P43" si="8">0</f>
        <v>0</v>
      </c>
      <c r="Q36" s="2"/>
      <c r="R36" s="19"/>
      <c r="S36" s="2"/>
      <c r="T36" s="2">
        <f>--12547.43</f>
        <v>12547.43</v>
      </c>
      <c r="U36" s="2"/>
      <c r="V36" s="19"/>
      <c r="W36" s="2"/>
      <c r="X36" s="2">
        <f t="shared" si="2"/>
        <v>-12547.43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"4133", " - ", "NON-TAXABLE SALES-CANDY")</f>
        <v xml:space="preserve">          4133 - NON-TAXABLE SALES-CANDY</v>
      </c>
      <c r="C37" s="11"/>
      <c r="D37" s="2">
        <f t="shared" si="4"/>
        <v>0</v>
      </c>
      <c r="E37" s="2"/>
      <c r="F37" s="19"/>
      <c r="G37" s="2"/>
      <c r="H37" s="2">
        <f>--1436.4</f>
        <v>1436.4</v>
      </c>
      <c r="I37" s="2"/>
      <c r="J37" s="19"/>
      <c r="K37" s="2"/>
      <c r="L37" s="2">
        <f t="shared" si="0"/>
        <v>-1436.4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--13558.18</f>
        <v>13558.18</v>
      </c>
      <c r="U37" s="2"/>
      <c r="V37" s="19"/>
      <c r="W37" s="2"/>
      <c r="X37" s="2">
        <f t="shared" si="2"/>
        <v>-13558.18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"4135", " - ", "NON-TAXABLE SALES")</f>
        <v xml:space="preserve">          4135 - NON-TAXABLE SALES</v>
      </c>
      <c r="C38" s="11"/>
      <c r="D38" s="2">
        <f t="shared" si="4"/>
        <v>0</v>
      </c>
      <c r="E38" s="2"/>
      <c r="F38" s="19"/>
      <c r="G38" s="2"/>
      <c r="H38" s="2">
        <f>--21.54</f>
        <v>21.54</v>
      </c>
      <c r="I38" s="2"/>
      <c r="J38" s="19"/>
      <c r="K38" s="2"/>
      <c r="L38" s="2">
        <f t="shared" si="0"/>
        <v>-21.54</v>
      </c>
      <c r="M38" s="2"/>
      <c r="N38" s="19">
        <f t="shared" si="1"/>
        <v>-1</v>
      </c>
      <c r="O38" s="11"/>
      <c r="P38" s="2">
        <f t="shared" si="8"/>
        <v>0</v>
      </c>
      <c r="Q38" s="2"/>
      <c r="R38" s="19"/>
      <c r="S38" s="2"/>
      <c r="T38" s="2">
        <f>--139.86</f>
        <v>139.86000000000001</v>
      </c>
      <c r="U38" s="2"/>
      <c r="V38" s="19"/>
      <c r="W38" s="2"/>
      <c r="X38" s="2">
        <f t="shared" si="2"/>
        <v>-139.86000000000001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"4137", " - ", "NON-TAXABLE SALES-WATER")</f>
        <v xml:space="preserve">          4137 - NON-TAXABLE SALES-WATER</v>
      </c>
      <c r="C39" s="11"/>
      <c r="D39" s="2">
        <f t="shared" si="4"/>
        <v>0</v>
      </c>
      <c r="E39" s="2"/>
      <c r="F39" s="19"/>
      <c r="G39" s="2"/>
      <c r="H39" s="2">
        <f>--625.39</f>
        <v>625.39</v>
      </c>
      <c r="I39" s="2"/>
      <c r="J39" s="19"/>
      <c r="K39" s="2"/>
      <c r="L39" s="2">
        <f t="shared" si="0"/>
        <v>-625.39</v>
      </c>
      <c r="M39" s="2"/>
      <c r="N39" s="19">
        <f t="shared" si="1"/>
        <v>-1</v>
      </c>
      <c r="O39" s="11"/>
      <c r="P39" s="2">
        <f t="shared" si="8"/>
        <v>0</v>
      </c>
      <c r="Q39" s="2"/>
      <c r="R39" s="19"/>
      <c r="S39" s="2"/>
      <c r="T39" s="2">
        <f>--6445.46</f>
        <v>6445.46</v>
      </c>
      <c r="U39" s="2"/>
      <c r="V39" s="19"/>
      <c r="W39" s="2"/>
      <c r="X39" s="2">
        <f t="shared" si="2"/>
        <v>-6445.46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"4186", " - ", "NON-TAXABLE SALES-COMPUTER SUP")</f>
        <v xml:space="preserve">          4186 - NON-TAXABLE SALES-COMPUTER SUP</v>
      </c>
      <c r="C40" s="11"/>
      <c r="D40" s="2">
        <f t="shared" si="4"/>
        <v>0</v>
      </c>
      <c r="E40" s="2"/>
      <c r="F40" s="19"/>
      <c r="G40" s="2"/>
      <c r="H40" s="2">
        <f t="shared" ref="H40:H41" si="9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 t="shared" si="8"/>
        <v>0</v>
      </c>
      <c r="Q40" s="2"/>
      <c r="R40" s="19"/>
      <c r="S40" s="2"/>
      <c r="T40" s="2">
        <f>-30.97</f>
        <v>-30.97</v>
      </c>
      <c r="U40" s="2"/>
      <c r="V40" s="19"/>
      <c r="W40" s="2"/>
      <c r="X40" s="2">
        <f t="shared" si="2"/>
        <v>30.97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"4217", " - ", "NON-TAXABLE SALES-DORM/HOUSEWA")</f>
        <v xml:space="preserve">          4217 - NON-TAXABLE SALES-DORM/HOUSEWA</v>
      </c>
      <c r="C41" s="11"/>
      <c r="D41" s="2">
        <f t="shared" si="4"/>
        <v>0</v>
      </c>
      <c r="E41" s="2"/>
      <c r="F41" s="19"/>
      <c r="G41" s="2"/>
      <c r="H41" s="2">
        <f t="shared" si="9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 t="shared" si="8"/>
        <v>0</v>
      </c>
      <c r="Q41" s="2"/>
      <c r="R41" s="19"/>
      <c r="S41" s="2"/>
      <c r="T41" s="2">
        <f>-2.98</f>
        <v>-2.98</v>
      </c>
      <c r="U41" s="2"/>
      <c r="V41" s="19"/>
      <c r="W41" s="2"/>
      <c r="X41" s="2">
        <f t="shared" si="2"/>
        <v>2.98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"4225", " - ", "SALES RETURN TAXABLE-TEST FORM")</f>
        <v xml:space="preserve">          4225 - SALES RETURN TAXABLE-TEST FORM</v>
      </c>
      <c r="C42" s="11"/>
      <c r="D42" s="2">
        <f t="shared" si="4"/>
        <v>0</v>
      </c>
      <c r="E42" s="2"/>
      <c r="F42" s="19"/>
      <c r="G42" s="2"/>
      <c r="H42" s="2">
        <f>-14.74</f>
        <v>-14.74</v>
      </c>
      <c r="I42" s="2"/>
      <c r="J42" s="19"/>
      <c r="K42" s="2"/>
      <c r="L42" s="2">
        <f t="shared" si="0"/>
        <v>14.74</v>
      </c>
      <c r="M42" s="2"/>
      <c r="N42" s="19">
        <f t="shared" si="1"/>
        <v>-1</v>
      </c>
      <c r="O42" s="11"/>
      <c r="P42" s="2">
        <f t="shared" si="8"/>
        <v>0</v>
      </c>
      <c r="Q42" s="2"/>
      <c r="R42" s="19"/>
      <c r="S42" s="2"/>
      <c r="T42" s="2">
        <f>-95.71</f>
        <v>-95.71</v>
      </c>
      <c r="U42" s="2"/>
      <c r="V42" s="19"/>
      <c r="W42" s="2"/>
      <c r="X42" s="2">
        <f t="shared" si="2"/>
        <v>95.71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"4226", " - ", "SALES RETURN TAXABLE-WRITING I")</f>
        <v xml:space="preserve">          4226 - SALES RETURN TAXABLE-WRITING I</v>
      </c>
      <c r="C43" s="11"/>
      <c r="D43" s="2">
        <f t="shared" si="4"/>
        <v>0</v>
      </c>
      <c r="E43" s="2"/>
      <c r="F43" s="19"/>
      <c r="G43" s="2"/>
      <c r="H43" s="2">
        <f>-149.55</f>
        <v>-149.55000000000001</v>
      </c>
      <c r="I43" s="2"/>
      <c r="J43" s="19"/>
      <c r="K43" s="2"/>
      <c r="L43" s="2">
        <f t="shared" si="0"/>
        <v>149.55000000000001</v>
      </c>
      <c r="M43" s="2"/>
      <c r="N43" s="19">
        <f t="shared" si="1"/>
        <v>-1</v>
      </c>
      <c r="O43" s="11"/>
      <c r="P43" s="2">
        <f t="shared" si="8"/>
        <v>0</v>
      </c>
      <c r="Q43" s="2"/>
      <c r="R43" s="19"/>
      <c r="S43" s="2"/>
      <c r="T43" s="2">
        <f>-546.11</f>
        <v>-546.11</v>
      </c>
      <c r="U43" s="2"/>
      <c r="V43" s="19"/>
      <c r="W43" s="2"/>
      <c r="X43" s="2">
        <f t="shared" si="2"/>
        <v>546.11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"4227", " - ", "SALES RETURN TAXABLE-SCHOOL SU")</f>
        <v xml:space="preserve">          4227 - SALES RETURN TAXABLE-SCHOOL SU</v>
      </c>
      <c r="C44" s="11"/>
      <c r="D44" s="2">
        <f t="shared" si="4"/>
        <v>0</v>
      </c>
      <c r="E44" s="2"/>
      <c r="F44" s="19"/>
      <c r="G44" s="2"/>
      <c r="H44" s="2">
        <f>-962.28</f>
        <v>-962.28</v>
      </c>
      <c r="I44" s="2"/>
      <c r="J44" s="19"/>
      <c r="K44" s="2"/>
      <c r="L44" s="2">
        <f t="shared" si="0"/>
        <v>962.28</v>
      </c>
      <c r="M44" s="2"/>
      <c r="N44" s="19">
        <f t="shared" si="1"/>
        <v>-1</v>
      </c>
      <c r="O44" s="11"/>
      <c r="P44" s="2">
        <f>-159.97</f>
        <v>-159.97</v>
      </c>
      <c r="Q44" s="2"/>
      <c r="R44" s="19"/>
      <c r="S44" s="2"/>
      <c r="T44" s="2">
        <f>-6910.86</f>
        <v>-6910.86</v>
      </c>
      <c r="U44" s="2"/>
      <c r="V44" s="19"/>
      <c r="W44" s="2"/>
      <c r="X44" s="2">
        <f t="shared" si="2"/>
        <v>6750.8899999999994</v>
      </c>
      <c r="Y44" s="2"/>
      <c r="Z44" s="19">
        <f t="shared" si="3"/>
        <v>-0.97685237437887606</v>
      </c>
    </row>
    <row r="45" spans="1:26" s="24" customFormat="1" hidden="1" outlineLevel="1" x14ac:dyDescent="0.25">
      <c r="A45" s="44"/>
      <c r="B45" s="11" t="str">
        <f>CONCATENATE("          ", "4228", " - ", "SALES RETURN TAXABLE-ART/TECH")</f>
        <v xml:space="preserve">          4228 - SALES RETURN TAXABLE-ART/TECH</v>
      </c>
      <c r="C45" s="11"/>
      <c r="D45" s="2">
        <f t="shared" si="4"/>
        <v>0</v>
      </c>
      <c r="E45" s="2"/>
      <c r="F45" s="19"/>
      <c r="G45" s="2"/>
      <c r="H45" s="2">
        <f>-766.07</f>
        <v>-766.07</v>
      </c>
      <c r="I45" s="2"/>
      <c r="J45" s="19"/>
      <c r="K45" s="2"/>
      <c r="L45" s="2">
        <f t="shared" si="0"/>
        <v>766.07</v>
      </c>
      <c r="M45" s="2"/>
      <c r="N45" s="19">
        <f t="shared" si="1"/>
        <v>-1</v>
      </c>
      <c r="O45" s="11"/>
      <c r="P45" s="2">
        <f>-222.2</f>
        <v>-222.2</v>
      </c>
      <c r="Q45" s="2"/>
      <c r="R45" s="19"/>
      <c r="S45" s="2"/>
      <c r="T45" s="2">
        <f>-3914.69</f>
        <v>-3914.69</v>
      </c>
      <c r="U45" s="2"/>
      <c r="V45" s="19"/>
      <c r="W45" s="2"/>
      <c r="X45" s="2">
        <f t="shared" si="2"/>
        <v>3692.4900000000002</v>
      </c>
      <c r="Y45" s="2"/>
      <c r="Z45" s="19">
        <f t="shared" si="3"/>
        <v>-0.94323943913822039</v>
      </c>
    </row>
    <row r="46" spans="1:26" s="24" customFormat="1" hidden="1" outlineLevel="1" x14ac:dyDescent="0.25">
      <c r="A46" s="44"/>
      <c r="B46" s="11" t="str">
        <f>CONCATENATE("          ", "4233", " - ", "SALES RETURN TAXABLE-CANDY")</f>
        <v xml:space="preserve">          4233 - SALES RETURN TAXABLE-CANDY</v>
      </c>
      <c r="C46" s="11"/>
      <c r="D46" s="2">
        <f t="shared" si="4"/>
        <v>0</v>
      </c>
      <c r="E46" s="2"/>
      <c r="F46" s="19"/>
      <c r="G46" s="2"/>
      <c r="H46" s="2">
        <f t="shared" ref="H46:H48" si="10">0</f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ref="P46:P48" si="11">0</f>
        <v>0</v>
      </c>
      <c r="Q46" s="2"/>
      <c r="R46" s="19"/>
      <c r="S46" s="2"/>
      <c r="T46" s="2">
        <f>-1.29</f>
        <v>-1.29</v>
      </c>
      <c r="U46" s="2"/>
      <c r="V46" s="19"/>
      <c r="W46" s="2"/>
      <c r="X46" s="2">
        <f t="shared" si="2"/>
        <v>1.29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"4281", " - ", "SALES RETURN TAXABLE-ELECTRONI")</f>
        <v xml:space="preserve">          4281 - SALES RETURN TAXABLE-ELECTRONI</v>
      </c>
      <c r="C47" s="11"/>
      <c r="D47" s="2">
        <f t="shared" si="4"/>
        <v>0</v>
      </c>
      <c r="E47" s="2"/>
      <c r="F47" s="19"/>
      <c r="G47" s="2"/>
      <c r="H47" s="2">
        <f t="shared" si="10"/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si="11"/>
        <v>0</v>
      </c>
      <c r="Q47" s="2"/>
      <c r="R47" s="19"/>
      <c r="S47" s="2"/>
      <c r="T47" s="2">
        <f>-54.97</f>
        <v>-54.97</v>
      </c>
      <c r="U47" s="2"/>
      <c r="V47" s="19"/>
      <c r="W47" s="2"/>
      <c r="X47" s="2">
        <f t="shared" si="2"/>
        <v>54.97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"4327", " - ", "SALES RETURN NON TAXABLE-SCHOO")</f>
        <v xml:space="preserve">          4327 - SALES RETURN NON TAXABLE-SCHOO</v>
      </c>
      <c r="C48" s="11"/>
      <c r="D48" s="2">
        <f t="shared" si="4"/>
        <v>0</v>
      </c>
      <c r="E48" s="2"/>
      <c r="F48" s="19"/>
      <c r="G48" s="2"/>
      <c r="H48" s="2">
        <f t="shared" si="10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11"/>
        <v>0</v>
      </c>
      <c r="Q48" s="2"/>
      <c r="R48" s="19"/>
      <c r="S48" s="2"/>
      <c r="T48" s="2">
        <f>-21.87</f>
        <v>-21.87</v>
      </c>
      <c r="U48" s="2"/>
      <c r="V48" s="19"/>
      <c r="W48" s="2"/>
      <c r="X48" s="2">
        <f t="shared" si="2"/>
        <v>21.87</v>
      </c>
      <c r="Y48" s="2"/>
      <c r="Z48" s="19">
        <f t="shared" si="3"/>
        <v>-1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collapsed="1" x14ac:dyDescent="0.25">
      <c r="A50" s="10"/>
      <c r="B50" s="29" t="s">
        <v>8</v>
      </c>
      <c r="C50" s="10"/>
      <c r="D50" s="4">
        <f>SUM(OSRRefD16x_0)</f>
        <v>18.52</v>
      </c>
      <c r="E50" s="4"/>
      <c r="F50" s="12">
        <f t="shared" ref="F50:F73" si="12">IF(D$12=0,0,D50/D$12)</f>
        <v>0</v>
      </c>
      <c r="G50" s="4"/>
      <c r="H50" s="4">
        <f>SUM(OSRRefH16x_0)</f>
        <v>70170.920000000027</v>
      </c>
      <c r="I50" s="4"/>
      <c r="J50" s="12">
        <f t="shared" ref="J50:J73" si="13">IF(H$12=0,0,H50/H$12)</f>
        <v>0.50882591464192828</v>
      </c>
      <c r="K50" s="4"/>
      <c r="L50" s="4">
        <f t="shared" ref="L50:L73" si="14">+D50-H50</f>
        <v>-70152.400000000023</v>
      </c>
      <c r="M50" s="4"/>
      <c r="N50" s="12">
        <f t="shared" ref="N50:N73" si="15">IF(H50=0,0,L50/H50)</f>
        <v>-0.99973607300574074</v>
      </c>
      <c r="O50" s="10"/>
      <c r="P50" s="4">
        <f>SUM(OSRRefP16x_0)</f>
        <v>13730.259999999995</v>
      </c>
      <c r="Q50" s="4"/>
      <c r="R50" s="12">
        <f t="shared" ref="R50:R73" si="16">IF(P$12=0,0,P50/P$12)</f>
        <v>0.64425260605332579</v>
      </c>
      <c r="S50" s="4"/>
      <c r="T50" s="4">
        <f>SUM(OSRRefT16x_0)</f>
        <v>326763.63</v>
      </c>
      <c r="U50" s="4"/>
      <c r="V50" s="12">
        <f t="shared" ref="V50:V73" si="17">IF(T$12=0,0,T50/T$12)</f>
        <v>0.49972658029090522</v>
      </c>
      <c r="W50" s="4"/>
      <c r="X50" s="4">
        <f t="shared" ref="X50:X73" si="18">+P50-T50</f>
        <v>-313033.37</v>
      </c>
      <c r="Y50" s="4"/>
      <c r="Z50" s="12">
        <f t="shared" ref="Z50:Z73" si="19">IF(T50=0,0,X50/T50)</f>
        <v>-0.95798106417167661</v>
      </c>
    </row>
    <row r="51" spans="1:26" s="24" customFormat="1" hidden="1" outlineLevel="1" x14ac:dyDescent="0.25">
      <c r="A51" s="44"/>
      <c r="B51" s="11" t="str">
        <f>CONCATENATE("          ", "5014", " - ", "PURCHASES @ COST-REMAINDERS")</f>
        <v xml:space="preserve">          5014 - PURCHASES @ COST-REMAINDERS</v>
      </c>
      <c r="C51" s="11"/>
      <c r="D51" s="2"/>
      <c r="E51" s="2"/>
      <c r="F51" s="19">
        <f t="shared" si="12"/>
        <v>0</v>
      </c>
      <c r="G51" s="2"/>
      <c r="H51" s="2"/>
      <c r="I51" s="2"/>
      <c r="J51" s="19">
        <f t="shared" si="13"/>
        <v>0</v>
      </c>
      <c r="K51" s="2"/>
      <c r="L51" s="2">
        <f t="shared" si="14"/>
        <v>0</v>
      </c>
      <c r="M51" s="2"/>
      <c r="N51" s="19">
        <f t="shared" si="15"/>
        <v>0</v>
      </c>
      <c r="O51" s="11"/>
      <c r="P51" s="2"/>
      <c r="Q51" s="2"/>
      <c r="R51" s="19">
        <f t="shared" si="16"/>
        <v>0</v>
      </c>
      <c r="S51" s="2"/>
      <c r="T51" s="2">
        <v>14.46</v>
      </c>
      <c r="U51" s="2"/>
      <c r="V51" s="19">
        <f t="shared" si="17"/>
        <v>2.2113986036348322E-5</v>
      </c>
      <c r="W51" s="2"/>
      <c r="X51" s="2">
        <f t="shared" si="18"/>
        <v>-14.46</v>
      </c>
      <c r="Y51" s="2"/>
      <c r="Z51" s="19">
        <f t="shared" si="19"/>
        <v>-1</v>
      </c>
    </row>
    <row r="52" spans="1:26" s="24" customFormat="1" hidden="1" outlineLevel="1" x14ac:dyDescent="0.25">
      <c r="A52" s="44"/>
      <c r="B52" s="11" t="str">
        <f>CONCATENATE("          ", "5017", " - ", "PURCHASES @ COST-DORM/HOUSEWAR")</f>
        <v xml:space="preserve">          5017 - PURCHASES @ COST-DORM/HOUSEWAR</v>
      </c>
      <c r="C52" s="11"/>
      <c r="D52" s="2"/>
      <c r="E52" s="2"/>
      <c r="F52" s="19">
        <f t="shared" si="12"/>
        <v>0</v>
      </c>
      <c r="G52" s="2"/>
      <c r="H52" s="2"/>
      <c r="I52" s="2"/>
      <c r="J52" s="19">
        <f t="shared" si="13"/>
        <v>0</v>
      </c>
      <c r="K52" s="2"/>
      <c r="L52" s="2">
        <f t="shared" si="14"/>
        <v>0</v>
      </c>
      <c r="M52" s="2"/>
      <c r="N52" s="19">
        <f t="shared" si="15"/>
        <v>0</v>
      </c>
      <c r="O52" s="11"/>
      <c r="P52" s="2"/>
      <c r="Q52" s="2"/>
      <c r="R52" s="19">
        <f t="shared" si="16"/>
        <v>0</v>
      </c>
      <c r="S52" s="2"/>
      <c r="T52" s="2">
        <v>0</v>
      </c>
      <c r="U52" s="2"/>
      <c r="V52" s="19">
        <f t="shared" si="17"/>
        <v>0</v>
      </c>
      <c r="W52" s="2"/>
      <c r="X52" s="2">
        <f t="shared" si="18"/>
        <v>0</v>
      </c>
      <c r="Y52" s="2"/>
      <c r="Z52" s="19">
        <f t="shared" si="19"/>
        <v>0</v>
      </c>
    </row>
    <row r="53" spans="1:26" s="24" customFormat="1" hidden="1" outlineLevel="1" x14ac:dyDescent="0.25">
      <c r="A53" s="44"/>
      <c r="B53" s="11" t="str">
        <f>CONCATENATE("          ", "5025", " - ", "PURCHASES @ COST-TEST FORMS")</f>
        <v xml:space="preserve">          5025 - PURCHASES @ COST-TEST FORMS</v>
      </c>
      <c r="C53" s="11"/>
      <c r="D53" s="2"/>
      <c r="E53" s="2"/>
      <c r="F53" s="19">
        <f t="shared" si="12"/>
        <v>0</v>
      </c>
      <c r="G53" s="2"/>
      <c r="H53" s="2">
        <v>873.94</v>
      </c>
      <c r="I53" s="2"/>
      <c r="J53" s="19">
        <f t="shared" si="13"/>
        <v>6.3371453565403829E-3</v>
      </c>
      <c r="K53" s="2"/>
      <c r="L53" s="2">
        <f t="shared" si="14"/>
        <v>-873.94</v>
      </c>
      <c r="M53" s="2"/>
      <c r="N53" s="19">
        <f t="shared" si="15"/>
        <v>-1</v>
      </c>
      <c r="O53" s="11"/>
      <c r="P53" s="2"/>
      <c r="Q53" s="2"/>
      <c r="R53" s="19">
        <f t="shared" si="16"/>
        <v>0</v>
      </c>
      <c r="S53" s="2"/>
      <c r="T53" s="2">
        <v>22972.329999999998</v>
      </c>
      <c r="U53" s="2"/>
      <c r="V53" s="19">
        <f t="shared" si="17"/>
        <v>3.5132073640552257E-2</v>
      </c>
      <c r="W53" s="2"/>
      <c r="X53" s="2">
        <f t="shared" si="18"/>
        <v>-22972.329999999998</v>
      </c>
      <c r="Y53" s="2"/>
      <c r="Z53" s="19">
        <f t="shared" si="19"/>
        <v>-1</v>
      </c>
    </row>
    <row r="54" spans="1:26" s="24" customFormat="1" hidden="1" outlineLevel="1" x14ac:dyDescent="0.25">
      <c r="A54" s="44"/>
      <c r="B54" s="11" t="str">
        <f>CONCATENATE("          ", "5026", " - ", "PURCHASES @ COST-WRITING INSTR")</f>
        <v xml:space="preserve">          5026 - PURCHASES @ COST-WRITING INSTR</v>
      </c>
      <c r="C54" s="11"/>
      <c r="D54" s="2"/>
      <c r="E54" s="2"/>
      <c r="F54" s="19">
        <f t="shared" si="12"/>
        <v>0</v>
      </c>
      <c r="G54" s="2"/>
      <c r="H54" s="2">
        <v>7905</v>
      </c>
      <c r="I54" s="2"/>
      <c r="J54" s="19">
        <f t="shared" si="13"/>
        <v>5.7321022087845529E-2</v>
      </c>
      <c r="K54" s="2"/>
      <c r="L54" s="2">
        <f t="shared" si="14"/>
        <v>-7905</v>
      </c>
      <c r="M54" s="2"/>
      <c r="N54" s="19">
        <f t="shared" si="15"/>
        <v>-1</v>
      </c>
      <c r="O54" s="11"/>
      <c r="P54" s="2">
        <v>364.91</v>
      </c>
      <c r="Q54" s="2"/>
      <c r="R54" s="19">
        <f t="shared" si="16"/>
        <v>1.7122342801587094E-2</v>
      </c>
      <c r="S54" s="2"/>
      <c r="T54" s="2">
        <v>42221.009999999995</v>
      </c>
      <c r="U54" s="2"/>
      <c r="V54" s="19">
        <f t="shared" si="17"/>
        <v>6.4569490012484285E-2</v>
      </c>
      <c r="W54" s="2"/>
      <c r="X54" s="2">
        <f t="shared" si="18"/>
        <v>-41856.099999999991</v>
      </c>
      <c r="Y54" s="2"/>
      <c r="Z54" s="19">
        <f t="shared" si="19"/>
        <v>-0.99135714659597196</v>
      </c>
    </row>
    <row r="55" spans="1:26" s="24" customFormat="1" hidden="1" outlineLevel="1" x14ac:dyDescent="0.25">
      <c r="A55" s="44"/>
      <c r="B55" s="11" t="str">
        <f>CONCATENATE("          ", "5027", " - ", "PURCHASES @ COST-SCHOOL SUPPLI")</f>
        <v xml:space="preserve">          5027 - PURCHASES @ COST-SCHOOL SUPPLI</v>
      </c>
      <c r="C55" s="11"/>
      <c r="D55" s="2"/>
      <c r="E55" s="2"/>
      <c r="F55" s="19">
        <f t="shared" si="12"/>
        <v>0</v>
      </c>
      <c r="G55" s="2"/>
      <c r="H55" s="2">
        <v>42558.76</v>
      </c>
      <c r="I55" s="2"/>
      <c r="J55" s="19">
        <f t="shared" si="13"/>
        <v>0.30860362074526465</v>
      </c>
      <c r="K55" s="2"/>
      <c r="L55" s="2">
        <f t="shared" si="14"/>
        <v>-42558.76</v>
      </c>
      <c r="M55" s="2"/>
      <c r="N55" s="19">
        <f t="shared" si="15"/>
        <v>-1</v>
      </c>
      <c r="O55" s="11"/>
      <c r="P55" s="2">
        <v>895.47</v>
      </c>
      <c r="Q55" s="2"/>
      <c r="R55" s="19">
        <f t="shared" si="16"/>
        <v>4.201733114613794E-2</v>
      </c>
      <c r="S55" s="2"/>
      <c r="T55" s="2">
        <v>120507.47</v>
      </c>
      <c r="U55" s="2"/>
      <c r="V55" s="19">
        <f t="shared" si="17"/>
        <v>0.18429464099970017</v>
      </c>
      <c r="W55" s="2"/>
      <c r="X55" s="2">
        <f t="shared" si="18"/>
        <v>-119612</v>
      </c>
      <c r="Y55" s="2"/>
      <c r="Z55" s="19">
        <f t="shared" si="19"/>
        <v>-0.99256917434247016</v>
      </c>
    </row>
    <row r="56" spans="1:26" s="24" customFormat="1" hidden="1" outlineLevel="1" x14ac:dyDescent="0.25">
      <c r="A56" s="44"/>
      <c r="B56" s="11" t="str">
        <f>CONCATENATE("          ", "5028", " - ", "PURCHASES @ COST-ART/TECH")</f>
        <v xml:space="preserve">          5028 - PURCHASES @ COST-ART/TECH</v>
      </c>
      <c r="C56" s="11"/>
      <c r="D56" s="2"/>
      <c r="E56" s="2"/>
      <c r="F56" s="19">
        <f t="shared" si="12"/>
        <v>0</v>
      </c>
      <c r="G56" s="2"/>
      <c r="H56" s="2">
        <v>32126.68</v>
      </c>
      <c r="I56" s="2"/>
      <c r="J56" s="19">
        <f t="shared" si="13"/>
        <v>0.23295814470450921</v>
      </c>
      <c r="K56" s="2"/>
      <c r="L56" s="2">
        <f t="shared" si="14"/>
        <v>-32126.68</v>
      </c>
      <c r="M56" s="2"/>
      <c r="N56" s="19">
        <f t="shared" si="15"/>
        <v>-1</v>
      </c>
      <c r="O56" s="11"/>
      <c r="P56" s="2">
        <v>41441.85</v>
      </c>
      <c r="Q56" s="2"/>
      <c r="R56" s="19">
        <f t="shared" si="16"/>
        <v>1.9445385493188789</v>
      </c>
      <c r="S56" s="2"/>
      <c r="T56" s="2">
        <v>135127.5</v>
      </c>
      <c r="U56" s="2"/>
      <c r="V56" s="19">
        <f t="shared" si="17"/>
        <v>0.20665336432411188</v>
      </c>
      <c r="W56" s="2"/>
      <c r="X56" s="2">
        <f t="shared" si="18"/>
        <v>-93685.65</v>
      </c>
      <c r="Y56" s="2"/>
      <c r="Z56" s="19">
        <f t="shared" si="19"/>
        <v>-0.69331298218349335</v>
      </c>
    </row>
    <row r="57" spans="1:26" s="24" customFormat="1" hidden="1" outlineLevel="1" x14ac:dyDescent="0.25">
      <c r="A57" s="44"/>
      <c r="B57" s="11" t="str">
        <f>CONCATENATE("          ", "5031", " - ", "PURCHASES @ COST-FOOD")</f>
        <v xml:space="preserve">          5031 - PURCHASES @ COST-FOOD</v>
      </c>
      <c r="C57" s="11"/>
      <c r="D57" s="2"/>
      <c r="E57" s="2"/>
      <c r="F57" s="19">
        <f t="shared" si="12"/>
        <v>0</v>
      </c>
      <c r="G57" s="2"/>
      <c r="H57" s="2">
        <v>2390.66</v>
      </c>
      <c r="I57" s="2"/>
      <c r="J57" s="19">
        <f t="shared" si="13"/>
        <v>1.7335240311768346E-2</v>
      </c>
      <c r="K57" s="2"/>
      <c r="L57" s="2">
        <f t="shared" si="14"/>
        <v>-2390.66</v>
      </c>
      <c r="M57" s="2"/>
      <c r="N57" s="19">
        <f t="shared" si="15"/>
        <v>-1</v>
      </c>
      <c r="O57" s="11"/>
      <c r="P57" s="2">
        <v>2441.5700000000002</v>
      </c>
      <c r="Q57" s="2"/>
      <c r="R57" s="19">
        <f t="shared" si="16"/>
        <v>0.11456358695040149</v>
      </c>
      <c r="S57" s="2"/>
      <c r="T57" s="2">
        <v>24900.390000000003</v>
      </c>
      <c r="U57" s="2"/>
      <c r="V57" s="19">
        <f t="shared" si="17"/>
        <v>3.8080696871343529E-2</v>
      </c>
      <c r="W57" s="2"/>
      <c r="X57" s="2">
        <f t="shared" si="18"/>
        <v>-22458.820000000003</v>
      </c>
      <c r="Y57" s="2"/>
      <c r="Z57" s="19">
        <f t="shared" si="19"/>
        <v>-0.90194651569714368</v>
      </c>
    </row>
    <row r="58" spans="1:26" s="24" customFormat="1" hidden="1" outlineLevel="1" x14ac:dyDescent="0.25">
      <c r="A58" s="44"/>
      <c r="B58" s="11" t="str">
        <f>CONCATENATE("          ", "5032", " - ", "PURCHASES @ COST-JUICE")</f>
        <v xml:space="preserve">          5032 - PURCHASES @ COST-JUICE</v>
      </c>
      <c r="C58" s="11"/>
      <c r="D58" s="2"/>
      <c r="E58" s="2"/>
      <c r="F58" s="19">
        <f t="shared" si="12"/>
        <v>0</v>
      </c>
      <c r="G58" s="2"/>
      <c r="H58" s="2">
        <v>371.03</v>
      </c>
      <c r="I58" s="2"/>
      <c r="J58" s="19">
        <f t="shared" si="13"/>
        <v>2.6904261638524131E-3</v>
      </c>
      <c r="K58" s="2"/>
      <c r="L58" s="2">
        <f t="shared" si="14"/>
        <v>-371.03</v>
      </c>
      <c r="M58" s="2"/>
      <c r="N58" s="19">
        <f t="shared" si="15"/>
        <v>-1</v>
      </c>
      <c r="O58" s="11"/>
      <c r="P58" s="2"/>
      <c r="Q58" s="2"/>
      <c r="R58" s="19">
        <f t="shared" si="16"/>
        <v>0</v>
      </c>
      <c r="S58" s="2"/>
      <c r="T58" s="2">
        <v>5392.51</v>
      </c>
      <c r="U58" s="2"/>
      <c r="V58" s="19">
        <f t="shared" si="17"/>
        <v>8.246880417764087E-3</v>
      </c>
      <c r="W58" s="2"/>
      <c r="X58" s="2">
        <f t="shared" si="18"/>
        <v>-5392.51</v>
      </c>
      <c r="Y58" s="2"/>
      <c r="Z58" s="19">
        <f t="shared" si="19"/>
        <v>-1</v>
      </c>
    </row>
    <row r="59" spans="1:26" s="24" customFormat="1" hidden="1" outlineLevel="1" x14ac:dyDescent="0.25">
      <c r="A59" s="44"/>
      <c r="B59" s="11" t="str">
        <f>CONCATENATE("          ", "5033", " - ", "PURCHASES @ COST-CANDY")</f>
        <v xml:space="preserve">          5033 - PURCHASES @ COST-CANDY</v>
      </c>
      <c r="C59" s="11"/>
      <c r="D59" s="2"/>
      <c r="E59" s="2"/>
      <c r="F59" s="19">
        <f t="shared" si="12"/>
        <v>0</v>
      </c>
      <c r="G59" s="2"/>
      <c r="H59" s="2">
        <v>805.69</v>
      </c>
      <c r="I59" s="2"/>
      <c r="J59" s="19">
        <f t="shared" si="13"/>
        <v>5.842248486521982E-3</v>
      </c>
      <c r="K59" s="2"/>
      <c r="L59" s="2">
        <f t="shared" si="14"/>
        <v>-805.69</v>
      </c>
      <c r="M59" s="2"/>
      <c r="N59" s="19">
        <f t="shared" si="15"/>
        <v>-1</v>
      </c>
      <c r="O59" s="11"/>
      <c r="P59" s="2"/>
      <c r="Q59" s="2"/>
      <c r="R59" s="19">
        <f t="shared" si="16"/>
        <v>0</v>
      </c>
      <c r="S59" s="2"/>
      <c r="T59" s="2">
        <v>7003.62</v>
      </c>
      <c r="U59" s="2"/>
      <c r="V59" s="19">
        <f t="shared" si="17"/>
        <v>1.0710785261679795E-2</v>
      </c>
      <c r="W59" s="2"/>
      <c r="X59" s="2">
        <f t="shared" si="18"/>
        <v>-7003.62</v>
      </c>
      <c r="Y59" s="2"/>
      <c r="Z59" s="19">
        <f t="shared" si="19"/>
        <v>-1</v>
      </c>
    </row>
    <row r="60" spans="1:26" s="24" customFormat="1" hidden="1" outlineLevel="1" x14ac:dyDescent="0.25">
      <c r="A60" s="44"/>
      <c r="B60" s="11" t="str">
        <f>CONCATENATE("          ", "5034", " - ", "PURCHASES @ COST-SODA")</f>
        <v xml:space="preserve">          5034 - PURCHASES @ COST-SODA</v>
      </c>
      <c r="C60" s="11"/>
      <c r="D60" s="2"/>
      <c r="E60" s="2"/>
      <c r="F60" s="19">
        <f t="shared" si="12"/>
        <v>0</v>
      </c>
      <c r="G60" s="2"/>
      <c r="H60" s="2"/>
      <c r="I60" s="2"/>
      <c r="J60" s="19">
        <f t="shared" si="13"/>
        <v>0</v>
      </c>
      <c r="K60" s="2"/>
      <c r="L60" s="2">
        <f t="shared" si="14"/>
        <v>0</v>
      </c>
      <c r="M60" s="2"/>
      <c r="N60" s="19">
        <f t="shared" si="15"/>
        <v>0</v>
      </c>
      <c r="O60" s="11"/>
      <c r="P60" s="2"/>
      <c r="Q60" s="2"/>
      <c r="R60" s="19">
        <f t="shared" si="16"/>
        <v>0</v>
      </c>
      <c r="S60" s="2"/>
      <c r="T60" s="2">
        <v>2124.16</v>
      </c>
      <c r="U60" s="2"/>
      <c r="V60" s="19">
        <f t="shared" si="17"/>
        <v>3.2485231382413308E-3</v>
      </c>
      <c r="W60" s="2"/>
      <c r="X60" s="2">
        <f t="shared" si="18"/>
        <v>-2124.16</v>
      </c>
      <c r="Y60" s="2"/>
      <c r="Z60" s="19">
        <f t="shared" si="19"/>
        <v>-1</v>
      </c>
    </row>
    <row r="61" spans="1:26" s="24" customFormat="1" hidden="1" outlineLevel="1" x14ac:dyDescent="0.25">
      <c r="A61" s="44"/>
      <c r="B61" s="11" t="str">
        <f>CONCATENATE("          ", "5035", " - ", "PURCHASES @ COST-HEALTH &amp; BEAU")</f>
        <v xml:space="preserve">          5035 - PURCHASES @ COST-HEALTH &amp; BEAU</v>
      </c>
      <c r="C61" s="11"/>
      <c r="D61" s="2"/>
      <c r="E61" s="2"/>
      <c r="F61" s="19">
        <f t="shared" si="12"/>
        <v>0</v>
      </c>
      <c r="G61" s="2"/>
      <c r="H61" s="2">
        <v>32.82</v>
      </c>
      <c r="I61" s="2"/>
      <c r="J61" s="19">
        <f t="shared" si="13"/>
        <v>2.3798557178027706E-4</v>
      </c>
      <c r="K61" s="2"/>
      <c r="L61" s="2">
        <f t="shared" si="14"/>
        <v>-32.82</v>
      </c>
      <c r="M61" s="2"/>
      <c r="N61" s="19">
        <f t="shared" si="15"/>
        <v>-1</v>
      </c>
      <c r="O61" s="11"/>
      <c r="P61" s="2"/>
      <c r="Q61" s="2"/>
      <c r="R61" s="19">
        <f t="shared" si="16"/>
        <v>0</v>
      </c>
      <c r="S61" s="2"/>
      <c r="T61" s="2">
        <v>857.2</v>
      </c>
      <c r="U61" s="2"/>
      <c r="V61" s="19">
        <f t="shared" si="17"/>
        <v>1.3109342206333182E-3</v>
      </c>
      <c r="W61" s="2"/>
      <c r="X61" s="2">
        <f t="shared" si="18"/>
        <v>-857.2</v>
      </c>
      <c r="Y61" s="2"/>
      <c r="Z61" s="19">
        <f t="shared" si="19"/>
        <v>-1</v>
      </c>
    </row>
    <row r="62" spans="1:26" s="24" customFormat="1" hidden="1" outlineLevel="1" x14ac:dyDescent="0.25">
      <c r="A62" s="44"/>
      <c r="B62" s="11" t="str">
        <f>CONCATENATE("          ", "5037", " - ", "PURCHASES @ COST-WATER")</f>
        <v xml:space="preserve">          5037 - PURCHASES @ COST-WATER</v>
      </c>
      <c r="C62" s="11"/>
      <c r="D62" s="2"/>
      <c r="E62" s="2"/>
      <c r="F62" s="19">
        <f t="shared" si="12"/>
        <v>0</v>
      </c>
      <c r="G62" s="2"/>
      <c r="H62" s="2"/>
      <c r="I62" s="2"/>
      <c r="J62" s="19">
        <f t="shared" si="13"/>
        <v>0</v>
      </c>
      <c r="K62" s="2"/>
      <c r="L62" s="2">
        <f t="shared" si="14"/>
        <v>0</v>
      </c>
      <c r="M62" s="2"/>
      <c r="N62" s="19">
        <f t="shared" si="15"/>
        <v>0</v>
      </c>
      <c r="O62" s="11"/>
      <c r="P62" s="2"/>
      <c r="Q62" s="2"/>
      <c r="R62" s="19">
        <f t="shared" si="16"/>
        <v>0</v>
      </c>
      <c r="S62" s="2"/>
      <c r="T62" s="2">
        <v>3729.51</v>
      </c>
      <c r="U62" s="2"/>
      <c r="V62" s="19">
        <f t="shared" si="17"/>
        <v>5.7036190914537639E-3</v>
      </c>
      <c r="W62" s="2"/>
      <c r="X62" s="2">
        <f t="shared" si="18"/>
        <v>-3729.51</v>
      </c>
      <c r="Y62" s="2"/>
      <c r="Z62" s="19">
        <f t="shared" si="19"/>
        <v>-1</v>
      </c>
    </row>
    <row r="63" spans="1:26" s="24" customFormat="1" hidden="1" outlineLevel="1" x14ac:dyDescent="0.25">
      <c r="A63" s="44"/>
      <c r="B63" s="11" t="str">
        <f>CONCATENATE("          ", "5081", " - ", "PURCHASES @ COST-ELECTRONICS")</f>
        <v xml:space="preserve">          5081 - PURCHASES @ COST-ELECTRONICS</v>
      </c>
      <c r="C63" s="11"/>
      <c r="D63" s="2"/>
      <c r="E63" s="2"/>
      <c r="F63" s="19">
        <f t="shared" si="12"/>
        <v>0</v>
      </c>
      <c r="G63" s="2"/>
      <c r="H63" s="2">
        <v>119.66</v>
      </c>
      <c r="I63" s="2"/>
      <c r="J63" s="19">
        <f t="shared" si="13"/>
        <v>8.6768292258464208E-4</v>
      </c>
      <c r="K63" s="2"/>
      <c r="L63" s="2">
        <f t="shared" si="14"/>
        <v>-119.66</v>
      </c>
      <c r="M63" s="2"/>
      <c r="N63" s="19">
        <f t="shared" si="15"/>
        <v>-1</v>
      </c>
      <c r="O63" s="11"/>
      <c r="P63" s="2"/>
      <c r="Q63" s="2"/>
      <c r="R63" s="19">
        <f t="shared" si="16"/>
        <v>0</v>
      </c>
      <c r="S63" s="2"/>
      <c r="T63" s="2">
        <v>1891.21</v>
      </c>
      <c r="U63" s="2"/>
      <c r="V63" s="19">
        <f t="shared" si="17"/>
        <v>2.8922677407885416E-3</v>
      </c>
      <c r="W63" s="2"/>
      <c r="X63" s="2">
        <f t="shared" si="18"/>
        <v>-1891.21</v>
      </c>
      <c r="Y63" s="2"/>
      <c r="Z63" s="19">
        <f t="shared" si="19"/>
        <v>-1</v>
      </c>
    </row>
    <row r="64" spans="1:26" s="24" customFormat="1" hidden="1" outlineLevel="1" x14ac:dyDescent="0.25">
      <c r="A64" s="44"/>
      <c r="B64" s="11" t="str">
        <f>CONCATENATE("          ", "5082", " - ", "PURCHASES @ COST-COMPUTER HARD")</f>
        <v xml:space="preserve">          5082 - PURCHASES @ COST-COMPUTER HARD</v>
      </c>
      <c r="C64" s="11"/>
      <c r="D64" s="2"/>
      <c r="E64" s="2"/>
      <c r="F64" s="19">
        <f t="shared" si="12"/>
        <v>0</v>
      </c>
      <c r="G64" s="2"/>
      <c r="H64" s="2"/>
      <c r="I64" s="2"/>
      <c r="J64" s="19">
        <f t="shared" si="13"/>
        <v>0</v>
      </c>
      <c r="K64" s="2"/>
      <c r="L64" s="2">
        <f t="shared" si="14"/>
        <v>0</v>
      </c>
      <c r="M64" s="2"/>
      <c r="N64" s="19">
        <f t="shared" si="15"/>
        <v>0</v>
      </c>
      <c r="O64" s="11"/>
      <c r="P64" s="2"/>
      <c r="Q64" s="2"/>
      <c r="R64" s="19">
        <f t="shared" si="16"/>
        <v>0</v>
      </c>
      <c r="S64" s="2"/>
      <c r="T64" s="2">
        <v>349.6</v>
      </c>
      <c r="U64" s="2"/>
      <c r="V64" s="19">
        <f t="shared" si="17"/>
        <v>5.3465072740714896E-4</v>
      </c>
      <c r="W64" s="2"/>
      <c r="X64" s="2">
        <f t="shared" si="18"/>
        <v>-349.6</v>
      </c>
      <c r="Y64" s="2"/>
      <c r="Z64" s="19">
        <f t="shared" si="19"/>
        <v>-1</v>
      </c>
    </row>
    <row r="65" spans="1:26" s="24" customFormat="1" hidden="1" outlineLevel="1" x14ac:dyDescent="0.25">
      <c r="A65" s="44"/>
      <c r="B65" s="11" t="str">
        <f>CONCATENATE("          ", "5083", " - ", "PURCHASES @ COST-COMPUTER EQUI")</f>
        <v xml:space="preserve">          5083 - PURCHASES @ COST-COMPUTER EQUI</v>
      </c>
      <c r="C65" s="11"/>
      <c r="D65" s="2"/>
      <c r="E65" s="2"/>
      <c r="F65" s="19">
        <f t="shared" si="12"/>
        <v>0</v>
      </c>
      <c r="G65" s="2"/>
      <c r="H65" s="2">
        <v>32.96</v>
      </c>
      <c r="I65" s="2"/>
      <c r="J65" s="19">
        <f t="shared" si="13"/>
        <v>2.3900074484698149E-4</v>
      </c>
      <c r="K65" s="2"/>
      <c r="L65" s="2">
        <f t="shared" si="14"/>
        <v>-32.96</v>
      </c>
      <c r="M65" s="2"/>
      <c r="N65" s="19">
        <f t="shared" si="15"/>
        <v>-1</v>
      </c>
      <c r="O65" s="11"/>
      <c r="P65" s="2"/>
      <c r="Q65" s="2"/>
      <c r="R65" s="19">
        <f t="shared" si="16"/>
        <v>0</v>
      </c>
      <c r="S65" s="2"/>
      <c r="T65" s="2">
        <v>372.36</v>
      </c>
      <c r="U65" s="2"/>
      <c r="V65" s="19">
        <f t="shared" si="17"/>
        <v>5.6945808025550906E-4</v>
      </c>
      <c r="W65" s="2"/>
      <c r="X65" s="2">
        <f t="shared" si="18"/>
        <v>-372.36</v>
      </c>
      <c r="Y65" s="2"/>
      <c r="Z65" s="19">
        <f t="shared" si="19"/>
        <v>-1</v>
      </c>
    </row>
    <row r="66" spans="1:26" s="24" customFormat="1" hidden="1" outlineLevel="1" x14ac:dyDescent="0.25">
      <c r="A66" s="44"/>
      <c r="B66" s="11" t="str">
        <f>CONCATENATE("          ", "5086", " - ", "PURCHASES @ COST-COMPUTER SUPP")</f>
        <v xml:space="preserve">          5086 - PURCHASES @ COST-COMPUTER SUPP</v>
      </c>
      <c r="C66" s="11"/>
      <c r="D66" s="2"/>
      <c r="E66" s="2"/>
      <c r="F66" s="19">
        <f t="shared" si="12"/>
        <v>0</v>
      </c>
      <c r="G66" s="2"/>
      <c r="H66" s="2">
        <v>36.979999999999997</v>
      </c>
      <c r="I66" s="2"/>
      <c r="J66" s="19">
        <f t="shared" si="13"/>
        <v>2.6815071433377956E-4</v>
      </c>
      <c r="K66" s="2"/>
      <c r="L66" s="2">
        <f t="shared" si="14"/>
        <v>-36.979999999999997</v>
      </c>
      <c r="M66" s="2"/>
      <c r="N66" s="19">
        <f t="shared" si="15"/>
        <v>-1</v>
      </c>
      <c r="O66" s="11"/>
      <c r="P66" s="2"/>
      <c r="Q66" s="2"/>
      <c r="R66" s="19">
        <f t="shared" si="16"/>
        <v>0</v>
      </c>
      <c r="S66" s="2"/>
      <c r="T66" s="2">
        <v>416.24</v>
      </c>
      <c r="U66" s="2"/>
      <c r="V66" s="19">
        <f t="shared" si="17"/>
        <v>6.3656469901588006E-4</v>
      </c>
      <c r="W66" s="2"/>
      <c r="X66" s="2">
        <f t="shared" si="18"/>
        <v>-416.24</v>
      </c>
      <c r="Y66" s="2"/>
      <c r="Z66" s="19">
        <f t="shared" si="19"/>
        <v>-1</v>
      </c>
    </row>
    <row r="67" spans="1:26" s="24" customFormat="1" hidden="1" outlineLevel="1" x14ac:dyDescent="0.25">
      <c r="A67" s="44"/>
      <c r="B67" s="11" t="str">
        <f>CONCATENATE("          ", "5200", " - ", "PURCHASES OFFSET")</f>
        <v xml:space="preserve">          5200 - PURCHASES OFFSET</v>
      </c>
      <c r="C67" s="11"/>
      <c r="D67" s="2"/>
      <c r="E67" s="2"/>
      <c r="F67" s="19">
        <f t="shared" si="12"/>
        <v>0</v>
      </c>
      <c r="G67" s="2"/>
      <c r="H67" s="2">
        <v>-87797</v>
      </c>
      <c r="I67" s="2"/>
      <c r="J67" s="19">
        <f t="shared" si="13"/>
        <v>-0.63663678383890876</v>
      </c>
      <c r="K67" s="2"/>
      <c r="L67" s="2">
        <f t="shared" si="14"/>
        <v>87797</v>
      </c>
      <c r="M67" s="2"/>
      <c r="N67" s="19">
        <f t="shared" si="15"/>
        <v>-1</v>
      </c>
      <c r="O67" s="11"/>
      <c r="P67" s="2">
        <v>-45863.33</v>
      </c>
      <c r="Q67" s="2"/>
      <c r="R67" s="19">
        <f t="shared" si="16"/>
        <v>-2.1520036674311842</v>
      </c>
      <c r="S67" s="2"/>
      <c r="T67" s="2">
        <v>-371317</v>
      </c>
      <c r="U67" s="2"/>
      <c r="V67" s="19">
        <f t="shared" si="17"/>
        <v>-0.56786299813684293</v>
      </c>
      <c r="W67" s="2"/>
      <c r="X67" s="2">
        <f t="shared" si="18"/>
        <v>325453.67</v>
      </c>
      <c r="Y67" s="2"/>
      <c r="Z67" s="19">
        <f t="shared" si="19"/>
        <v>-0.87648470175079507</v>
      </c>
    </row>
    <row r="68" spans="1:26" s="24" customFormat="1" hidden="1" outlineLevel="1" x14ac:dyDescent="0.25">
      <c r="A68" s="44"/>
      <c r="B68" s="11" t="str">
        <f>CONCATENATE("          ", "5300", " - ", "COG$ OFFSET")</f>
        <v xml:space="preserve">          5300 - COG$ OFFSET</v>
      </c>
      <c r="C68" s="11"/>
      <c r="D68" s="2"/>
      <c r="E68" s="2"/>
      <c r="F68" s="19">
        <f t="shared" si="12"/>
        <v>0</v>
      </c>
      <c r="G68" s="2"/>
      <c r="H68" s="2">
        <v>70171</v>
      </c>
      <c r="I68" s="2"/>
      <c r="J68" s="19">
        <f t="shared" si="13"/>
        <v>0.50882649474082331</v>
      </c>
      <c r="K68" s="2"/>
      <c r="L68" s="2">
        <f t="shared" si="14"/>
        <v>-70171</v>
      </c>
      <c r="M68" s="2"/>
      <c r="N68" s="19">
        <f t="shared" si="15"/>
        <v>-1</v>
      </c>
      <c r="O68" s="11"/>
      <c r="P68" s="2">
        <v>14145</v>
      </c>
      <c r="Q68" s="2"/>
      <c r="R68" s="19">
        <f t="shared" si="16"/>
        <v>0.66371307700103988</v>
      </c>
      <c r="S68" s="2"/>
      <c r="T68" s="2">
        <v>326681</v>
      </c>
      <c r="U68" s="2"/>
      <c r="V68" s="19">
        <f t="shared" si="17"/>
        <v>0.49960021247166708</v>
      </c>
      <c r="W68" s="2"/>
      <c r="X68" s="2">
        <f t="shared" si="18"/>
        <v>-312536</v>
      </c>
      <c r="Y68" s="2"/>
      <c r="Z68" s="19">
        <f t="shared" si="19"/>
        <v>-0.95670087945120774</v>
      </c>
    </row>
    <row r="69" spans="1:26" s="24" customFormat="1" hidden="1" outlineLevel="1" x14ac:dyDescent="0.25">
      <c r="A69" s="44"/>
      <c r="B69" s="11" t="str">
        <f>CONCATENATE("          ", "5500", " - ", "FREIGHT-IN")</f>
        <v xml:space="preserve">          5500 - FREIGHT-IN</v>
      </c>
      <c r="C69" s="11"/>
      <c r="D69" s="2"/>
      <c r="E69" s="2"/>
      <c r="F69" s="19">
        <f t="shared" si="12"/>
        <v>0</v>
      </c>
      <c r="G69" s="2"/>
      <c r="H69" s="2"/>
      <c r="I69" s="2"/>
      <c r="J69" s="19">
        <f t="shared" si="13"/>
        <v>0</v>
      </c>
      <c r="K69" s="2"/>
      <c r="L69" s="2">
        <f t="shared" si="14"/>
        <v>0</v>
      </c>
      <c r="M69" s="2"/>
      <c r="N69" s="19">
        <f t="shared" si="15"/>
        <v>0</v>
      </c>
      <c r="O69" s="11"/>
      <c r="P69" s="2"/>
      <c r="Q69" s="2"/>
      <c r="R69" s="19">
        <f t="shared" si="16"/>
        <v>0</v>
      </c>
      <c r="S69" s="2"/>
      <c r="T69" s="2">
        <v>86</v>
      </c>
      <c r="U69" s="2"/>
      <c r="V69" s="19">
        <f t="shared" si="17"/>
        <v>1.3152163202807438E-4</v>
      </c>
      <c r="W69" s="2"/>
      <c r="X69" s="2">
        <f t="shared" si="18"/>
        <v>-86</v>
      </c>
      <c r="Y69" s="2"/>
      <c r="Z69" s="19">
        <f t="shared" si="19"/>
        <v>-1</v>
      </c>
    </row>
    <row r="70" spans="1:26" s="24" customFormat="1" hidden="1" outlineLevel="1" x14ac:dyDescent="0.25">
      <c r="A70" s="44"/>
      <c r="B70" s="11" t="str">
        <f>CONCATENATE("          ", "5525", " - ", "FREIGHT-IN-TEST FORMS")</f>
        <v xml:space="preserve">          5525 - FREIGHT-IN-TEST FORMS</v>
      </c>
      <c r="C70" s="11"/>
      <c r="D70" s="2"/>
      <c r="E70" s="2"/>
      <c r="F70" s="19">
        <f t="shared" si="12"/>
        <v>0</v>
      </c>
      <c r="G70" s="2"/>
      <c r="H70" s="2"/>
      <c r="I70" s="2"/>
      <c r="J70" s="19">
        <f t="shared" si="13"/>
        <v>0</v>
      </c>
      <c r="K70" s="2"/>
      <c r="L70" s="2">
        <f t="shared" si="14"/>
        <v>0</v>
      </c>
      <c r="M70" s="2"/>
      <c r="N70" s="19">
        <f t="shared" si="15"/>
        <v>0</v>
      </c>
      <c r="O70" s="11"/>
      <c r="P70" s="2"/>
      <c r="Q70" s="2"/>
      <c r="R70" s="19">
        <f t="shared" si="16"/>
        <v>0</v>
      </c>
      <c r="S70" s="2"/>
      <c r="T70" s="2">
        <v>622.41</v>
      </c>
      <c r="U70" s="2"/>
      <c r="V70" s="19">
        <f t="shared" si="17"/>
        <v>9.5186487198364856E-4</v>
      </c>
      <c r="W70" s="2"/>
      <c r="X70" s="2">
        <f t="shared" si="18"/>
        <v>-622.41</v>
      </c>
      <c r="Y70" s="2"/>
      <c r="Z70" s="19">
        <f t="shared" si="19"/>
        <v>-1</v>
      </c>
    </row>
    <row r="71" spans="1:26" s="24" customFormat="1" hidden="1" outlineLevel="1" x14ac:dyDescent="0.25">
      <c r="A71" s="44"/>
      <c r="B71" s="11" t="str">
        <f>CONCATENATE("          ", "5526", " - ", "FREIGHT-IN-WRITING INSTRUMENTS")</f>
        <v xml:space="preserve">          5526 - FREIGHT-IN-WRITING INSTRUMENTS</v>
      </c>
      <c r="C71" s="11"/>
      <c r="D71" s="2"/>
      <c r="E71" s="2"/>
      <c r="F71" s="19">
        <f t="shared" si="12"/>
        <v>0</v>
      </c>
      <c r="G71" s="2"/>
      <c r="H71" s="2"/>
      <c r="I71" s="2"/>
      <c r="J71" s="19">
        <f t="shared" si="13"/>
        <v>0</v>
      </c>
      <c r="K71" s="2"/>
      <c r="L71" s="2">
        <f t="shared" si="14"/>
        <v>0</v>
      </c>
      <c r="M71" s="2"/>
      <c r="N71" s="19">
        <f t="shared" si="15"/>
        <v>0</v>
      </c>
      <c r="O71" s="11"/>
      <c r="P71" s="2"/>
      <c r="Q71" s="2"/>
      <c r="R71" s="19">
        <f t="shared" si="16"/>
        <v>0</v>
      </c>
      <c r="S71" s="2"/>
      <c r="T71" s="2">
        <v>260.35000000000002</v>
      </c>
      <c r="U71" s="2"/>
      <c r="V71" s="19">
        <f t="shared" si="17"/>
        <v>3.9815880114545544E-4</v>
      </c>
      <c r="W71" s="2"/>
      <c r="X71" s="2">
        <f t="shared" si="18"/>
        <v>-260.35000000000002</v>
      </c>
      <c r="Y71" s="2"/>
      <c r="Z71" s="19">
        <f t="shared" si="19"/>
        <v>-1</v>
      </c>
    </row>
    <row r="72" spans="1:26" s="24" customFormat="1" hidden="1" outlineLevel="1" x14ac:dyDescent="0.25">
      <c r="A72" s="44"/>
      <c r="B72" s="11" t="str">
        <f>CONCATENATE("          ", "5527", " - ", "FREIGHT-IN-SCHOOL SUPPLIES")</f>
        <v xml:space="preserve">          5527 - FREIGHT-IN-SCHOOL SUPPLIES</v>
      </c>
      <c r="C72" s="11"/>
      <c r="D72" s="2"/>
      <c r="E72" s="2"/>
      <c r="F72" s="19">
        <f t="shared" si="12"/>
        <v>0</v>
      </c>
      <c r="G72" s="2"/>
      <c r="H72" s="2">
        <v>321.92</v>
      </c>
      <c r="I72" s="2"/>
      <c r="J72" s="19">
        <f t="shared" si="13"/>
        <v>2.3343179545248873E-3</v>
      </c>
      <c r="K72" s="2"/>
      <c r="L72" s="2">
        <f t="shared" si="14"/>
        <v>-321.92</v>
      </c>
      <c r="M72" s="2"/>
      <c r="N72" s="19">
        <f t="shared" si="15"/>
        <v>-1</v>
      </c>
      <c r="O72" s="11"/>
      <c r="P72" s="2"/>
      <c r="Q72" s="2"/>
      <c r="R72" s="19">
        <f t="shared" si="16"/>
        <v>0</v>
      </c>
      <c r="S72" s="2"/>
      <c r="T72" s="2">
        <v>1219.8399999999999</v>
      </c>
      <c r="U72" s="2"/>
      <c r="V72" s="19">
        <f t="shared" si="17"/>
        <v>1.8655272978270493E-3</v>
      </c>
      <c r="W72" s="2"/>
      <c r="X72" s="2">
        <f t="shared" si="18"/>
        <v>-1219.8399999999999</v>
      </c>
      <c r="Y72" s="2"/>
      <c r="Z72" s="19">
        <f t="shared" si="19"/>
        <v>-1</v>
      </c>
    </row>
    <row r="73" spans="1:26" s="24" customFormat="1" hidden="1" outlineLevel="1" x14ac:dyDescent="0.25">
      <c r="A73" s="44"/>
      <c r="B73" s="11" t="str">
        <f>CONCATENATE("          ", "5528", " - ", "FREIGHT-IN-ART/TECH")</f>
        <v xml:space="preserve">          5528 - FREIGHT-IN-ART/TECH</v>
      </c>
      <c r="C73" s="11"/>
      <c r="D73" s="2">
        <v>18.52</v>
      </c>
      <c r="E73" s="2"/>
      <c r="F73" s="19">
        <f t="shared" si="12"/>
        <v>0</v>
      </c>
      <c r="G73" s="2"/>
      <c r="H73" s="2">
        <v>220.82</v>
      </c>
      <c r="I73" s="2"/>
      <c r="J73" s="19">
        <f t="shared" si="13"/>
        <v>1.6012179756404869E-3</v>
      </c>
      <c r="K73" s="2"/>
      <c r="L73" s="2">
        <f t="shared" si="14"/>
        <v>-202.29999999999998</v>
      </c>
      <c r="M73" s="2"/>
      <c r="N73" s="19">
        <f t="shared" si="15"/>
        <v>-0.91613078525495872</v>
      </c>
      <c r="O73" s="11"/>
      <c r="P73" s="2">
        <v>304.79000000000002</v>
      </c>
      <c r="Q73" s="2"/>
      <c r="R73" s="19">
        <f t="shared" si="16"/>
        <v>1.4301386266464966E-2</v>
      </c>
      <c r="S73" s="2"/>
      <c r="T73" s="2">
        <v>1331.46</v>
      </c>
      <c r="U73" s="2"/>
      <c r="V73" s="19">
        <f t="shared" si="17"/>
        <v>2.0362301416290687E-3</v>
      </c>
      <c r="W73" s="2"/>
      <c r="X73" s="2">
        <f t="shared" si="18"/>
        <v>-1026.67</v>
      </c>
      <c r="Y73" s="2"/>
      <c r="Z73" s="19">
        <f t="shared" si="19"/>
        <v>-0.77108587565529574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8" t="s">
        <v>6</v>
      </c>
      <c r="C75" s="28"/>
      <c r="D75" s="20">
        <f>D12-D50</f>
        <v>-18.52</v>
      </c>
      <c r="E75" s="14"/>
      <c r="F75" s="22">
        <f>IF(D$12=0,0,D75/D$12)</f>
        <v>0</v>
      </c>
      <c r="G75" s="14"/>
      <c r="H75" s="20">
        <f>H12-H50</f>
        <v>67736.599999999991</v>
      </c>
      <c r="I75" s="14"/>
      <c r="J75" s="22">
        <f>IF(H$12=0,0,H75/H$12)</f>
        <v>0.49117408535807172</v>
      </c>
      <c r="K75" s="15"/>
      <c r="L75" s="20">
        <f>+D75-H75</f>
        <v>-67755.12</v>
      </c>
      <c r="M75" s="15"/>
      <c r="N75" s="22">
        <f>IF(H75=0,0,L75/H75)</f>
        <v>-1.0002734120106413</v>
      </c>
      <c r="O75" s="29"/>
      <c r="P75" s="20">
        <f>P12-P50</f>
        <v>7581.6600000000035</v>
      </c>
      <c r="Q75" s="14"/>
      <c r="R75" s="22">
        <f>IF(P$12=0,0,P75/P$12)</f>
        <v>0.35574739394667415</v>
      </c>
      <c r="S75" s="14"/>
      <c r="T75" s="20">
        <f>T12-T50</f>
        <v>327121.20000000019</v>
      </c>
      <c r="U75" s="14"/>
      <c r="V75" s="22">
        <f>IF(T$12=0,0,T75/T$12)</f>
        <v>0.50027341970909478</v>
      </c>
      <c r="W75" s="15"/>
      <c r="X75" s="20">
        <f>+P75-T75</f>
        <v>-319539.54000000015</v>
      </c>
      <c r="Y75" s="15"/>
      <c r="Z75" s="22">
        <f>IF(T75=0,0,X75/T75)</f>
        <v>-0.97682308575537136</v>
      </c>
    </row>
    <row r="76" spans="1:26" x14ac:dyDescent="0.25">
      <c r="A76" s="9"/>
      <c r="B76" s="10"/>
      <c r="C76" s="9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9" t="s">
        <v>9</v>
      </c>
      <c r="C77" s="10"/>
      <c r="D77" s="21">
        <f>SUM(OSRRefD22x_0)</f>
        <v>53</v>
      </c>
      <c r="E77" s="21"/>
      <c r="F77" s="35">
        <f t="shared" ref="F77:F86" si="20">IF(D$12=0,0,D77/D$12)</f>
        <v>0</v>
      </c>
      <c r="G77" s="21"/>
      <c r="H77" s="21">
        <f>SUM(OSRRefH22x_0)</f>
        <v>26692.71</v>
      </c>
      <c r="I77" s="21"/>
      <c r="J77" s="35">
        <f t="shared" ref="J77:J86" si="21">IF(H$12=0,0,H77/H$12)</f>
        <v>0.19355514478108224</v>
      </c>
      <c r="K77" s="4"/>
      <c r="L77" s="21">
        <f t="shared" ref="L77:L86" si="22">+D77-H77</f>
        <v>-26639.71</v>
      </c>
      <c r="M77" s="4"/>
      <c r="N77" s="35">
        <f t="shared" ref="N77:N86" si="23">IF(H77=0,0,L77/H77)</f>
        <v>-0.99801443914836674</v>
      </c>
      <c r="O77" s="10"/>
      <c r="P77" s="21">
        <f>SUM(OSRRefP22x_0)</f>
        <v>12480.749999999996</v>
      </c>
      <c r="Q77" s="21"/>
      <c r="R77" s="35">
        <f t="shared" ref="R77:R86" si="24">IF(P$12=0,0,P77/P$12)</f>
        <v>0.58562297531146879</v>
      </c>
      <c r="S77" s="21"/>
      <c r="T77" s="21">
        <f>SUM(OSRRefT22x_0)</f>
        <v>156941.86999999997</v>
      </c>
      <c r="U77" s="21"/>
      <c r="V77" s="35">
        <f t="shared" ref="V77:V86" si="25">IF(T$12=0,0,T77/T$12)</f>
        <v>0.24001454506904515</v>
      </c>
      <c r="W77" s="4"/>
      <c r="X77" s="21">
        <f t="shared" ref="X77:X86" si="26">+P77-T77</f>
        <v>-144461.11999999997</v>
      </c>
      <c r="Y77" s="4"/>
      <c r="Z77" s="35">
        <f t="shared" ref="Z77:Z86" si="27">IF(T77=0,0,X77/T77)</f>
        <v>-0.92047533268209436</v>
      </c>
    </row>
    <row r="78" spans="1:26" s="26" customFormat="1" outlineLevel="1" collapsed="1" x14ac:dyDescent="0.25">
      <c r="A78" s="27"/>
      <c r="B78" s="13" t="str">
        <f>CONCATENATE("     ","*Benefits                                         ")</f>
        <v xml:space="preserve">     *Benefits                                         </v>
      </c>
      <c r="C78" s="13"/>
      <c r="D78" s="1">
        <f>SUM(OSRRefD22_0x_0)</f>
        <v>0</v>
      </c>
      <c r="E78" s="1"/>
      <c r="F78" s="5">
        <f t="shared" si="20"/>
        <v>0</v>
      </c>
      <c r="G78" s="1"/>
      <c r="H78" s="1">
        <f>SUM(OSRRefH22_0x_0)</f>
        <v>4503.6000000000004</v>
      </c>
      <c r="I78" s="1"/>
      <c r="J78" s="5">
        <f t="shared" si="21"/>
        <v>3.2656667308642778E-2</v>
      </c>
      <c r="K78" s="1"/>
      <c r="L78" s="1">
        <f t="shared" si="22"/>
        <v>-4503.6000000000004</v>
      </c>
      <c r="M78" s="1"/>
      <c r="N78" s="5">
        <f t="shared" si="23"/>
        <v>-1</v>
      </c>
      <c r="O78" s="13"/>
      <c r="P78" s="1">
        <f>SUM(OSRRefP22_0x_0)</f>
        <v>778.2</v>
      </c>
      <c r="Q78" s="1"/>
      <c r="R78" s="5">
        <f t="shared" si="24"/>
        <v>3.6514776707119778E-2</v>
      </c>
      <c r="S78" s="1"/>
      <c r="T78" s="1">
        <f>SUM(OSRRefT22_0x_0)</f>
        <v>26747.590000000004</v>
      </c>
      <c r="U78" s="1"/>
      <c r="V78" s="5">
        <f t="shared" si="25"/>
        <v>4.0905659181602355E-2</v>
      </c>
      <c r="W78" s="1"/>
      <c r="X78" s="1">
        <f t="shared" si="26"/>
        <v>-25969.390000000003</v>
      </c>
      <c r="Y78" s="1"/>
      <c r="Z78" s="5">
        <f t="shared" si="27"/>
        <v>-0.97090579001696975</v>
      </c>
    </row>
    <row r="79" spans="1:26" s="24" customFormat="1" hidden="1" outlineLevel="2" x14ac:dyDescent="0.25">
      <c r="A79" s="25"/>
      <c r="B79" s="11" t="str">
        <f>CONCATENATE("          ", "6111", " - ", "F.I.C.A.")</f>
        <v xml:space="preserve">          6111 - F.I.C.A.</v>
      </c>
      <c r="C79" s="11"/>
      <c r="D79" s="6"/>
      <c r="E79" s="2"/>
      <c r="F79" s="7">
        <f t="shared" si="20"/>
        <v>0</v>
      </c>
      <c r="G79" s="2"/>
      <c r="H79" s="6">
        <v>508.91</v>
      </c>
      <c r="I79" s="2"/>
      <c r="J79" s="7">
        <f t="shared" si="21"/>
        <v>3.6902266098324441E-3</v>
      </c>
      <c r="K79" s="2"/>
      <c r="L79" s="6">
        <f t="shared" si="22"/>
        <v>-508.91</v>
      </c>
      <c r="M79" s="2"/>
      <c r="N79" s="7">
        <f t="shared" si="23"/>
        <v>-1</v>
      </c>
      <c r="O79" s="11"/>
      <c r="P79" s="6">
        <v>484.61</v>
      </c>
      <c r="Q79" s="2"/>
      <c r="R79" s="7">
        <f t="shared" si="24"/>
        <v>2.2738917938881154E-2</v>
      </c>
      <c r="S79" s="2"/>
      <c r="T79" s="6">
        <v>3956.01</v>
      </c>
      <c r="U79" s="2"/>
      <c r="V79" s="7">
        <f t="shared" si="25"/>
        <v>6.0500103665044489E-3</v>
      </c>
      <c r="W79" s="2"/>
      <c r="X79" s="6">
        <f t="shared" si="26"/>
        <v>-3471.4</v>
      </c>
      <c r="Y79" s="2"/>
      <c r="Z79" s="7">
        <f t="shared" si="27"/>
        <v>-0.87750030965543557</v>
      </c>
    </row>
    <row r="80" spans="1:26" s="24" customFormat="1" hidden="1" outlineLevel="2" x14ac:dyDescent="0.25">
      <c r="A80" s="25"/>
      <c r="B80" s="11" t="str">
        <f>CONCATENATE("          ", "6112", " - ", "COMPENSATION INSURANCE")</f>
        <v xml:space="preserve">          6112 - COMPENSATION INSURANCE</v>
      </c>
      <c r="C80" s="11"/>
      <c r="D80" s="6"/>
      <c r="E80" s="2"/>
      <c r="F80" s="7">
        <f t="shared" si="20"/>
        <v>0</v>
      </c>
      <c r="G80" s="2"/>
      <c r="H80" s="6">
        <v>233.57</v>
      </c>
      <c r="I80" s="2"/>
      <c r="J80" s="7">
        <f t="shared" si="21"/>
        <v>1.6936712370724959E-3</v>
      </c>
      <c r="K80" s="2"/>
      <c r="L80" s="6">
        <f t="shared" si="22"/>
        <v>-233.57</v>
      </c>
      <c r="M80" s="2"/>
      <c r="N80" s="7">
        <f t="shared" si="23"/>
        <v>-1</v>
      </c>
      <c r="O80" s="11"/>
      <c r="P80" s="6">
        <v>255.57</v>
      </c>
      <c r="Q80" s="2"/>
      <c r="R80" s="7">
        <f t="shared" si="24"/>
        <v>1.1991880600152403E-2</v>
      </c>
      <c r="S80" s="2"/>
      <c r="T80" s="6">
        <v>1749.42</v>
      </c>
      <c r="U80" s="2"/>
      <c r="V80" s="7">
        <f t="shared" si="25"/>
        <v>2.6754252732855105E-3</v>
      </c>
      <c r="W80" s="2"/>
      <c r="X80" s="6">
        <f t="shared" si="26"/>
        <v>-1493.8500000000001</v>
      </c>
      <c r="Y80" s="2"/>
      <c r="Z80" s="7">
        <f t="shared" si="27"/>
        <v>-0.85391158212436125</v>
      </c>
    </row>
    <row r="81" spans="1:26" s="24" customFormat="1" hidden="1" outlineLevel="2" x14ac:dyDescent="0.25">
      <c r="A81" s="25"/>
      <c r="B81" s="11" t="str">
        <f>CONCATENATE("          ", "6113", " - ", "GROUP INSURANCE")</f>
        <v xml:space="preserve">          6113 - GROUP INSURANCE</v>
      </c>
      <c r="C81" s="11"/>
      <c r="D81" s="6"/>
      <c r="E81" s="2"/>
      <c r="F81" s="7">
        <f t="shared" si="20"/>
        <v>0</v>
      </c>
      <c r="G81" s="2"/>
      <c r="H81" s="6">
        <v>2240.4499999999998</v>
      </c>
      <c r="I81" s="2"/>
      <c r="J81" s="7">
        <f t="shared" si="21"/>
        <v>1.6246032123556419E-2</v>
      </c>
      <c r="K81" s="2"/>
      <c r="L81" s="6">
        <f t="shared" si="22"/>
        <v>-2240.4499999999998</v>
      </c>
      <c r="M81" s="2"/>
      <c r="N81" s="7">
        <f t="shared" si="23"/>
        <v>-1</v>
      </c>
      <c r="O81" s="11"/>
      <c r="P81" s="6"/>
      <c r="Q81" s="2"/>
      <c r="R81" s="7">
        <f t="shared" si="24"/>
        <v>0</v>
      </c>
      <c r="S81" s="2"/>
      <c r="T81" s="6">
        <v>12320.69</v>
      </c>
      <c r="U81" s="2"/>
      <c r="V81" s="7">
        <f t="shared" si="25"/>
        <v>1.8842293680371814E-2</v>
      </c>
      <c r="W81" s="2"/>
      <c r="X81" s="6">
        <f t="shared" si="26"/>
        <v>-12320.69</v>
      </c>
      <c r="Y81" s="2"/>
      <c r="Z81" s="7">
        <f t="shared" si="27"/>
        <v>-1</v>
      </c>
    </row>
    <row r="82" spans="1:26" s="24" customFormat="1" hidden="1" outlineLevel="2" x14ac:dyDescent="0.25">
      <c r="A82" s="25"/>
      <c r="B82" s="11" t="str">
        <f>CONCATENATE("          ", "6114", " - ", "STATE UNEMPLOYMENT INSURANCE")</f>
        <v xml:space="preserve">          6114 - STATE UNEMPLOYMENT INSURANCE</v>
      </c>
      <c r="C82" s="11"/>
      <c r="D82" s="6"/>
      <c r="E82" s="2"/>
      <c r="F82" s="7">
        <f t="shared" si="20"/>
        <v>0</v>
      </c>
      <c r="G82" s="2"/>
      <c r="H82" s="6">
        <v>31.97</v>
      </c>
      <c r="I82" s="2"/>
      <c r="J82" s="7">
        <f t="shared" si="21"/>
        <v>2.3182202101814314E-4</v>
      </c>
      <c r="K82" s="2"/>
      <c r="L82" s="6">
        <f t="shared" si="22"/>
        <v>-31.97</v>
      </c>
      <c r="M82" s="2"/>
      <c r="N82" s="7">
        <f t="shared" si="23"/>
        <v>-1</v>
      </c>
      <c r="O82" s="11"/>
      <c r="P82" s="6">
        <v>38.020000000000003</v>
      </c>
      <c r="Q82" s="2"/>
      <c r="R82" s="7">
        <f t="shared" si="24"/>
        <v>1.7839781680862169E-3</v>
      </c>
      <c r="S82" s="2"/>
      <c r="T82" s="6">
        <v>281.37</v>
      </c>
      <c r="U82" s="2"/>
      <c r="V82" s="7">
        <f t="shared" si="25"/>
        <v>4.3030513492720105E-4</v>
      </c>
      <c r="W82" s="2"/>
      <c r="X82" s="6">
        <f t="shared" si="26"/>
        <v>-243.35</v>
      </c>
      <c r="Y82" s="2"/>
      <c r="Z82" s="7">
        <f t="shared" si="27"/>
        <v>-0.86487543092724883</v>
      </c>
    </row>
    <row r="83" spans="1:26" s="24" customFormat="1" hidden="1" outlineLevel="2" x14ac:dyDescent="0.25">
      <c r="A83" s="25"/>
      <c r="B83" s="11" t="str">
        <f>CONCATENATE("          ", "6115", " - ", "P.E.R.S.")</f>
        <v xml:space="preserve">          6115 - P.E.R.S.</v>
      </c>
      <c r="C83" s="11"/>
      <c r="D83" s="6"/>
      <c r="E83" s="2"/>
      <c r="F83" s="7">
        <f t="shared" si="20"/>
        <v>0</v>
      </c>
      <c r="G83" s="2"/>
      <c r="H83" s="6">
        <v>593.26</v>
      </c>
      <c r="I83" s="2"/>
      <c r="J83" s="7">
        <f t="shared" si="21"/>
        <v>4.3018683825218514E-3</v>
      </c>
      <c r="K83" s="2"/>
      <c r="L83" s="6">
        <f t="shared" si="22"/>
        <v>-593.26</v>
      </c>
      <c r="M83" s="2"/>
      <c r="N83" s="7">
        <f t="shared" si="23"/>
        <v>-1</v>
      </c>
      <c r="O83" s="11"/>
      <c r="P83" s="6"/>
      <c r="Q83" s="2"/>
      <c r="R83" s="7">
        <f t="shared" si="24"/>
        <v>0</v>
      </c>
      <c r="S83" s="2"/>
      <c r="T83" s="6">
        <v>2863.9</v>
      </c>
      <c r="U83" s="2"/>
      <c r="V83" s="7">
        <f t="shared" si="25"/>
        <v>4.3798232786651427E-3</v>
      </c>
      <c r="W83" s="2"/>
      <c r="X83" s="6">
        <f t="shared" si="26"/>
        <v>-2863.9</v>
      </c>
      <c r="Y83" s="2"/>
      <c r="Z83" s="7">
        <f t="shared" si="27"/>
        <v>-1</v>
      </c>
    </row>
    <row r="84" spans="1:26" s="24" customFormat="1" hidden="1" outlineLevel="2" x14ac:dyDescent="0.25">
      <c r="A84" s="25"/>
      <c r="B84" s="11" t="str">
        <f>CONCATENATE("          ", "6118", " - ", "VACATION")</f>
        <v xml:space="preserve">          6118 - VACATION</v>
      </c>
      <c r="C84" s="11"/>
      <c r="D84" s="6"/>
      <c r="E84" s="2"/>
      <c r="F84" s="7">
        <f t="shared" si="20"/>
        <v>0</v>
      </c>
      <c r="G84" s="2"/>
      <c r="H84" s="6">
        <v>281.82</v>
      </c>
      <c r="I84" s="2"/>
      <c r="J84" s="7">
        <f t="shared" si="21"/>
        <v>2.0435433832759805E-3</v>
      </c>
      <c r="K84" s="2"/>
      <c r="L84" s="6">
        <f t="shared" si="22"/>
        <v>-281.82</v>
      </c>
      <c r="M84" s="2"/>
      <c r="N84" s="7">
        <f t="shared" si="23"/>
        <v>-1</v>
      </c>
      <c r="O84" s="11"/>
      <c r="P84" s="6"/>
      <c r="Q84" s="2"/>
      <c r="R84" s="7">
        <f t="shared" si="24"/>
        <v>0</v>
      </c>
      <c r="S84" s="2"/>
      <c r="T84" s="6">
        <v>2529</v>
      </c>
      <c r="U84" s="2"/>
      <c r="V84" s="7">
        <f t="shared" si="25"/>
        <v>3.8676535744069781E-3</v>
      </c>
      <c r="W84" s="2"/>
      <c r="X84" s="6">
        <f t="shared" si="26"/>
        <v>-2529</v>
      </c>
      <c r="Y84" s="2"/>
      <c r="Z84" s="7">
        <f t="shared" si="27"/>
        <v>-1</v>
      </c>
    </row>
    <row r="85" spans="1:26" s="24" customFormat="1" hidden="1" outlineLevel="2" x14ac:dyDescent="0.25">
      <c r="A85" s="25"/>
      <c r="B85" s="11" t="str">
        <f>CONCATENATE("          ", "6119", " - ", "SICK LEAVE")</f>
        <v xml:space="preserve">          6119 - SICK LEAVE</v>
      </c>
      <c r="C85" s="11"/>
      <c r="D85" s="6"/>
      <c r="E85" s="2"/>
      <c r="F85" s="7">
        <f t="shared" si="20"/>
        <v>0</v>
      </c>
      <c r="G85" s="2"/>
      <c r="H85" s="6">
        <v>263.62</v>
      </c>
      <c r="I85" s="2"/>
      <c r="J85" s="7">
        <f t="shared" si="21"/>
        <v>1.9115708846044071E-3</v>
      </c>
      <c r="K85" s="2"/>
      <c r="L85" s="6">
        <f t="shared" si="22"/>
        <v>-263.62</v>
      </c>
      <c r="M85" s="2"/>
      <c r="N85" s="7">
        <f t="shared" si="23"/>
        <v>-1</v>
      </c>
      <c r="O85" s="11"/>
      <c r="P85" s="6"/>
      <c r="Q85" s="2"/>
      <c r="R85" s="7">
        <f t="shared" si="24"/>
        <v>0</v>
      </c>
      <c r="S85" s="2"/>
      <c r="T85" s="6">
        <v>1745.14</v>
      </c>
      <c r="U85" s="2"/>
      <c r="V85" s="7">
        <f t="shared" si="25"/>
        <v>2.6688797781101599E-3</v>
      </c>
      <c r="W85" s="2"/>
      <c r="X85" s="6">
        <f t="shared" si="26"/>
        <v>-1745.14</v>
      </c>
      <c r="Y85" s="2"/>
      <c r="Z85" s="7">
        <f t="shared" si="27"/>
        <v>-1</v>
      </c>
    </row>
    <row r="86" spans="1:26" s="24" customFormat="1" hidden="1" outlineLevel="2" x14ac:dyDescent="0.25">
      <c r="A86" s="25"/>
      <c r="B86" s="11" t="str">
        <f>CONCATENATE("          ", "6156", " - ", "EMPLOYEE MEALS")</f>
        <v xml:space="preserve">          6156 - EMPLOYEE MEALS</v>
      </c>
      <c r="C86" s="11"/>
      <c r="D86" s="6"/>
      <c r="E86" s="2"/>
      <c r="F86" s="7">
        <f t="shared" si="20"/>
        <v>0</v>
      </c>
      <c r="G86" s="2"/>
      <c r="H86" s="6">
        <v>350</v>
      </c>
      <c r="I86" s="2"/>
      <c r="J86" s="7">
        <f t="shared" si="21"/>
        <v>2.5379326667610289E-3</v>
      </c>
      <c r="K86" s="2"/>
      <c r="L86" s="6">
        <f t="shared" si="22"/>
        <v>-350</v>
      </c>
      <c r="M86" s="2"/>
      <c r="N86" s="7">
        <f t="shared" si="23"/>
        <v>-1</v>
      </c>
      <c r="O86" s="11"/>
      <c r="P86" s="6"/>
      <c r="Q86" s="2"/>
      <c r="R86" s="7">
        <f t="shared" si="24"/>
        <v>0</v>
      </c>
      <c r="S86" s="2"/>
      <c r="T86" s="6">
        <v>1302.06</v>
      </c>
      <c r="U86" s="2"/>
      <c r="V86" s="7">
        <f t="shared" si="25"/>
        <v>1.9912680953310989E-3</v>
      </c>
      <c r="W86" s="2"/>
      <c r="X86" s="6">
        <f t="shared" si="26"/>
        <v>-1302.06</v>
      </c>
      <c r="Y86" s="2"/>
      <c r="Z86" s="7">
        <f t="shared" si="27"/>
        <v>-1</v>
      </c>
    </row>
    <row r="87" spans="1:26" s="26" customFormat="1" outlineLevel="1" collapsed="1" x14ac:dyDescent="0.25">
      <c r="A87" s="27"/>
      <c r="B87" s="13" t="str">
        <f>CONCATENATE("     ","*Payroll                                          ")</f>
        <v xml:space="preserve">     *Payroll                                          </v>
      </c>
      <c r="C87" s="13"/>
      <c r="D87" s="1">
        <f>SUM(OSRRefD22_1x_0)</f>
        <v>0</v>
      </c>
      <c r="E87" s="1"/>
      <c r="F87" s="5">
        <f t="shared" ref="F87:F92" si="28">IF(D$12=0,0,D87/D$12)</f>
        <v>0</v>
      </c>
      <c r="G87" s="1"/>
      <c r="H87" s="1">
        <f>SUM(OSRRefH22_1x_0)</f>
        <v>18220.940000000002</v>
      </c>
      <c r="I87" s="1"/>
      <c r="J87" s="5">
        <f t="shared" ref="J87:J92" si="29">IF(H$12=0,0,H87/H$12)</f>
        <v>0.13212433955740774</v>
      </c>
      <c r="K87" s="1"/>
      <c r="L87" s="1">
        <f t="shared" ref="L87:L92" si="30">+D87-H87</f>
        <v>-18220.940000000002</v>
      </c>
      <c r="M87" s="1"/>
      <c r="N87" s="5">
        <f t="shared" ref="N87:N92" si="31">IF(H87=0,0,L87/H87)</f>
        <v>-1</v>
      </c>
      <c r="O87" s="13"/>
      <c r="P87" s="1">
        <f>SUM(OSRRefP22_1x_0)</f>
        <v>8152.5399999999991</v>
      </c>
      <c r="Q87" s="1"/>
      <c r="R87" s="5">
        <f t="shared" ref="R87:R92" si="32">IF(P$12=0,0,P87/P$12)</f>
        <v>0.38253428128483963</v>
      </c>
      <c r="S87" s="1"/>
      <c r="T87" s="1">
        <f>SUM(OSRRefT22_1x_0)</f>
        <v>107768.93000000001</v>
      </c>
      <c r="U87" s="1"/>
      <c r="V87" s="5">
        <f t="shared" ref="V87:V92" si="33">IF(T$12=0,0,T87/T$12)</f>
        <v>0.16481332041301519</v>
      </c>
      <c r="W87" s="1"/>
      <c r="X87" s="1">
        <f t="shared" ref="X87:X92" si="34">+P87-T87</f>
        <v>-99616.390000000014</v>
      </c>
      <c r="Y87" s="1"/>
      <c r="Z87" s="5">
        <f t="shared" ref="Z87:Z92" si="35">IF(T87=0,0,X87/T87)</f>
        <v>-0.92435166610636299</v>
      </c>
    </row>
    <row r="88" spans="1:26" s="24" customFormat="1" hidden="1" outlineLevel="2" x14ac:dyDescent="0.25">
      <c r="A88" s="25"/>
      <c r="B88" s="11" t="str">
        <f>CONCATENATE("          ", "6002", " - ", "STAFF SALARIES")</f>
        <v xml:space="preserve">          6002 - STAFF SALARIES</v>
      </c>
      <c r="C88" s="11"/>
      <c r="D88" s="6"/>
      <c r="E88" s="2"/>
      <c r="F88" s="7">
        <f t="shared" si="28"/>
        <v>0</v>
      </c>
      <c r="G88" s="2"/>
      <c r="H88" s="6">
        <v>7374.5</v>
      </c>
      <c r="I88" s="2"/>
      <c r="J88" s="7">
        <f t="shared" si="29"/>
        <v>5.3474241288654883E-2</v>
      </c>
      <c r="K88" s="2"/>
      <c r="L88" s="6">
        <f t="shared" si="30"/>
        <v>-7374.5</v>
      </c>
      <c r="M88" s="2"/>
      <c r="N88" s="7">
        <f t="shared" si="31"/>
        <v>-1</v>
      </c>
      <c r="O88" s="11"/>
      <c r="P88" s="6"/>
      <c r="Q88" s="2"/>
      <c r="R88" s="7">
        <f t="shared" si="32"/>
        <v>0</v>
      </c>
      <c r="S88" s="2"/>
      <c r="T88" s="6">
        <v>37436.230000000003</v>
      </c>
      <c r="U88" s="2"/>
      <c r="V88" s="7">
        <f t="shared" si="33"/>
        <v>5.7252024029980926E-2</v>
      </c>
      <c r="W88" s="2"/>
      <c r="X88" s="6">
        <f t="shared" si="34"/>
        <v>-37436.230000000003</v>
      </c>
      <c r="Y88" s="2"/>
      <c r="Z88" s="7">
        <f t="shared" si="35"/>
        <v>-1</v>
      </c>
    </row>
    <row r="89" spans="1:26" s="24" customFormat="1" hidden="1" outlineLevel="2" x14ac:dyDescent="0.25">
      <c r="A89" s="25"/>
      <c r="B89" s="11" t="str">
        <f>CONCATENATE("          ", "6004", " - ", "STAFF HOURLY")</f>
        <v xml:space="preserve">          6004 - STAFF HOURLY</v>
      </c>
      <c r="C89" s="11"/>
      <c r="D89" s="6"/>
      <c r="E89" s="2"/>
      <c r="F89" s="7">
        <f t="shared" si="28"/>
        <v>0</v>
      </c>
      <c r="G89" s="2"/>
      <c r="H89" s="6"/>
      <c r="I89" s="2"/>
      <c r="J89" s="7">
        <f t="shared" si="29"/>
        <v>0</v>
      </c>
      <c r="K89" s="2"/>
      <c r="L89" s="6">
        <f t="shared" si="30"/>
        <v>0</v>
      </c>
      <c r="M89" s="2"/>
      <c r="N89" s="7">
        <f t="shared" si="31"/>
        <v>0</v>
      </c>
      <c r="O89" s="11"/>
      <c r="P89" s="6"/>
      <c r="Q89" s="2"/>
      <c r="R89" s="7">
        <f t="shared" si="32"/>
        <v>0</v>
      </c>
      <c r="S89" s="2"/>
      <c r="T89" s="6">
        <v>-48</v>
      </c>
      <c r="U89" s="2"/>
      <c r="V89" s="7">
        <f t="shared" si="33"/>
        <v>-7.3407422527297327E-5</v>
      </c>
      <c r="W89" s="2"/>
      <c r="X89" s="6">
        <f t="shared" si="34"/>
        <v>48</v>
      </c>
      <c r="Y89" s="2"/>
      <c r="Z89" s="7">
        <f t="shared" si="35"/>
        <v>-1</v>
      </c>
    </row>
    <row r="90" spans="1:26" s="24" customFormat="1" hidden="1" outlineLevel="2" x14ac:dyDescent="0.25">
      <c r="A90" s="25"/>
      <c r="B90" s="11" t="str">
        <f>CONCATENATE("          ", "6005", " - ", "TEMPORARY WAGES-HOURLY")</f>
        <v xml:space="preserve">          6005 - TEMPORARY WAGES-HOURLY</v>
      </c>
      <c r="C90" s="11"/>
      <c r="D90" s="6"/>
      <c r="E90" s="2"/>
      <c r="F90" s="7">
        <f t="shared" si="28"/>
        <v>0</v>
      </c>
      <c r="G90" s="2"/>
      <c r="H90" s="6">
        <v>937.07</v>
      </c>
      <c r="I90" s="2"/>
      <c r="J90" s="7">
        <f t="shared" si="29"/>
        <v>6.7949158972621651E-3</v>
      </c>
      <c r="K90" s="2"/>
      <c r="L90" s="6">
        <f t="shared" si="30"/>
        <v>-937.07</v>
      </c>
      <c r="M90" s="2"/>
      <c r="N90" s="7">
        <f t="shared" si="31"/>
        <v>-1</v>
      </c>
      <c r="O90" s="11"/>
      <c r="P90" s="6">
        <v>5379.19</v>
      </c>
      <c r="Q90" s="2"/>
      <c r="R90" s="7">
        <f t="shared" si="32"/>
        <v>0.25240288064144384</v>
      </c>
      <c r="S90" s="2"/>
      <c r="T90" s="6">
        <v>3713.84</v>
      </c>
      <c r="U90" s="2"/>
      <c r="V90" s="7">
        <f t="shared" si="33"/>
        <v>5.6796546266412069E-3</v>
      </c>
      <c r="W90" s="2"/>
      <c r="X90" s="6">
        <f t="shared" si="34"/>
        <v>1665.3499999999995</v>
      </c>
      <c r="Y90" s="2"/>
      <c r="Z90" s="7">
        <f t="shared" si="35"/>
        <v>0.44841727161105471</v>
      </c>
    </row>
    <row r="91" spans="1:26" s="24" customFormat="1" hidden="1" outlineLevel="2" x14ac:dyDescent="0.25">
      <c r="A91" s="25"/>
      <c r="B91" s="11" t="str">
        <f>CONCATENATE("          ", "6006", " - ", "TEMPORARY PART TIME")</f>
        <v xml:space="preserve">          6006 - TEMPORARY PART TIME</v>
      </c>
      <c r="C91" s="11"/>
      <c r="D91" s="6"/>
      <c r="E91" s="2"/>
      <c r="F91" s="7">
        <f t="shared" si="28"/>
        <v>0</v>
      </c>
      <c r="G91" s="2"/>
      <c r="H91" s="6"/>
      <c r="I91" s="2"/>
      <c r="J91" s="7">
        <f t="shared" si="29"/>
        <v>0</v>
      </c>
      <c r="K91" s="2"/>
      <c r="L91" s="6">
        <f t="shared" si="30"/>
        <v>0</v>
      </c>
      <c r="M91" s="2"/>
      <c r="N91" s="7">
        <f t="shared" si="31"/>
        <v>0</v>
      </c>
      <c r="O91" s="11"/>
      <c r="P91" s="6"/>
      <c r="Q91" s="2"/>
      <c r="R91" s="7">
        <f t="shared" si="32"/>
        <v>0</v>
      </c>
      <c r="S91" s="2"/>
      <c r="T91" s="6">
        <v>25.5</v>
      </c>
      <c r="U91" s="2"/>
      <c r="V91" s="7">
        <f t="shared" si="33"/>
        <v>3.8997693217626707E-5</v>
      </c>
      <c r="W91" s="2"/>
      <c r="X91" s="6">
        <f t="shared" si="34"/>
        <v>-25.5</v>
      </c>
      <c r="Y91" s="2"/>
      <c r="Z91" s="7">
        <f t="shared" si="35"/>
        <v>-1</v>
      </c>
    </row>
    <row r="92" spans="1:26" s="24" customFormat="1" hidden="1" outlineLevel="2" x14ac:dyDescent="0.25">
      <c r="A92" s="25"/>
      <c r="B92" s="11" t="str">
        <f>CONCATENATE("          ", "6007", " - ", "STUDENT HOURLY")</f>
        <v xml:space="preserve">          6007 - STUDENT HOURLY</v>
      </c>
      <c r="C92" s="11"/>
      <c r="D92" s="6"/>
      <c r="E92" s="2"/>
      <c r="F92" s="7">
        <f t="shared" si="28"/>
        <v>0</v>
      </c>
      <c r="G92" s="2"/>
      <c r="H92" s="6">
        <v>9909.3700000000008</v>
      </c>
      <c r="I92" s="2"/>
      <c r="J92" s="7">
        <f t="shared" si="29"/>
        <v>7.1855182371490689E-2</v>
      </c>
      <c r="K92" s="2"/>
      <c r="L92" s="6">
        <f t="shared" si="30"/>
        <v>-9909.3700000000008</v>
      </c>
      <c r="M92" s="2"/>
      <c r="N92" s="7">
        <f t="shared" si="31"/>
        <v>-1</v>
      </c>
      <c r="O92" s="11"/>
      <c r="P92" s="6">
        <v>2773.35</v>
      </c>
      <c r="Q92" s="2"/>
      <c r="R92" s="7">
        <f t="shared" si="32"/>
        <v>0.13013140064339582</v>
      </c>
      <c r="S92" s="2"/>
      <c r="T92" s="6">
        <v>66641.36</v>
      </c>
      <c r="U92" s="2"/>
      <c r="V92" s="7">
        <f t="shared" si="33"/>
        <v>0.10191605148570274</v>
      </c>
      <c r="W92" s="2"/>
      <c r="X92" s="6">
        <f t="shared" si="34"/>
        <v>-63868.01</v>
      </c>
      <c r="Y92" s="2"/>
      <c r="Z92" s="7">
        <f t="shared" si="35"/>
        <v>-0.95838395254838737</v>
      </c>
    </row>
    <row r="93" spans="1:26" s="26" customFormat="1" outlineLevel="1" collapsed="1" x14ac:dyDescent="0.25">
      <c r="A93" s="27"/>
      <c r="B93" s="13" t="str">
        <f>CONCATENATE("     ","Advertising/Promo                                 ")</f>
        <v xml:space="preserve">     Advertising/Promo                                 </v>
      </c>
      <c r="C93" s="13"/>
      <c r="D93" s="1">
        <f>SUM(OSRRefD22_2x_0)</f>
        <v>0</v>
      </c>
      <c r="E93" s="1"/>
      <c r="F93" s="5">
        <f t="shared" ref="F93:F99" si="36">IF(D$12=0,0,D93/D$12)</f>
        <v>0</v>
      </c>
      <c r="G93" s="1"/>
      <c r="H93" s="1">
        <f>SUM(OSRRefH22_2x_0)</f>
        <v>30.64</v>
      </c>
      <c r="I93" s="1"/>
      <c r="J93" s="5">
        <f t="shared" ref="J93:J99" si="37">IF(H$12=0,0,H93/H$12)</f>
        <v>2.2217787688445122E-4</v>
      </c>
      <c r="K93" s="1"/>
      <c r="L93" s="1">
        <f t="shared" ref="L93:L99" si="38">+D93-H93</f>
        <v>-30.64</v>
      </c>
      <c r="M93" s="1"/>
      <c r="N93" s="5">
        <f t="shared" ref="N93:N99" si="39">IF(H93=0,0,L93/H93)</f>
        <v>-1</v>
      </c>
      <c r="O93" s="13"/>
      <c r="P93" s="1">
        <f>SUM(OSRRefP22_2x_0)</f>
        <v>124.72</v>
      </c>
      <c r="Q93" s="1"/>
      <c r="R93" s="5">
        <f t="shared" ref="R93:R99" si="40">IF(P$12=0,0,P93/P$12)</f>
        <v>5.8521240695347957E-3</v>
      </c>
      <c r="S93" s="1"/>
      <c r="T93" s="1">
        <f>SUM(OSRRefT22_2x_0)</f>
        <v>2134.63</v>
      </c>
      <c r="U93" s="1"/>
      <c r="V93" s="5">
        <f t="shared" ref="V93:V99" si="41">IF(T$12=0,0,T93/T$12)</f>
        <v>3.2645351322800982E-3</v>
      </c>
      <c r="W93" s="1"/>
      <c r="X93" s="1">
        <f t="shared" ref="X93:X99" si="42">+P93-T93</f>
        <v>-2009.91</v>
      </c>
      <c r="Y93" s="1"/>
      <c r="Z93" s="5">
        <f t="shared" ref="Z93:Z99" si="43">IF(T93=0,0,X93/T93)</f>
        <v>-0.94157301265324667</v>
      </c>
    </row>
    <row r="94" spans="1:26" s="24" customFormat="1" hidden="1" outlineLevel="2" x14ac:dyDescent="0.25">
      <c r="A94" s="25"/>
      <c r="B94" s="11" t="str">
        <f>CONCATENATE("          ", "6362", " - ", "ADVERTISING EXPENSE")</f>
        <v xml:space="preserve">          6362 - ADVERTISING EXPENSE</v>
      </c>
      <c r="C94" s="11"/>
      <c r="D94" s="6"/>
      <c r="E94" s="2"/>
      <c r="F94" s="7">
        <f t="shared" si="36"/>
        <v>0</v>
      </c>
      <c r="G94" s="2"/>
      <c r="H94" s="6">
        <v>30.64</v>
      </c>
      <c r="I94" s="2"/>
      <c r="J94" s="7">
        <f t="shared" si="37"/>
        <v>2.2217787688445122E-4</v>
      </c>
      <c r="K94" s="2"/>
      <c r="L94" s="6">
        <f t="shared" si="38"/>
        <v>-30.64</v>
      </c>
      <c r="M94" s="2"/>
      <c r="N94" s="7">
        <f t="shared" si="39"/>
        <v>-1</v>
      </c>
      <c r="O94" s="11"/>
      <c r="P94" s="6">
        <v>124.72</v>
      </c>
      <c r="Q94" s="2"/>
      <c r="R94" s="7">
        <f t="shared" si="40"/>
        <v>5.8521240695347957E-3</v>
      </c>
      <c r="S94" s="2"/>
      <c r="T94" s="6">
        <v>2134.63</v>
      </c>
      <c r="U94" s="2"/>
      <c r="V94" s="7">
        <f t="shared" si="41"/>
        <v>3.2645351322800982E-3</v>
      </c>
      <c r="W94" s="2"/>
      <c r="X94" s="6">
        <f t="shared" si="42"/>
        <v>-2009.91</v>
      </c>
      <c r="Y94" s="2"/>
      <c r="Z94" s="7">
        <f t="shared" si="43"/>
        <v>-0.94157301265324667</v>
      </c>
    </row>
    <row r="95" spans="1:26" s="26" customFormat="1" outlineLevel="1" collapsed="1" x14ac:dyDescent="0.25">
      <c r="A95" s="27"/>
      <c r="B95" s="13" t="str">
        <f>CONCATENATE("     ","Bad Debts/Over/Short                              ")</f>
        <v xml:space="preserve">     Bad Debts/Over/Short                              </v>
      </c>
      <c r="C95" s="13"/>
      <c r="D95" s="1">
        <f>SUM(OSRRefD22_3x_0)</f>
        <v>0</v>
      </c>
      <c r="E95" s="1"/>
      <c r="F95" s="5">
        <f t="shared" si="36"/>
        <v>0</v>
      </c>
      <c r="G95" s="1"/>
      <c r="H95" s="1">
        <f>SUM(OSRRefH22_3x_0)</f>
        <v>-21.52</v>
      </c>
      <c r="I95" s="1"/>
      <c r="J95" s="5">
        <f t="shared" si="37"/>
        <v>-1.5604660282484954E-4</v>
      </c>
      <c r="K95" s="1"/>
      <c r="L95" s="1">
        <f t="shared" si="38"/>
        <v>21.52</v>
      </c>
      <c r="M95" s="1"/>
      <c r="N95" s="5">
        <f t="shared" si="39"/>
        <v>-1</v>
      </c>
      <c r="O95" s="13"/>
      <c r="P95" s="1">
        <f>SUM(OSRRefP22_3x_0)</f>
        <v>1.1000000000000001</v>
      </c>
      <c r="Q95" s="1"/>
      <c r="R95" s="5">
        <f t="shared" si="40"/>
        <v>5.1614307861516002E-5</v>
      </c>
      <c r="S95" s="1"/>
      <c r="T95" s="1">
        <f>SUM(OSRRefT22_3x_0)</f>
        <v>-68.5</v>
      </c>
      <c r="U95" s="1"/>
      <c r="V95" s="5">
        <f t="shared" si="41"/>
        <v>-1.0475850923166391E-4</v>
      </c>
      <c r="W95" s="1"/>
      <c r="X95" s="1">
        <f t="shared" si="42"/>
        <v>69.599999999999994</v>
      </c>
      <c r="Y95" s="1"/>
      <c r="Z95" s="5">
        <f t="shared" si="43"/>
        <v>-1.0160583941605839</v>
      </c>
    </row>
    <row r="96" spans="1:26" s="24" customFormat="1" hidden="1" outlineLevel="2" x14ac:dyDescent="0.25">
      <c r="A96" s="25"/>
      <c r="B96" s="11" t="str">
        <f>CONCATENATE("          ", "6272", " - ", "CASH (OVER/SHORT)")</f>
        <v xml:space="preserve">          6272 - CASH (OVER/SHORT)</v>
      </c>
      <c r="C96" s="11"/>
      <c r="D96" s="6"/>
      <c r="E96" s="2"/>
      <c r="F96" s="7">
        <f t="shared" si="36"/>
        <v>0</v>
      </c>
      <c r="G96" s="2"/>
      <c r="H96" s="6">
        <v>-21.52</v>
      </c>
      <c r="I96" s="2"/>
      <c r="J96" s="7">
        <f t="shared" si="37"/>
        <v>-1.5604660282484954E-4</v>
      </c>
      <c r="K96" s="2"/>
      <c r="L96" s="6">
        <f t="shared" si="38"/>
        <v>21.52</v>
      </c>
      <c r="M96" s="2"/>
      <c r="N96" s="7">
        <f t="shared" si="39"/>
        <v>-1</v>
      </c>
      <c r="O96" s="11"/>
      <c r="P96" s="6">
        <v>1.1000000000000001</v>
      </c>
      <c r="Q96" s="2"/>
      <c r="R96" s="7">
        <f t="shared" si="40"/>
        <v>5.1614307861516002E-5</v>
      </c>
      <c r="S96" s="2"/>
      <c r="T96" s="6">
        <v>-68.5</v>
      </c>
      <c r="U96" s="2"/>
      <c r="V96" s="7">
        <f t="shared" si="41"/>
        <v>-1.0475850923166391E-4</v>
      </c>
      <c r="W96" s="2"/>
      <c r="X96" s="6">
        <f t="shared" si="42"/>
        <v>69.599999999999994</v>
      </c>
      <c r="Y96" s="2"/>
      <c r="Z96" s="7">
        <f t="shared" si="43"/>
        <v>-1.0160583941605839</v>
      </c>
    </row>
    <row r="97" spans="1:26" s="26" customFormat="1" outlineLevel="1" collapsed="1" x14ac:dyDescent="0.25">
      <c r="A97" s="27"/>
      <c r="B97" s="13" t="str">
        <f>CONCATENATE("     ","Discounts and Markdowns                           ")</f>
        <v xml:space="preserve">     Discounts and Markdowns                           </v>
      </c>
      <c r="C97" s="13"/>
      <c r="D97" s="1">
        <f>SUM(OSRRefD22_4x_0)</f>
        <v>0</v>
      </c>
      <c r="E97" s="1"/>
      <c r="F97" s="5">
        <f t="shared" si="36"/>
        <v>0</v>
      </c>
      <c r="G97" s="1"/>
      <c r="H97" s="1">
        <f>SUM(OSRRefH22_4x_0)</f>
        <v>3459.9900000000002</v>
      </c>
      <c r="I97" s="1"/>
      <c r="J97" s="5">
        <f t="shared" si="37"/>
        <v>2.5089204707618554E-2</v>
      </c>
      <c r="K97" s="1"/>
      <c r="L97" s="1">
        <f t="shared" si="38"/>
        <v>-3459.9900000000002</v>
      </c>
      <c r="M97" s="1"/>
      <c r="N97" s="5">
        <f t="shared" si="39"/>
        <v>-1</v>
      </c>
      <c r="O97" s="13"/>
      <c r="P97" s="1">
        <f>SUM(OSRRefP22_4x_0)</f>
        <v>0</v>
      </c>
      <c r="Q97" s="1"/>
      <c r="R97" s="5">
        <f t="shared" si="40"/>
        <v>0</v>
      </c>
      <c r="S97" s="1"/>
      <c r="T97" s="1">
        <f>SUM(OSRRefT22_4x_0)</f>
        <v>14834.699999999999</v>
      </c>
      <c r="U97" s="1"/>
      <c r="V97" s="5">
        <f t="shared" si="41"/>
        <v>2.2687022728452036E-2</v>
      </c>
      <c r="W97" s="1"/>
      <c r="X97" s="1">
        <f t="shared" si="42"/>
        <v>-14834.699999999999</v>
      </c>
      <c r="Y97" s="1"/>
      <c r="Z97" s="5">
        <f t="shared" si="43"/>
        <v>-1</v>
      </c>
    </row>
    <row r="98" spans="1:26" s="24" customFormat="1" hidden="1" outlineLevel="2" x14ac:dyDescent="0.25">
      <c r="A98" s="25"/>
      <c r="B98" s="11" t="str">
        <f>CONCATENATE("          ", "6382", " - ", "DISCOUNTS/MARK DOWNS")</f>
        <v xml:space="preserve">          6382 - DISCOUNTS/MARK DOWNS</v>
      </c>
      <c r="C98" s="11"/>
      <c r="D98" s="6"/>
      <c r="E98" s="2"/>
      <c r="F98" s="7">
        <f t="shared" si="36"/>
        <v>0</v>
      </c>
      <c r="G98" s="2"/>
      <c r="H98" s="6">
        <v>3493.82</v>
      </c>
      <c r="I98" s="2"/>
      <c r="J98" s="7">
        <f t="shared" si="37"/>
        <v>2.5334514027951484E-2</v>
      </c>
      <c r="K98" s="2"/>
      <c r="L98" s="6">
        <f t="shared" si="38"/>
        <v>-3493.82</v>
      </c>
      <c r="M98" s="2"/>
      <c r="N98" s="7">
        <f t="shared" si="39"/>
        <v>-1</v>
      </c>
      <c r="O98" s="11"/>
      <c r="P98" s="6"/>
      <c r="Q98" s="2"/>
      <c r="R98" s="7">
        <f t="shared" si="40"/>
        <v>0</v>
      </c>
      <c r="S98" s="2"/>
      <c r="T98" s="6">
        <v>14868.529999999999</v>
      </c>
      <c r="U98" s="2"/>
      <c r="V98" s="7">
        <f t="shared" si="41"/>
        <v>2.2738759668120754E-2</v>
      </c>
      <c r="W98" s="2"/>
      <c r="X98" s="6">
        <f t="shared" si="42"/>
        <v>-14868.529999999999</v>
      </c>
      <c r="Y98" s="2"/>
      <c r="Z98" s="7">
        <f t="shared" si="43"/>
        <v>-1</v>
      </c>
    </row>
    <row r="99" spans="1:26" s="24" customFormat="1" hidden="1" outlineLevel="2" x14ac:dyDescent="0.25">
      <c r="A99" s="25"/>
      <c r="B99" s="11" t="str">
        <f>CONCATENATE("          ", "9175", " - ", "EARNED DISCOUNTS")</f>
        <v xml:space="preserve">          9175 - EARNED DISCOUNTS</v>
      </c>
      <c r="C99" s="11"/>
      <c r="D99" s="6"/>
      <c r="E99" s="2"/>
      <c r="F99" s="7">
        <f t="shared" si="36"/>
        <v>0</v>
      </c>
      <c r="G99" s="2"/>
      <c r="H99" s="6">
        <v>-33.83</v>
      </c>
      <c r="I99" s="2"/>
      <c r="J99" s="7">
        <f t="shared" si="37"/>
        <v>-2.453093203329303E-4</v>
      </c>
      <c r="K99" s="2"/>
      <c r="L99" s="6">
        <f t="shared" si="38"/>
        <v>33.83</v>
      </c>
      <c r="M99" s="2"/>
      <c r="N99" s="7">
        <f t="shared" si="39"/>
        <v>-1</v>
      </c>
      <c r="O99" s="11"/>
      <c r="P99" s="6">
        <v>0</v>
      </c>
      <c r="Q99" s="2"/>
      <c r="R99" s="7">
        <f t="shared" si="40"/>
        <v>0</v>
      </c>
      <c r="S99" s="2"/>
      <c r="T99" s="6">
        <v>-33.83</v>
      </c>
      <c r="U99" s="2"/>
      <c r="V99" s="7">
        <f t="shared" si="41"/>
        <v>-5.1736939668718095E-5</v>
      </c>
      <c r="W99" s="2"/>
      <c r="X99" s="6">
        <f t="shared" si="42"/>
        <v>33.83</v>
      </c>
      <c r="Y99" s="2"/>
      <c r="Z99" s="7">
        <f t="shared" si="43"/>
        <v>-1</v>
      </c>
    </row>
    <row r="100" spans="1:26" s="26" customFormat="1" outlineLevel="1" collapsed="1" x14ac:dyDescent="0.25">
      <c r="A100" s="27"/>
      <c r="B100" s="13" t="str">
        <f>CONCATENATE("     ","Freight out/Postage                               ")</f>
        <v xml:space="preserve">     Freight out/Postage                               </v>
      </c>
      <c r="C100" s="13"/>
      <c r="D100" s="1">
        <f>SUM(OSRRefD22_5x_0)</f>
        <v>0</v>
      </c>
      <c r="E100" s="1"/>
      <c r="F100" s="5">
        <f t="shared" ref="F100:F108" si="44">IF(D$12=0,0,D100/D$12)</f>
        <v>0</v>
      </c>
      <c r="G100" s="1"/>
      <c r="H100" s="1">
        <f>SUM(OSRRefH22_5x_0)</f>
        <v>0</v>
      </c>
      <c r="I100" s="1"/>
      <c r="J100" s="5">
        <f t="shared" ref="J100:J108" si="45">IF(H$12=0,0,H100/H$12)</f>
        <v>0</v>
      </c>
      <c r="K100" s="1"/>
      <c r="L100" s="1">
        <f t="shared" ref="L100:L108" si="46">+D100-H100</f>
        <v>0</v>
      </c>
      <c r="M100" s="1"/>
      <c r="N100" s="5">
        <f t="shared" ref="N100:N108" si="47">IF(H100=0,0,L100/H100)</f>
        <v>0</v>
      </c>
      <c r="O100" s="13"/>
      <c r="P100" s="1">
        <f>SUM(OSRRefP22_5x_0)</f>
        <v>0</v>
      </c>
      <c r="Q100" s="1"/>
      <c r="R100" s="5">
        <f t="shared" ref="R100:R108" si="48">IF(P$12=0,0,P100/P$12)</f>
        <v>0</v>
      </c>
      <c r="S100" s="1"/>
      <c r="T100" s="1">
        <f>SUM(OSRRefT22_5x_0)</f>
        <v>15.81</v>
      </c>
      <c r="U100" s="1"/>
      <c r="V100" s="5">
        <f t="shared" ref="V100:V108" si="49">IF(T$12=0,0,T100/T$12)</f>
        <v>2.417856979492856E-5</v>
      </c>
      <c r="W100" s="1"/>
      <c r="X100" s="1">
        <f t="shared" ref="X100:X108" si="50">+P100-T100</f>
        <v>-15.81</v>
      </c>
      <c r="Y100" s="1"/>
      <c r="Z100" s="5">
        <f t="shared" ref="Z100:Z108" si="51">IF(T100=0,0,X100/T100)</f>
        <v>-1</v>
      </c>
    </row>
    <row r="101" spans="1:26" s="24" customFormat="1" hidden="1" outlineLevel="2" x14ac:dyDescent="0.25">
      <c r="A101" s="25"/>
      <c r="B101" s="11" t="str">
        <f>CONCATENATE("          ", "6305", " - ", "FREIGHT OUT")</f>
        <v xml:space="preserve">          6305 - FREIGHT OUT</v>
      </c>
      <c r="C101" s="11"/>
      <c r="D101" s="6"/>
      <c r="E101" s="2"/>
      <c r="F101" s="7">
        <f t="shared" si="44"/>
        <v>0</v>
      </c>
      <c r="G101" s="2"/>
      <c r="H101" s="6"/>
      <c r="I101" s="2"/>
      <c r="J101" s="7">
        <f t="shared" si="45"/>
        <v>0</v>
      </c>
      <c r="K101" s="2"/>
      <c r="L101" s="6">
        <f t="shared" si="46"/>
        <v>0</v>
      </c>
      <c r="M101" s="2"/>
      <c r="N101" s="7">
        <f t="shared" si="47"/>
        <v>0</v>
      </c>
      <c r="O101" s="11"/>
      <c r="P101" s="6"/>
      <c r="Q101" s="2"/>
      <c r="R101" s="7">
        <f t="shared" si="48"/>
        <v>0</v>
      </c>
      <c r="S101" s="2"/>
      <c r="T101" s="6">
        <v>15.81</v>
      </c>
      <c r="U101" s="2"/>
      <c r="V101" s="7">
        <f t="shared" si="49"/>
        <v>2.417856979492856E-5</v>
      </c>
      <c r="W101" s="2"/>
      <c r="X101" s="6">
        <f t="shared" si="50"/>
        <v>-15.81</v>
      </c>
      <c r="Y101" s="2"/>
      <c r="Z101" s="7">
        <f t="shared" si="51"/>
        <v>-1</v>
      </c>
    </row>
    <row r="102" spans="1:26" s="26" customFormat="1" outlineLevel="1" collapsed="1" x14ac:dyDescent="0.25">
      <c r="A102" s="27"/>
      <c r="B102" s="13" t="str">
        <f>CONCATENATE("     ","General                                           ")</f>
        <v xml:space="preserve">     General                                           </v>
      </c>
      <c r="C102" s="13"/>
      <c r="D102" s="1">
        <f>SUM(OSRRefD22_6x_0)</f>
        <v>0</v>
      </c>
      <c r="E102" s="1"/>
      <c r="F102" s="5">
        <f t="shared" si="44"/>
        <v>0</v>
      </c>
      <c r="G102" s="1"/>
      <c r="H102" s="1">
        <f>SUM(OSRRefH22_6x_0)</f>
        <v>0</v>
      </c>
      <c r="I102" s="1"/>
      <c r="J102" s="5">
        <f t="shared" si="45"/>
        <v>0</v>
      </c>
      <c r="K102" s="1"/>
      <c r="L102" s="1">
        <f t="shared" si="46"/>
        <v>0</v>
      </c>
      <c r="M102" s="1"/>
      <c r="N102" s="5">
        <f t="shared" si="47"/>
        <v>0</v>
      </c>
      <c r="O102" s="13"/>
      <c r="P102" s="1">
        <f>SUM(OSRRefP22_6x_0)</f>
        <v>879.55</v>
      </c>
      <c r="Q102" s="1"/>
      <c r="R102" s="5">
        <f t="shared" si="48"/>
        <v>4.1270331345087632E-2</v>
      </c>
      <c r="S102" s="1"/>
      <c r="T102" s="1">
        <f>SUM(OSRRefT22_6x_0)</f>
        <v>954.05</v>
      </c>
      <c r="U102" s="1"/>
      <c r="V102" s="5">
        <f t="shared" si="49"/>
        <v>1.459048988795167E-3</v>
      </c>
      <c r="W102" s="1"/>
      <c r="X102" s="1">
        <f t="shared" si="50"/>
        <v>-74.5</v>
      </c>
      <c r="Y102" s="1"/>
      <c r="Z102" s="5">
        <f t="shared" si="51"/>
        <v>-7.8088150516220325E-2</v>
      </c>
    </row>
    <row r="103" spans="1:26" s="24" customFormat="1" hidden="1" outlineLevel="2" x14ac:dyDescent="0.25">
      <c r="A103" s="25"/>
      <c r="B103" s="11" t="str">
        <f>CONCATENATE("          ", "6279", " - ", "GENERAL EXPENSE")</f>
        <v xml:space="preserve">          6279 - GENERAL EXPENSE</v>
      </c>
      <c r="C103" s="11"/>
      <c r="D103" s="6"/>
      <c r="E103" s="2"/>
      <c r="F103" s="7">
        <f t="shared" si="44"/>
        <v>0</v>
      </c>
      <c r="G103" s="2"/>
      <c r="H103" s="6"/>
      <c r="I103" s="2"/>
      <c r="J103" s="7">
        <f t="shared" si="45"/>
        <v>0</v>
      </c>
      <c r="K103" s="2"/>
      <c r="L103" s="6">
        <f t="shared" si="46"/>
        <v>0</v>
      </c>
      <c r="M103" s="2"/>
      <c r="N103" s="7">
        <f t="shared" si="47"/>
        <v>0</v>
      </c>
      <c r="O103" s="11"/>
      <c r="P103" s="6">
        <v>879.55</v>
      </c>
      <c r="Q103" s="2"/>
      <c r="R103" s="7">
        <f t="shared" si="48"/>
        <v>4.1270331345087632E-2</v>
      </c>
      <c r="S103" s="2"/>
      <c r="T103" s="6">
        <v>954.05</v>
      </c>
      <c r="U103" s="2"/>
      <c r="V103" s="7">
        <f t="shared" si="49"/>
        <v>1.459048988795167E-3</v>
      </c>
      <c r="W103" s="2"/>
      <c r="X103" s="6">
        <f t="shared" si="50"/>
        <v>-74.5</v>
      </c>
      <c r="Y103" s="2"/>
      <c r="Z103" s="7">
        <f t="shared" si="51"/>
        <v>-7.8088150516220325E-2</v>
      </c>
    </row>
    <row r="104" spans="1:26" s="26" customFormat="1" outlineLevel="1" collapsed="1" x14ac:dyDescent="0.25">
      <c r="A104" s="27"/>
      <c r="B104" s="13" t="str">
        <f>CONCATENATE("     ","Professional Services                             ")</f>
        <v xml:space="preserve">     Professional Services                             </v>
      </c>
      <c r="C104" s="13"/>
      <c r="D104" s="1">
        <f>SUM(OSRRefD22_7x_0)</f>
        <v>0</v>
      </c>
      <c r="E104" s="1"/>
      <c r="F104" s="5">
        <f t="shared" si="44"/>
        <v>0</v>
      </c>
      <c r="G104" s="1"/>
      <c r="H104" s="1">
        <f>SUM(OSRRefH22_7x_0)</f>
        <v>0</v>
      </c>
      <c r="I104" s="1"/>
      <c r="J104" s="5">
        <f t="shared" si="45"/>
        <v>0</v>
      </c>
      <c r="K104" s="1"/>
      <c r="L104" s="1">
        <f t="shared" si="46"/>
        <v>0</v>
      </c>
      <c r="M104" s="1"/>
      <c r="N104" s="5">
        <f t="shared" si="47"/>
        <v>0</v>
      </c>
      <c r="O104" s="13"/>
      <c r="P104" s="1">
        <f>SUM(OSRRefP22_7x_0)</f>
        <v>0</v>
      </c>
      <c r="Q104" s="1"/>
      <c r="R104" s="5">
        <f t="shared" si="48"/>
        <v>0</v>
      </c>
      <c r="S104" s="1"/>
      <c r="T104" s="1">
        <f>SUM(OSRRefT22_7x_0)</f>
        <v>791.15</v>
      </c>
      <c r="U104" s="1"/>
      <c r="V104" s="5">
        <f t="shared" si="49"/>
        <v>1.2099225485931518E-3</v>
      </c>
      <c r="W104" s="1"/>
      <c r="X104" s="1">
        <f t="shared" si="50"/>
        <v>-791.15</v>
      </c>
      <c r="Y104" s="1"/>
      <c r="Z104" s="5">
        <f t="shared" si="51"/>
        <v>-1</v>
      </c>
    </row>
    <row r="105" spans="1:26" s="24" customFormat="1" hidden="1" outlineLevel="2" x14ac:dyDescent="0.25">
      <c r="A105" s="25"/>
      <c r="B105" s="11" t="str">
        <f>CONCATENATE("          ", "6336", " - ", "PROFESSIONAL SERVICES")</f>
        <v xml:space="preserve">          6336 - PROFESSIONAL SERVICES</v>
      </c>
      <c r="C105" s="11"/>
      <c r="D105" s="6"/>
      <c r="E105" s="2"/>
      <c r="F105" s="7">
        <f t="shared" si="44"/>
        <v>0</v>
      </c>
      <c r="G105" s="2"/>
      <c r="H105" s="6"/>
      <c r="I105" s="2"/>
      <c r="J105" s="7">
        <f t="shared" si="45"/>
        <v>0</v>
      </c>
      <c r="K105" s="2"/>
      <c r="L105" s="6">
        <f t="shared" si="46"/>
        <v>0</v>
      </c>
      <c r="M105" s="2"/>
      <c r="N105" s="7">
        <f t="shared" si="47"/>
        <v>0</v>
      </c>
      <c r="O105" s="11"/>
      <c r="P105" s="6"/>
      <c r="Q105" s="2"/>
      <c r="R105" s="7">
        <f t="shared" si="48"/>
        <v>0</v>
      </c>
      <c r="S105" s="2"/>
      <c r="T105" s="6">
        <v>791.15</v>
      </c>
      <c r="U105" s="2"/>
      <c r="V105" s="7">
        <f t="shared" si="49"/>
        <v>1.2099225485931518E-3</v>
      </c>
      <c r="W105" s="2"/>
      <c r="X105" s="6">
        <f t="shared" si="50"/>
        <v>-791.15</v>
      </c>
      <c r="Y105" s="2"/>
      <c r="Z105" s="7">
        <f t="shared" si="51"/>
        <v>-1</v>
      </c>
    </row>
    <row r="106" spans="1:26" s="26" customFormat="1" outlineLevel="1" collapsed="1" x14ac:dyDescent="0.25">
      <c r="A106" s="27"/>
      <c r="B106" s="13" t="str">
        <f>CONCATENATE("     ","Repair and Maintenance                            ")</f>
        <v xml:space="preserve">     Repair and Maintenance                            </v>
      </c>
      <c r="C106" s="13"/>
      <c r="D106" s="1">
        <f>SUM(OSRRefD22_8x_0)</f>
        <v>0</v>
      </c>
      <c r="E106" s="1"/>
      <c r="F106" s="5">
        <f t="shared" si="44"/>
        <v>0</v>
      </c>
      <c r="G106" s="1"/>
      <c r="H106" s="1">
        <f>SUM(OSRRefH22_8x_0)</f>
        <v>0</v>
      </c>
      <c r="I106" s="1"/>
      <c r="J106" s="5">
        <f t="shared" si="45"/>
        <v>0</v>
      </c>
      <c r="K106" s="1"/>
      <c r="L106" s="1">
        <f t="shared" si="46"/>
        <v>0</v>
      </c>
      <c r="M106" s="1"/>
      <c r="N106" s="5">
        <f t="shared" si="47"/>
        <v>0</v>
      </c>
      <c r="O106" s="13"/>
      <c r="P106" s="1">
        <f>SUM(OSRRefP22_8x_0)</f>
        <v>200.82</v>
      </c>
      <c r="Q106" s="1"/>
      <c r="R106" s="5">
        <f t="shared" si="48"/>
        <v>9.4228957315905838E-3</v>
      </c>
      <c r="S106" s="1"/>
      <c r="T106" s="1">
        <f>SUM(OSRRefT22_8x_0)</f>
        <v>129.53</v>
      </c>
      <c r="U106" s="1"/>
      <c r="V106" s="5">
        <f t="shared" si="49"/>
        <v>1.9809298833251715E-4</v>
      </c>
      <c r="W106" s="1"/>
      <c r="X106" s="1">
        <f t="shared" si="50"/>
        <v>71.289999999999992</v>
      </c>
      <c r="Y106" s="1"/>
      <c r="Z106" s="5">
        <f t="shared" si="51"/>
        <v>0.55037443063382996</v>
      </c>
    </row>
    <row r="107" spans="1:26" s="24" customFormat="1" hidden="1" outlineLevel="2" x14ac:dyDescent="0.25">
      <c r="A107" s="25"/>
      <c r="B107" s="11" t="str">
        <f>CONCATENATE("          ", "6373", " - ", "MAINTENANCE CONTRACTS")</f>
        <v xml:space="preserve">          6373 - MAINTENANCE CONTRACTS</v>
      </c>
      <c r="C107" s="11"/>
      <c r="D107" s="6"/>
      <c r="E107" s="2"/>
      <c r="F107" s="7">
        <f t="shared" si="44"/>
        <v>0</v>
      </c>
      <c r="G107" s="2"/>
      <c r="H107" s="6"/>
      <c r="I107" s="2"/>
      <c r="J107" s="7">
        <f t="shared" si="45"/>
        <v>0</v>
      </c>
      <c r="K107" s="2"/>
      <c r="L107" s="6">
        <f t="shared" si="46"/>
        <v>0</v>
      </c>
      <c r="M107" s="2"/>
      <c r="N107" s="7">
        <f t="shared" si="47"/>
        <v>0</v>
      </c>
      <c r="O107" s="11"/>
      <c r="P107" s="6">
        <v>200.82</v>
      </c>
      <c r="Q107" s="2"/>
      <c r="R107" s="7">
        <f t="shared" si="48"/>
        <v>9.4228957315905838E-3</v>
      </c>
      <c r="S107" s="2"/>
      <c r="T107" s="6">
        <v>119.73</v>
      </c>
      <c r="U107" s="2"/>
      <c r="V107" s="7">
        <f t="shared" si="49"/>
        <v>1.8310563956652729E-4</v>
      </c>
      <c r="W107" s="2"/>
      <c r="X107" s="6">
        <f t="shared" si="50"/>
        <v>81.089999999999989</v>
      </c>
      <c r="Y107" s="2"/>
      <c r="Z107" s="7">
        <f t="shared" si="51"/>
        <v>0.67727386619894747</v>
      </c>
    </row>
    <row r="108" spans="1:26" s="24" customFormat="1" hidden="1" outlineLevel="2" x14ac:dyDescent="0.25">
      <c r="A108" s="25"/>
      <c r="B108" s="11" t="str">
        <f>CONCATENATE("          ", "6375", " - ", "OUTSIDE REPAIRS &amp; MAINTENANCE")</f>
        <v xml:space="preserve">          6375 - OUTSIDE REPAIRS &amp; MAINTENANCE</v>
      </c>
      <c r="C108" s="11"/>
      <c r="D108" s="6"/>
      <c r="E108" s="2"/>
      <c r="F108" s="7">
        <f t="shared" si="44"/>
        <v>0</v>
      </c>
      <c r="G108" s="2"/>
      <c r="H108" s="6"/>
      <c r="I108" s="2"/>
      <c r="J108" s="7">
        <f t="shared" si="45"/>
        <v>0</v>
      </c>
      <c r="K108" s="2"/>
      <c r="L108" s="6">
        <f t="shared" si="46"/>
        <v>0</v>
      </c>
      <c r="M108" s="2"/>
      <c r="N108" s="7">
        <f t="shared" si="47"/>
        <v>0</v>
      </c>
      <c r="O108" s="11"/>
      <c r="P108" s="6"/>
      <c r="Q108" s="2"/>
      <c r="R108" s="7">
        <f t="shared" si="48"/>
        <v>0</v>
      </c>
      <c r="S108" s="2"/>
      <c r="T108" s="6">
        <v>9.8000000000000007</v>
      </c>
      <c r="U108" s="2"/>
      <c r="V108" s="7">
        <f t="shared" si="49"/>
        <v>1.4987348765989873E-5</v>
      </c>
      <c r="W108" s="2"/>
      <c r="X108" s="6">
        <f t="shared" si="50"/>
        <v>-9.8000000000000007</v>
      </c>
      <c r="Y108" s="2"/>
      <c r="Z108" s="7">
        <f t="shared" si="51"/>
        <v>-1</v>
      </c>
    </row>
    <row r="109" spans="1:26" s="26" customFormat="1" outlineLevel="1" collapsed="1" x14ac:dyDescent="0.25">
      <c r="A109" s="27"/>
      <c r="B109" s="13" t="str">
        <f>CONCATENATE("     ","Services                                          ")</f>
        <v xml:space="preserve">     Services                                          </v>
      </c>
      <c r="C109" s="13"/>
      <c r="D109" s="1">
        <f>SUM(OSRRefD22_9x_0)</f>
        <v>0</v>
      </c>
      <c r="E109" s="1"/>
      <c r="F109" s="5">
        <f t="shared" ref="F109:F111" si="52">IF(D$12=0,0,D109/D$12)</f>
        <v>0</v>
      </c>
      <c r="G109" s="1"/>
      <c r="H109" s="1">
        <f>SUM(OSRRefH22_9x_0)</f>
        <v>338.16999999999996</v>
      </c>
      <c r="I109" s="1"/>
      <c r="J109" s="5">
        <f t="shared" ref="J109:J111" si="53">IF(H$12=0,0,H109/H$12)</f>
        <v>2.4521505426245058E-3</v>
      </c>
      <c r="K109" s="1"/>
      <c r="L109" s="1">
        <f t="shared" ref="L109:L111" si="54">+D109-H109</f>
        <v>-338.16999999999996</v>
      </c>
      <c r="M109" s="1"/>
      <c r="N109" s="5">
        <f t="shared" ref="N109:N111" si="55">IF(H109=0,0,L109/H109)</f>
        <v>-1</v>
      </c>
      <c r="O109" s="13"/>
      <c r="P109" s="1">
        <f>SUM(OSRRefP22_9x_0)</f>
        <v>18.5</v>
      </c>
      <c r="Q109" s="1"/>
      <c r="R109" s="5">
        <f t="shared" ref="R109:R111" si="56">IF(P$12=0,0,P109/P$12)</f>
        <v>8.6805881403458724E-4</v>
      </c>
      <c r="S109" s="1"/>
      <c r="T109" s="1">
        <f>SUM(OSRRefT22_9x_0)</f>
        <v>1568.86</v>
      </c>
      <c r="U109" s="1"/>
      <c r="V109" s="5">
        <f t="shared" ref="V109:V111" si="57">IF(T$12=0,0,T109/T$12)</f>
        <v>2.3992910188786599E-3</v>
      </c>
      <c r="W109" s="1"/>
      <c r="X109" s="1">
        <f t="shared" ref="X109:X111" si="58">+P109-T109</f>
        <v>-1550.36</v>
      </c>
      <c r="Y109" s="1"/>
      <c r="Z109" s="5">
        <f t="shared" ref="Z109:Z111" si="59">IF(T109=0,0,X109/T109)</f>
        <v>-0.98820799816427218</v>
      </c>
    </row>
    <row r="110" spans="1:26" s="24" customFormat="1" hidden="1" outlineLevel="2" x14ac:dyDescent="0.25">
      <c r="A110" s="25"/>
      <c r="B110" s="11" t="str">
        <f>CONCATENATE("          ", "6282", " - ", "JANITORIAL/EXTERMINATOR EXPENS")</f>
        <v xml:space="preserve">          6282 - JANITORIAL/EXTERMINATOR EXPENS</v>
      </c>
      <c r="C110" s="11"/>
      <c r="D110" s="6"/>
      <c r="E110" s="2"/>
      <c r="F110" s="7">
        <f t="shared" si="52"/>
        <v>0</v>
      </c>
      <c r="G110" s="2"/>
      <c r="H110" s="6">
        <v>65.02</v>
      </c>
      <c r="I110" s="2"/>
      <c r="J110" s="7">
        <f t="shared" si="53"/>
        <v>4.7147537712229174E-4</v>
      </c>
      <c r="K110" s="2"/>
      <c r="L110" s="6">
        <f t="shared" si="54"/>
        <v>-65.02</v>
      </c>
      <c r="M110" s="2"/>
      <c r="N110" s="7">
        <f t="shared" si="55"/>
        <v>-1</v>
      </c>
      <c r="O110" s="11"/>
      <c r="P110" s="6">
        <v>176</v>
      </c>
      <c r="Q110" s="2"/>
      <c r="R110" s="7">
        <f t="shared" si="56"/>
        <v>8.2582892578425601E-3</v>
      </c>
      <c r="S110" s="2"/>
      <c r="T110" s="6">
        <v>329.02</v>
      </c>
      <c r="U110" s="2"/>
      <c r="V110" s="7">
        <f t="shared" si="57"/>
        <v>5.0317729499857011E-4</v>
      </c>
      <c r="W110" s="2"/>
      <c r="X110" s="6">
        <f t="shared" si="58"/>
        <v>-153.01999999999998</v>
      </c>
      <c r="Y110" s="2"/>
      <c r="Z110" s="7">
        <f t="shared" si="59"/>
        <v>-0.4650781107531457</v>
      </c>
    </row>
    <row r="111" spans="1:26" s="24" customFormat="1" hidden="1" outlineLevel="2" x14ac:dyDescent="0.25">
      <c r="A111" s="25"/>
      <c r="B111" s="11" t="str">
        <f>CONCATENATE("          ", "6285", " - ", "JANITORIAL SERVICES")</f>
        <v xml:space="preserve">          6285 - JANITORIAL SERVICES</v>
      </c>
      <c r="C111" s="11"/>
      <c r="D111" s="6"/>
      <c r="E111" s="2"/>
      <c r="F111" s="7">
        <f t="shared" si="52"/>
        <v>0</v>
      </c>
      <c r="G111" s="2"/>
      <c r="H111" s="6">
        <v>273.14999999999998</v>
      </c>
      <c r="I111" s="2"/>
      <c r="J111" s="7">
        <f t="shared" si="53"/>
        <v>1.9806751655022142E-3</v>
      </c>
      <c r="K111" s="2"/>
      <c r="L111" s="6">
        <f t="shared" si="54"/>
        <v>-273.14999999999998</v>
      </c>
      <c r="M111" s="2"/>
      <c r="N111" s="7">
        <f t="shared" si="55"/>
        <v>-1</v>
      </c>
      <c r="O111" s="11"/>
      <c r="P111" s="6">
        <v>-157.5</v>
      </c>
      <c r="Q111" s="2"/>
      <c r="R111" s="7">
        <f t="shared" si="56"/>
        <v>-7.3902304438079732E-3</v>
      </c>
      <c r="S111" s="2"/>
      <c r="T111" s="6">
        <v>1239.8399999999999</v>
      </c>
      <c r="U111" s="2"/>
      <c r="V111" s="7">
        <f t="shared" si="57"/>
        <v>1.89611372388009E-3</v>
      </c>
      <c r="W111" s="2"/>
      <c r="X111" s="6">
        <f t="shared" si="58"/>
        <v>-1397.34</v>
      </c>
      <c r="Y111" s="2"/>
      <c r="Z111" s="7">
        <f t="shared" si="59"/>
        <v>-1.1270325203252032</v>
      </c>
    </row>
    <row r="112" spans="1:26" s="26" customFormat="1" outlineLevel="1" collapsed="1" x14ac:dyDescent="0.25">
      <c r="A112" s="27"/>
      <c r="B112" s="13" t="str">
        <f>CONCATENATE("     ","Subscriptions &amp; Dues                              ")</f>
        <v xml:space="preserve">     Subscriptions &amp; Dues                              </v>
      </c>
      <c r="C112" s="13"/>
      <c r="D112" s="1">
        <f>SUM(OSRRefD22_10x_0)</f>
        <v>0</v>
      </c>
      <c r="E112" s="1"/>
      <c r="F112" s="5">
        <f t="shared" ref="F112:F118" si="60">IF(D$12=0,0,D112/D$12)</f>
        <v>0</v>
      </c>
      <c r="G112" s="1"/>
      <c r="H112" s="1">
        <f>SUM(OSRRefH22_10x_0)</f>
        <v>0</v>
      </c>
      <c r="I112" s="1"/>
      <c r="J112" s="5">
        <f t="shared" ref="J112:J118" si="61">IF(H$12=0,0,H112/H$12)</f>
        <v>0</v>
      </c>
      <c r="K112" s="1"/>
      <c r="L112" s="1">
        <f t="shared" ref="L112:L118" si="62">+D112-H112</f>
        <v>0</v>
      </c>
      <c r="M112" s="1"/>
      <c r="N112" s="5">
        <f t="shared" ref="N112:N118" si="63">IF(H112=0,0,L112/H112)</f>
        <v>0</v>
      </c>
      <c r="O112" s="13"/>
      <c r="P112" s="1">
        <f>SUM(OSRRefP22_10x_0)</f>
        <v>0</v>
      </c>
      <c r="Q112" s="1"/>
      <c r="R112" s="5">
        <f t="shared" ref="R112:R118" si="64">IF(P$12=0,0,P112/P$12)</f>
        <v>0</v>
      </c>
      <c r="S112" s="1"/>
      <c r="T112" s="1">
        <f>SUM(OSRRefT22_10x_0)</f>
        <v>120</v>
      </c>
      <c r="U112" s="1"/>
      <c r="V112" s="5">
        <f t="shared" ref="V112:V118" si="65">IF(T$12=0,0,T112/T$12)</f>
        <v>1.8351855631824332E-4</v>
      </c>
      <c r="W112" s="1"/>
      <c r="X112" s="1">
        <f t="shared" ref="X112:X118" si="66">+P112-T112</f>
        <v>-120</v>
      </c>
      <c r="Y112" s="1"/>
      <c r="Z112" s="5">
        <f t="shared" ref="Z112:Z118" si="67">IF(T112=0,0,X112/T112)</f>
        <v>-1</v>
      </c>
    </row>
    <row r="113" spans="1:26" s="24" customFormat="1" hidden="1" outlineLevel="2" x14ac:dyDescent="0.25">
      <c r="A113" s="25"/>
      <c r="B113" s="11" t="str">
        <f>CONCATENATE("          ", "6258", " - ", "MEMBERSHIP DUES")</f>
        <v xml:space="preserve">          6258 - MEMBERSHIP DUES</v>
      </c>
      <c r="C113" s="11"/>
      <c r="D113" s="6"/>
      <c r="E113" s="2"/>
      <c r="F113" s="7">
        <f t="shared" si="60"/>
        <v>0</v>
      </c>
      <c r="G113" s="2"/>
      <c r="H113" s="6"/>
      <c r="I113" s="2"/>
      <c r="J113" s="7">
        <f t="shared" si="61"/>
        <v>0</v>
      </c>
      <c r="K113" s="2"/>
      <c r="L113" s="6">
        <f t="shared" si="62"/>
        <v>0</v>
      </c>
      <c r="M113" s="2"/>
      <c r="N113" s="7">
        <f t="shared" si="63"/>
        <v>0</v>
      </c>
      <c r="O113" s="11"/>
      <c r="P113" s="6"/>
      <c r="Q113" s="2"/>
      <c r="R113" s="7">
        <f t="shared" si="64"/>
        <v>0</v>
      </c>
      <c r="S113" s="2"/>
      <c r="T113" s="6">
        <v>120</v>
      </c>
      <c r="U113" s="2"/>
      <c r="V113" s="7">
        <f t="shared" si="65"/>
        <v>1.8351855631824332E-4</v>
      </c>
      <c r="W113" s="2"/>
      <c r="X113" s="6">
        <f t="shared" si="66"/>
        <v>-120</v>
      </c>
      <c r="Y113" s="2"/>
      <c r="Z113" s="7">
        <f t="shared" si="67"/>
        <v>-1</v>
      </c>
    </row>
    <row r="114" spans="1:26" s="26" customFormat="1" outlineLevel="1" collapsed="1" x14ac:dyDescent="0.25">
      <c r="A114" s="27"/>
      <c r="B114" s="13" t="str">
        <f>CONCATENATE("     ","Supplies                                          ")</f>
        <v xml:space="preserve">     Supplies                                          </v>
      </c>
      <c r="C114" s="13"/>
      <c r="D114" s="1">
        <f>SUM(OSRRefD22_11x_0)</f>
        <v>0</v>
      </c>
      <c r="E114" s="1"/>
      <c r="F114" s="5">
        <f t="shared" si="60"/>
        <v>0</v>
      </c>
      <c r="G114" s="1"/>
      <c r="H114" s="1">
        <f>SUM(OSRRefH22_11x_0)</f>
        <v>57.89</v>
      </c>
      <c r="I114" s="1"/>
      <c r="J114" s="5">
        <f t="shared" si="61"/>
        <v>4.197740630822742E-4</v>
      </c>
      <c r="K114" s="1"/>
      <c r="L114" s="1">
        <f t="shared" si="62"/>
        <v>-57.89</v>
      </c>
      <c r="M114" s="1"/>
      <c r="N114" s="5">
        <f t="shared" si="63"/>
        <v>-1</v>
      </c>
      <c r="O114" s="13"/>
      <c r="P114" s="1">
        <f>SUM(OSRRefP22_11x_0)</f>
        <v>1892.27</v>
      </c>
      <c r="Q114" s="1"/>
      <c r="R114" s="5">
        <f t="shared" si="64"/>
        <v>8.8789278488282622E-2</v>
      </c>
      <c r="S114" s="1"/>
      <c r="T114" s="1">
        <f>SUM(OSRRefT22_11x_0)</f>
        <v>1508.56</v>
      </c>
      <c r="U114" s="1"/>
      <c r="V114" s="5">
        <f t="shared" si="65"/>
        <v>2.3070729443287431E-3</v>
      </c>
      <c r="W114" s="1"/>
      <c r="X114" s="1">
        <f t="shared" si="66"/>
        <v>383.71000000000004</v>
      </c>
      <c r="Y114" s="1"/>
      <c r="Z114" s="5">
        <f t="shared" si="67"/>
        <v>0.25435514662989872</v>
      </c>
    </row>
    <row r="115" spans="1:26" s="24" customFormat="1" hidden="1" outlineLevel="2" x14ac:dyDescent="0.25">
      <c r="A115" s="25"/>
      <c r="B115" s="11" t="str">
        <f>CONCATENATE("          ", "6235", " - ", "COVID-19 EXPENSES")</f>
        <v xml:space="preserve">          6235 - COVID-19 EXPENSES</v>
      </c>
      <c r="C115" s="11"/>
      <c r="D115" s="6"/>
      <c r="E115" s="2"/>
      <c r="F115" s="7">
        <f t="shared" si="60"/>
        <v>0</v>
      </c>
      <c r="G115" s="2"/>
      <c r="H115" s="6"/>
      <c r="I115" s="2"/>
      <c r="J115" s="7">
        <f t="shared" si="61"/>
        <v>0</v>
      </c>
      <c r="K115" s="2"/>
      <c r="L115" s="6">
        <f t="shared" si="62"/>
        <v>0</v>
      </c>
      <c r="M115" s="2"/>
      <c r="N115" s="7">
        <f t="shared" si="63"/>
        <v>0</v>
      </c>
      <c r="O115" s="11"/>
      <c r="P115" s="6">
        <v>444.3</v>
      </c>
      <c r="Q115" s="2"/>
      <c r="R115" s="7">
        <f t="shared" si="64"/>
        <v>2.0847488166246871E-2</v>
      </c>
      <c r="S115" s="2"/>
      <c r="T115" s="6"/>
      <c r="U115" s="2"/>
      <c r="V115" s="7">
        <f t="shared" si="65"/>
        <v>0</v>
      </c>
      <c r="W115" s="2"/>
      <c r="X115" s="6">
        <f t="shared" si="66"/>
        <v>444.3</v>
      </c>
      <c r="Y115" s="2"/>
      <c r="Z115" s="7">
        <f t="shared" si="67"/>
        <v>0</v>
      </c>
    </row>
    <row r="116" spans="1:26" s="24" customFormat="1" hidden="1" outlineLevel="2" x14ac:dyDescent="0.25">
      <c r="A116" s="25"/>
      <c r="B116" s="11" t="str">
        <f>CONCATENATE("          ", "6241", " - ", "OFFICE EXPENSE")</f>
        <v xml:space="preserve">          6241 - OFFICE EXPENSE</v>
      </c>
      <c r="C116" s="11"/>
      <c r="D116" s="6"/>
      <c r="E116" s="2"/>
      <c r="F116" s="7">
        <f t="shared" si="60"/>
        <v>0</v>
      </c>
      <c r="G116" s="2"/>
      <c r="H116" s="6">
        <v>36.04</v>
      </c>
      <c r="I116" s="2"/>
      <c r="J116" s="7">
        <f t="shared" si="61"/>
        <v>2.6133455231447855E-4</v>
      </c>
      <c r="K116" s="2"/>
      <c r="L116" s="6">
        <f t="shared" si="62"/>
        <v>-36.04</v>
      </c>
      <c r="M116" s="2"/>
      <c r="N116" s="7">
        <f t="shared" si="63"/>
        <v>-1</v>
      </c>
      <c r="O116" s="11"/>
      <c r="P116" s="6">
        <v>225.24</v>
      </c>
      <c r="Q116" s="2"/>
      <c r="R116" s="7">
        <f t="shared" si="64"/>
        <v>1.056873336611624E-2</v>
      </c>
      <c r="S116" s="2"/>
      <c r="T116" s="6">
        <v>1487.21</v>
      </c>
      <c r="U116" s="2"/>
      <c r="V116" s="7">
        <f t="shared" si="65"/>
        <v>2.2744219345171221E-3</v>
      </c>
      <c r="W116" s="2"/>
      <c r="X116" s="6">
        <f t="shared" si="66"/>
        <v>-1261.97</v>
      </c>
      <c r="Y116" s="2"/>
      <c r="Z116" s="7">
        <f t="shared" si="67"/>
        <v>-0.84854862460580549</v>
      </c>
    </row>
    <row r="117" spans="1:26" s="24" customFormat="1" hidden="1" outlineLevel="2" x14ac:dyDescent="0.25">
      <c r="A117" s="25"/>
      <c r="B117" s="11" t="str">
        <f>CONCATENATE("          ", "6245", " - ", "PRINTING")</f>
        <v xml:space="preserve">          6245 - PRINTING</v>
      </c>
      <c r="C117" s="11"/>
      <c r="D117" s="6"/>
      <c r="E117" s="2"/>
      <c r="F117" s="7">
        <f t="shared" si="60"/>
        <v>0</v>
      </c>
      <c r="G117" s="2"/>
      <c r="H117" s="6">
        <v>22.05</v>
      </c>
      <c r="I117" s="2"/>
      <c r="J117" s="7">
        <f t="shared" si="61"/>
        <v>1.5988975800594485E-4</v>
      </c>
      <c r="K117" s="2"/>
      <c r="L117" s="6">
        <f t="shared" si="62"/>
        <v>-22.05</v>
      </c>
      <c r="M117" s="2"/>
      <c r="N117" s="7">
        <f t="shared" si="63"/>
        <v>-1</v>
      </c>
      <c r="O117" s="11"/>
      <c r="P117" s="6"/>
      <c r="Q117" s="2"/>
      <c r="R117" s="7">
        <f t="shared" si="64"/>
        <v>0</v>
      </c>
      <c r="S117" s="2"/>
      <c r="T117" s="6">
        <v>22.05</v>
      </c>
      <c r="U117" s="2"/>
      <c r="V117" s="7">
        <f t="shared" si="65"/>
        <v>3.3721534723477212E-5</v>
      </c>
      <c r="W117" s="2"/>
      <c r="X117" s="6">
        <f t="shared" si="66"/>
        <v>-22.05</v>
      </c>
      <c r="Y117" s="2"/>
      <c r="Z117" s="7">
        <f t="shared" si="67"/>
        <v>-1</v>
      </c>
    </row>
    <row r="118" spans="1:26" s="24" customFormat="1" hidden="1" outlineLevel="2" x14ac:dyDescent="0.25">
      <c r="A118" s="25"/>
      <c r="B118" s="11" t="str">
        <f>CONCATENATE("          ", "6247", " - ", "STORE SUPPLIES")</f>
        <v xml:space="preserve">          6247 - STORE SUPPLIES</v>
      </c>
      <c r="C118" s="11"/>
      <c r="D118" s="6"/>
      <c r="E118" s="2"/>
      <c r="F118" s="7">
        <f t="shared" si="60"/>
        <v>0</v>
      </c>
      <c r="G118" s="2"/>
      <c r="H118" s="6">
        <v>-0.2</v>
      </c>
      <c r="I118" s="2"/>
      <c r="J118" s="7">
        <f t="shared" si="61"/>
        <v>-1.4502472381491595E-6</v>
      </c>
      <c r="K118" s="2"/>
      <c r="L118" s="6">
        <f t="shared" si="62"/>
        <v>0.2</v>
      </c>
      <c r="M118" s="2"/>
      <c r="N118" s="7">
        <f t="shared" si="63"/>
        <v>-1</v>
      </c>
      <c r="O118" s="11"/>
      <c r="P118" s="6">
        <v>1222.73</v>
      </c>
      <c r="Q118" s="2"/>
      <c r="R118" s="7">
        <f t="shared" si="64"/>
        <v>5.7373056955919509E-2</v>
      </c>
      <c r="S118" s="2"/>
      <c r="T118" s="6">
        <v>-0.7</v>
      </c>
      <c r="U118" s="2"/>
      <c r="V118" s="7">
        <f t="shared" si="65"/>
        <v>-1.0705249118564193E-6</v>
      </c>
      <c r="W118" s="2"/>
      <c r="X118" s="6">
        <f t="shared" si="66"/>
        <v>1223.43</v>
      </c>
      <c r="Y118" s="2"/>
      <c r="Z118" s="7">
        <f t="shared" si="67"/>
        <v>-1747.757142857143</v>
      </c>
    </row>
    <row r="119" spans="1:26" s="26" customFormat="1" outlineLevel="1" collapsed="1" x14ac:dyDescent="0.25">
      <c r="A119" s="27"/>
      <c r="B119" s="13" t="str">
        <f>CONCATENATE("     ","Telephone/Data Lines                              ")</f>
        <v xml:space="preserve">     Telephone/Data Lines                              </v>
      </c>
      <c r="C119" s="13"/>
      <c r="D119" s="1">
        <f>SUM(OSRRefD22_12x_0)</f>
        <v>53</v>
      </c>
      <c r="E119" s="1"/>
      <c r="F119" s="5">
        <f t="shared" ref="F119:F124" si="68">IF(D$12=0,0,D119/D$12)</f>
        <v>0</v>
      </c>
      <c r="G119" s="1"/>
      <c r="H119" s="1">
        <f>SUM(OSRRefH22_12x_0)</f>
        <v>103</v>
      </c>
      <c r="I119" s="1"/>
      <c r="J119" s="5">
        <f t="shared" ref="J119:J124" si="69">IF(H$12=0,0,H119/H$12)</f>
        <v>7.4687732764681708E-4</v>
      </c>
      <c r="K119" s="1"/>
      <c r="L119" s="1">
        <f t="shared" ref="L119:L124" si="70">+D119-H119</f>
        <v>-50</v>
      </c>
      <c r="M119" s="1"/>
      <c r="N119" s="5">
        <f t="shared" ref="N119:N124" si="71">IF(H119=0,0,L119/H119)</f>
        <v>-0.4854368932038835</v>
      </c>
      <c r="O119" s="13"/>
      <c r="P119" s="1">
        <f>SUM(OSRRefP22_12x_0)</f>
        <v>419.05</v>
      </c>
      <c r="Q119" s="1"/>
      <c r="R119" s="5">
        <f t="shared" ref="R119:R124" si="72">IF(P$12=0,0,P119/P$12)</f>
        <v>1.9662705190334799E-2</v>
      </c>
      <c r="S119" s="1"/>
      <c r="T119" s="1">
        <f>SUM(OSRRefT22_12x_0)</f>
        <v>679.57</v>
      </c>
      <c r="U119" s="1"/>
      <c r="V119" s="5">
        <f t="shared" ref="V119:V124" si="73">IF(T$12=0,0,T119/T$12)</f>
        <v>1.0392808776432385E-3</v>
      </c>
      <c r="W119" s="1"/>
      <c r="X119" s="1">
        <f t="shared" ref="X119:X124" si="74">+P119-T119</f>
        <v>-260.52000000000004</v>
      </c>
      <c r="Y119" s="1"/>
      <c r="Z119" s="5">
        <f t="shared" ref="Z119:Z124" si="75">IF(T119=0,0,X119/T119)</f>
        <v>-0.38336006592404021</v>
      </c>
    </row>
    <row r="120" spans="1:26" s="24" customFormat="1" hidden="1" outlineLevel="2" x14ac:dyDescent="0.25">
      <c r="A120" s="25"/>
      <c r="B120" s="11" t="str">
        <f>CONCATENATE("          ", "6309", " - ", "TELEPHONE")</f>
        <v xml:space="preserve">          6309 - TELEPHONE</v>
      </c>
      <c r="C120" s="11"/>
      <c r="D120" s="6">
        <v>53</v>
      </c>
      <c r="E120" s="2"/>
      <c r="F120" s="7">
        <f t="shared" si="68"/>
        <v>0</v>
      </c>
      <c r="G120" s="2"/>
      <c r="H120" s="6">
        <v>103</v>
      </c>
      <c r="I120" s="2"/>
      <c r="J120" s="7">
        <f t="shared" si="69"/>
        <v>7.4687732764681708E-4</v>
      </c>
      <c r="K120" s="2"/>
      <c r="L120" s="6">
        <f t="shared" si="70"/>
        <v>-50</v>
      </c>
      <c r="M120" s="2"/>
      <c r="N120" s="7">
        <f t="shared" si="71"/>
        <v>-0.4854368932038835</v>
      </c>
      <c r="O120" s="11"/>
      <c r="P120" s="6">
        <v>419.05</v>
      </c>
      <c r="Q120" s="2"/>
      <c r="R120" s="7">
        <f t="shared" si="72"/>
        <v>1.9662705190334799E-2</v>
      </c>
      <c r="S120" s="2"/>
      <c r="T120" s="6">
        <v>679.57</v>
      </c>
      <c r="U120" s="2"/>
      <c r="V120" s="7">
        <f t="shared" si="73"/>
        <v>1.0392808776432385E-3</v>
      </c>
      <c r="W120" s="2"/>
      <c r="X120" s="6">
        <f t="shared" si="74"/>
        <v>-260.52000000000004</v>
      </c>
      <c r="Y120" s="2"/>
      <c r="Z120" s="7">
        <f t="shared" si="75"/>
        <v>-0.38336006592404021</v>
      </c>
    </row>
    <row r="121" spans="1:26" s="26" customFormat="1" outlineLevel="1" collapsed="1" x14ac:dyDescent="0.25">
      <c r="A121" s="27"/>
      <c r="B121" s="13" t="str">
        <f>CONCATENATE("     ","Training                                          ")</f>
        <v xml:space="preserve">     Training                                          </v>
      </c>
      <c r="C121" s="13"/>
      <c r="D121" s="1">
        <f>SUM(OSRRefD22_13x_0)</f>
        <v>0</v>
      </c>
      <c r="E121" s="1"/>
      <c r="F121" s="5">
        <f t="shared" si="68"/>
        <v>0</v>
      </c>
      <c r="G121" s="1"/>
      <c r="H121" s="1">
        <f>SUM(OSRRefH22_13x_0)</f>
        <v>0</v>
      </c>
      <c r="I121" s="1"/>
      <c r="J121" s="5">
        <f t="shared" si="69"/>
        <v>0</v>
      </c>
      <c r="K121" s="1"/>
      <c r="L121" s="1">
        <f t="shared" si="70"/>
        <v>0</v>
      </c>
      <c r="M121" s="1"/>
      <c r="N121" s="5">
        <f t="shared" si="71"/>
        <v>0</v>
      </c>
      <c r="O121" s="13"/>
      <c r="P121" s="1">
        <f>SUM(OSRRefP22_13x_0)</f>
        <v>14</v>
      </c>
      <c r="Q121" s="1"/>
      <c r="R121" s="5">
        <f t="shared" si="72"/>
        <v>6.5690937278293094E-4</v>
      </c>
      <c r="S121" s="1"/>
      <c r="T121" s="1">
        <f>SUM(OSRRefT22_13x_0)</f>
        <v>80</v>
      </c>
      <c r="U121" s="1"/>
      <c r="V121" s="5">
        <f t="shared" si="73"/>
        <v>1.2234570421216221E-4</v>
      </c>
      <c r="W121" s="1"/>
      <c r="X121" s="1">
        <f t="shared" si="74"/>
        <v>-66</v>
      </c>
      <c r="Y121" s="1"/>
      <c r="Z121" s="5">
        <f t="shared" si="75"/>
        <v>-0.82499999999999996</v>
      </c>
    </row>
    <row r="122" spans="1:26" s="24" customFormat="1" hidden="1" outlineLevel="2" x14ac:dyDescent="0.25">
      <c r="A122" s="25"/>
      <c r="B122" s="11" t="str">
        <f>CONCATENATE("          ", "6376", " - ", "TRAINING")</f>
        <v xml:space="preserve">          6376 - TRAINING</v>
      </c>
      <c r="C122" s="11"/>
      <c r="D122" s="6"/>
      <c r="E122" s="2"/>
      <c r="F122" s="7">
        <f t="shared" si="68"/>
        <v>0</v>
      </c>
      <c r="G122" s="2"/>
      <c r="H122" s="6"/>
      <c r="I122" s="2"/>
      <c r="J122" s="7">
        <f t="shared" si="69"/>
        <v>0</v>
      </c>
      <c r="K122" s="2"/>
      <c r="L122" s="6">
        <f t="shared" si="70"/>
        <v>0</v>
      </c>
      <c r="M122" s="2"/>
      <c r="N122" s="7">
        <f t="shared" si="71"/>
        <v>0</v>
      </c>
      <c r="O122" s="11"/>
      <c r="P122" s="6">
        <v>14</v>
      </c>
      <c r="Q122" s="2"/>
      <c r="R122" s="7">
        <f t="shared" si="72"/>
        <v>6.5690937278293094E-4</v>
      </c>
      <c r="S122" s="2"/>
      <c r="T122" s="6">
        <v>80</v>
      </c>
      <c r="U122" s="2"/>
      <c r="V122" s="7">
        <f t="shared" si="73"/>
        <v>1.2234570421216221E-4</v>
      </c>
      <c r="W122" s="2"/>
      <c r="X122" s="6">
        <f t="shared" si="74"/>
        <v>-66</v>
      </c>
      <c r="Y122" s="2"/>
      <c r="Z122" s="7">
        <f t="shared" si="75"/>
        <v>-0.82499999999999996</v>
      </c>
    </row>
    <row r="123" spans="1:26" s="26" customFormat="1" outlineLevel="1" collapsed="1" x14ac:dyDescent="0.25">
      <c r="A123" s="27"/>
      <c r="B123" s="13" t="str">
        <f>CONCATENATE("     ","Travel                                            ")</f>
        <v xml:space="preserve">     Travel                                            </v>
      </c>
      <c r="C123" s="13"/>
      <c r="D123" s="1">
        <f>SUM(OSRRefD22_14x_0)</f>
        <v>0</v>
      </c>
      <c r="E123" s="1"/>
      <c r="F123" s="5">
        <f t="shared" si="68"/>
        <v>0</v>
      </c>
      <c r="G123" s="1"/>
      <c r="H123" s="1">
        <f>SUM(OSRRefH22_14x_0)</f>
        <v>0</v>
      </c>
      <c r="I123" s="1"/>
      <c r="J123" s="5">
        <f t="shared" si="69"/>
        <v>0</v>
      </c>
      <c r="K123" s="1"/>
      <c r="L123" s="1">
        <f t="shared" si="70"/>
        <v>0</v>
      </c>
      <c r="M123" s="1"/>
      <c r="N123" s="5">
        <f t="shared" si="71"/>
        <v>0</v>
      </c>
      <c r="O123" s="13"/>
      <c r="P123" s="1">
        <f>SUM(OSRRefP22_14x_0)</f>
        <v>0</v>
      </c>
      <c r="Q123" s="1"/>
      <c r="R123" s="5">
        <f t="shared" si="72"/>
        <v>0</v>
      </c>
      <c r="S123" s="1"/>
      <c r="T123" s="1">
        <f>SUM(OSRRefT22_14x_0)</f>
        <v>-323.01</v>
      </c>
      <c r="U123" s="1"/>
      <c r="V123" s="5">
        <f t="shared" si="73"/>
        <v>-4.939860739696315E-4</v>
      </c>
      <c r="W123" s="1"/>
      <c r="X123" s="1">
        <f t="shared" si="74"/>
        <v>323.01</v>
      </c>
      <c r="Y123" s="1"/>
      <c r="Z123" s="5">
        <f t="shared" si="75"/>
        <v>-1</v>
      </c>
    </row>
    <row r="124" spans="1:26" s="24" customFormat="1" hidden="1" outlineLevel="2" x14ac:dyDescent="0.25">
      <c r="A124" s="25"/>
      <c r="B124" s="11" t="str">
        <f>CONCATENATE("          ", "6292", " - ", "TRAVEL/CONFERENCE")</f>
        <v xml:space="preserve">          6292 - TRAVEL/CONFERENCE</v>
      </c>
      <c r="C124" s="11"/>
      <c r="D124" s="6"/>
      <c r="E124" s="2"/>
      <c r="F124" s="7">
        <f t="shared" si="68"/>
        <v>0</v>
      </c>
      <c r="G124" s="2"/>
      <c r="H124" s="6"/>
      <c r="I124" s="2"/>
      <c r="J124" s="7">
        <f t="shared" si="69"/>
        <v>0</v>
      </c>
      <c r="K124" s="2"/>
      <c r="L124" s="6">
        <f t="shared" si="70"/>
        <v>0</v>
      </c>
      <c r="M124" s="2"/>
      <c r="N124" s="7">
        <f t="shared" si="71"/>
        <v>0</v>
      </c>
      <c r="O124" s="11"/>
      <c r="P124" s="6"/>
      <c r="Q124" s="2"/>
      <c r="R124" s="7">
        <f t="shared" si="72"/>
        <v>0</v>
      </c>
      <c r="S124" s="2"/>
      <c r="T124" s="6">
        <v>-323.01</v>
      </c>
      <c r="U124" s="2"/>
      <c r="V124" s="7">
        <f t="shared" si="73"/>
        <v>-4.939860739696315E-4</v>
      </c>
      <c r="W124" s="2"/>
      <c r="X124" s="6">
        <f t="shared" si="74"/>
        <v>323.01</v>
      </c>
      <c r="Y124" s="2"/>
      <c r="Z124" s="7">
        <f t="shared" si="75"/>
        <v>-1</v>
      </c>
    </row>
    <row r="125" spans="1:26" s="61" customFormat="1" x14ac:dyDescent="0.25">
      <c r="A125" s="37"/>
      <c r="B125" s="37"/>
      <c r="C125" s="37"/>
      <c r="D125" s="1"/>
      <c r="E125" s="1"/>
      <c r="F125" s="5"/>
      <c r="G125" s="1"/>
      <c r="H125" s="1"/>
      <c r="I125" s="1"/>
      <c r="J125" s="5"/>
      <c r="K125" s="1"/>
      <c r="L125" s="1"/>
      <c r="M125" s="1"/>
      <c r="N125" s="5"/>
      <c r="O125" s="37"/>
      <c r="P125" s="1"/>
      <c r="Q125" s="1"/>
      <c r="R125" s="5"/>
      <c r="S125" s="1"/>
      <c r="T125" s="1"/>
      <c r="U125" s="1"/>
      <c r="V125" s="5"/>
      <c r="W125" s="1"/>
      <c r="X125" s="1"/>
      <c r="Y125" s="1"/>
      <c r="Z125" s="5"/>
    </row>
    <row r="126" spans="1:26" s="23" customFormat="1" collapsed="1" x14ac:dyDescent="0.25">
      <c r="A126" s="10"/>
      <c r="B126" s="29" t="s">
        <v>0</v>
      </c>
      <c r="C126" s="10"/>
      <c r="D126" s="4">
        <f>SUM(OSRRefD25x_0)</f>
        <v>0</v>
      </c>
      <c r="E126" s="4"/>
      <c r="F126" s="12">
        <f t="shared" ref="F126:F127" si="76">IF(D$12=0,0,D126/D$12)</f>
        <v>0</v>
      </c>
      <c r="G126" s="4"/>
      <c r="H126" s="4">
        <f>SUM(OSRRefH25x_0)</f>
        <v>0</v>
      </c>
      <c r="I126" s="4"/>
      <c r="J126" s="12">
        <f t="shared" ref="J126:J127" si="77">IF(H$12=0,0,H126/H$12)</f>
        <v>0</v>
      </c>
      <c r="K126" s="4"/>
      <c r="L126" s="4">
        <f t="shared" ref="L126:L127" si="78">+D126-H126</f>
        <v>0</v>
      </c>
      <c r="M126" s="4"/>
      <c r="N126" s="12">
        <f t="shared" ref="N126:N127" si="79">IF(H126=0,0,L126/H126)</f>
        <v>0</v>
      </c>
      <c r="O126" s="10"/>
      <c r="P126" s="4">
        <f>SUM(OSRRefP25x_0)</f>
        <v>0</v>
      </c>
      <c r="Q126" s="4"/>
      <c r="R126" s="12">
        <f t="shared" ref="R126:R127" si="80">IF(P$12=0,0,P126/P$12)</f>
        <v>0</v>
      </c>
      <c r="S126" s="4"/>
      <c r="T126" s="4">
        <f>SUM(OSRRefT25x_0)</f>
        <v>68.760000000000005</v>
      </c>
      <c r="U126" s="4"/>
      <c r="V126" s="12">
        <f t="shared" ref="V126:V127" si="81">IF(T$12=0,0,T126/T$12)</f>
        <v>1.0515613277035343E-4</v>
      </c>
      <c r="W126" s="4"/>
      <c r="X126" s="4">
        <f t="shared" ref="X126:X127" si="82">+P126-T126</f>
        <v>-68.760000000000005</v>
      </c>
      <c r="Y126" s="4"/>
      <c r="Z126" s="12">
        <f t="shared" ref="Z126:Z127" si="83">IF(T126=0,0,X126/T126)</f>
        <v>-1</v>
      </c>
    </row>
    <row r="127" spans="1:26" s="24" customFormat="1" hidden="1" outlineLevel="1" x14ac:dyDescent="0.25">
      <c r="A127" s="44"/>
      <c r="B127" s="11" t="str">
        <f>CONCATENATE("          ", "9150", " - ", "MISC. INCOME")</f>
        <v xml:space="preserve">          9150 - MISC. INCOME</v>
      </c>
      <c r="C127" s="11"/>
      <c r="D127" s="2">
        <f>0</f>
        <v>0</v>
      </c>
      <c r="E127" s="2"/>
      <c r="F127" s="19">
        <f t="shared" si="76"/>
        <v>0</v>
      </c>
      <c r="G127" s="2"/>
      <c r="H127" s="2">
        <f>0</f>
        <v>0</v>
      </c>
      <c r="I127" s="2"/>
      <c r="J127" s="19">
        <f t="shared" si="77"/>
        <v>0</v>
      </c>
      <c r="K127" s="2"/>
      <c r="L127" s="2">
        <f t="shared" si="78"/>
        <v>0</v>
      </c>
      <c r="M127" s="2"/>
      <c r="N127" s="19">
        <f t="shared" si="79"/>
        <v>0</v>
      </c>
      <c r="O127" s="11"/>
      <c r="P127" s="2">
        <f>0</f>
        <v>0</v>
      </c>
      <c r="Q127" s="2"/>
      <c r="R127" s="19">
        <f t="shared" si="80"/>
        <v>0</v>
      </c>
      <c r="S127" s="2"/>
      <c r="T127" s="2">
        <f>--68.76</f>
        <v>68.760000000000005</v>
      </c>
      <c r="U127" s="2"/>
      <c r="V127" s="19">
        <f t="shared" si="81"/>
        <v>1.0515613277035343E-4</v>
      </c>
      <c r="W127" s="2"/>
      <c r="X127" s="2">
        <f t="shared" si="82"/>
        <v>-68.760000000000005</v>
      </c>
      <c r="Y127" s="2"/>
      <c r="Z127" s="19">
        <f t="shared" si="83"/>
        <v>-1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10"/>
      <c r="B129" s="28" t="s">
        <v>3</v>
      </c>
      <c r="C129" s="28"/>
      <c r="D129" s="20">
        <f>+D75-D77+D126</f>
        <v>-71.52</v>
      </c>
      <c r="E129" s="14"/>
      <c r="F129" s="22">
        <f>IF(D$12=0,0,D129/D$12)</f>
        <v>0</v>
      </c>
      <c r="G129" s="14"/>
      <c r="H129" s="20">
        <f>+H75-H77+H126</f>
        <v>41043.889999999992</v>
      </c>
      <c r="I129" s="14"/>
      <c r="J129" s="22">
        <f>IF(H$12=0,0,H129/H$12)</f>
        <v>0.29761894057698945</v>
      </c>
      <c r="K129" s="15"/>
      <c r="L129" s="20">
        <f>+D129-H129</f>
        <v>-41115.409999999989</v>
      </c>
      <c r="M129" s="15"/>
      <c r="N129" s="22">
        <f>IF(H129=0,0,L129/H129)</f>
        <v>-1.0017425248922556</v>
      </c>
      <c r="O129" s="29"/>
      <c r="P129" s="20">
        <f>+P75-P77+P126</f>
        <v>-4899.0899999999929</v>
      </c>
      <c r="Q129" s="14"/>
      <c r="R129" s="22">
        <f>IF(P$12=0,0,P129/P$12)</f>
        <v>-0.22987558136479461</v>
      </c>
      <c r="S129" s="14"/>
      <c r="T129" s="20">
        <f>+T75-T77+T126</f>
        <v>170248.09000000023</v>
      </c>
      <c r="U129" s="14"/>
      <c r="V129" s="22">
        <f>IF(T$12=0,0,T129/T$12)</f>
        <v>0.26036403077282</v>
      </c>
      <c r="W129" s="15"/>
      <c r="X129" s="20">
        <f>+P129-T129</f>
        <v>-175147.18000000023</v>
      </c>
      <c r="Y129" s="15"/>
      <c r="Z129" s="22">
        <f>IF(T129=0,0,X129/T129)</f>
        <v>-1.0287761818649477</v>
      </c>
    </row>
    <row r="130" spans="1:26" x14ac:dyDescent="0.25">
      <c r="A130" s="9"/>
      <c r="B130" s="10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x14ac:dyDescent="0.25">
      <c r="A131" s="51"/>
      <c r="B131" s="10" t="s">
        <v>13</v>
      </c>
      <c r="C131" s="10"/>
      <c r="D131" s="4">
        <v>-74.48</v>
      </c>
      <c r="E131" s="4"/>
      <c r="F131" s="12">
        <f>IF(D$12=0,0,D131/D$12)</f>
        <v>0</v>
      </c>
      <c r="G131" s="4"/>
      <c r="H131" s="4">
        <v>12461.41</v>
      </c>
      <c r="I131" s="4"/>
      <c r="J131" s="12">
        <f>IF(H$12=0,0,H131/H$12)</f>
        <v>9.0360627179721584E-2</v>
      </c>
      <c r="K131" s="4"/>
      <c r="L131" s="4">
        <f>+D131-H131</f>
        <v>-12535.89</v>
      </c>
      <c r="M131" s="4"/>
      <c r="N131" s="12">
        <f>IF(H131=0,0,L131/H131)</f>
        <v>-1.0059768517366814</v>
      </c>
      <c r="O131" s="10"/>
      <c r="P131" s="4">
        <v>3868.68</v>
      </c>
      <c r="Q131" s="4"/>
      <c r="R131" s="12">
        <f>IF(P$12=0,0,P131/P$12)</f>
        <v>0.18152658230699065</v>
      </c>
      <c r="S131" s="4"/>
      <c r="T131" s="4">
        <v>68190.930000000008</v>
      </c>
      <c r="U131" s="4"/>
      <c r="V131" s="12">
        <f>IF(T$12=0,0,T131/T$12)</f>
        <v>0.10428584189665326</v>
      </c>
      <c r="W131" s="4"/>
      <c r="X131" s="4">
        <f>+P131-T131</f>
        <v>-64322.250000000007</v>
      </c>
      <c r="Y131" s="4"/>
      <c r="Z131" s="12">
        <f>IF(T131=0,0,X131/T131)</f>
        <v>-0.9432669418058971</v>
      </c>
    </row>
    <row r="132" spans="1:26" x14ac:dyDescent="0.25">
      <c r="A132" s="9"/>
      <c r="B132" s="10"/>
      <c r="C132" s="10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0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8" t="s">
        <v>4</v>
      </c>
      <c r="C133" s="28"/>
      <c r="D133" s="30">
        <f>+D129-D131</f>
        <v>2.960000000000008</v>
      </c>
      <c r="E133" s="14"/>
      <c r="F133" s="36">
        <f>IF(D$12=0,0,D133/D$12)</f>
        <v>0</v>
      </c>
      <c r="G133" s="14"/>
      <c r="H133" s="30">
        <f>+H129-H131</f>
        <v>28582.479999999992</v>
      </c>
      <c r="I133" s="14"/>
      <c r="J133" s="36">
        <f>IF(H$12=0,0,H133/H$12)</f>
        <v>0.20725831339726788</v>
      </c>
      <c r="K133" s="15"/>
      <c r="L133" s="30">
        <f>D133-H133</f>
        <v>-28579.519999999993</v>
      </c>
      <c r="M133" s="15"/>
      <c r="N133" s="36">
        <f>IF(H133=0,0,L133/H133)</f>
        <v>-0.99989644005698597</v>
      </c>
      <c r="O133" s="29"/>
      <c r="P133" s="30">
        <f>+P129-P131</f>
        <v>-8767.7699999999932</v>
      </c>
      <c r="Q133" s="14"/>
      <c r="R133" s="36">
        <f>IF(P$12=0,0,P133/P$12)</f>
        <v>-0.41140216367178528</v>
      </c>
      <c r="S133" s="14"/>
      <c r="T133" s="30">
        <f>+T129-T131</f>
        <v>102057.16000000022</v>
      </c>
      <c r="U133" s="14"/>
      <c r="V133" s="36">
        <f>IF(T$12=0,0,T133/T$12)</f>
        <v>0.15607818887616676</v>
      </c>
      <c r="W133" s="15"/>
      <c r="X133" s="30">
        <f>P133-T133</f>
        <v>-110824.93000000021</v>
      </c>
      <c r="Y133" s="15"/>
      <c r="Z133" s="36">
        <f>IF(T133=0,0,X133/T133)</f>
        <v>-1.0859103859053101</v>
      </c>
    </row>
    <row r="134" spans="1:26" ht="15.75" thickTop="1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8" t="s">
        <v>5</v>
      </c>
      <c r="C136" s="28"/>
      <c r="D136" s="32">
        <f>SUM(D133:D135)</f>
        <v>2.960000000000008</v>
      </c>
      <c r="E136" s="14"/>
      <c r="F136" s="31">
        <f>IF(D$12=0,0,D136/D$12)</f>
        <v>0</v>
      </c>
      <c r="G136" s="14"/>
      <c r="H136" s="32">
        <f>SUM(H133:H135)</f>
        <v>28582.479999999992</v>
      </c>
      <c r="I136" s="14"/>
      <c r="J136" s="31">
        <f>IF(H$12=0,0,H136/H$12)</f>
        <v>0.20725831339726788</v>
      </c>
      <c r="K136" s="15"/>
      <c r="L136" s="32">
        <f>+D136-H136</f>
        <v>-28579.519999999993</v>
      </c>
      <c r="M136" s="15"/>
      <c r="N136" s="31">
        <f>IF(H136=0,0,L136/H136)</f>
        <v>-0.99989644005698597</v>
      </c>
      <c r="O136" s="29"/>
      <c r="P136" s="32">
        <f>SUM(P133:P135)</f>
        <v>-8767.7699999999932</v>
      </c>
      <c r="Q136" s="14"/>
      <c r="R136" s="31">
        <f>IF(P$12=0,0,P136/P$12)</f>
        <v>-0.41140216367178528</v>
      </c>
      <c r="S136" s="14"/>
      <c r="T136" s="32">
        <f>SUM(T133:T135)</f>
        <v>102057.16000000022</v>
      </c>
      <c r="U136" s="14"/>
      <c r="V136" s="31">
        <f>IF(T$12=0,0,T136/T$12)</f>
        <v>0.15607818887616676</v>
      </c>
      <c r="W136" s="15"/>
      <c r="X136" s="32">
        <f>+P136-T136</f>
        <v>-110824.93000000021</v>
      </c>
      <c r="Y136" s="15"/>
      <c r="Z136" s="31">
        <f>IF(T136=0,0,X136/T136)</f>
        <v>-1.0859103859053101</v>
      </c>
    </row>
    <row r="137" spans="1:26" ht="15.75" thickTop="1" x14ac:dyDescent="0.25">
      <c r="A137" s="9"/>
      <c r="C137" s="9"/>
      <c r="D137" s="18"/>
      <c r="E137" s="18"/>
      <c r="G137" s="18"/>
      <c r="H137" s="18"/>
      <c r="I137" s="18"/>
      <c r="J137" s="42"/>
      <c r="K137" s="18"/>
      <c r="L137" s="18"/>
      <c r="M137" s="18"/>
      <c r="P137" s="18"/>
      <c r="Q137" s="18"/>
      <c r="R137" s="42"/>
      <c r="S137" s="18"/>
      <c r="T137" s="18"/>
      <c r="U137" s="18"/>
      <c r="V137" s="42"/>
      <c r="W137" s="18"/>
      <c r="X137" s="18"/>
    </row>
    <row r="138" spans="1:26" x14ac:dyDescent="0.25">
      <c r="A138" s="9"/>
      <c r="B138" s="62">
        <v>44238.495862071759</v>
      </c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A139" s="9"/>
      <c r="B139" s="59" t="s">
        <v>313</v>
      </c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  <row r="140" spans="1:26" x14ac:dyDescent="0.25">
      <c r="A140" s="9"/>
      <c r="B140" s="56"/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  <row r="141" spans="1:26" x14ac:dyDescent="0.25">
      <c r="D141" s="18"/>
      <c r="E141" s="18"/>
      <c r="G141" s="18"/>
      <c r="H141" s="18"/>
      <c r="I141" s="18"/>
      <c r="J141" s="42"/>
      <c r="K141" s="18"/>
      <c r="L141" s="18"/>
      <c r="M141" s="18"/>
      <c r="P141" s="18"/>
      <c r="Q141" s="18"/>
      <c r="R141" s="42"/>
      <c r="S141" s="18"/>
      <c r="T141" s="18"/>
      <c r="U141" s="18"/>
      <c r="V141" s="42"/>
      <c r="W141" s="18"/>
      <c r="X141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","307", " - ", "Art Store")</f>
        <v>Department 307 - Art Store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52148.82</v>
      </c>
      <c r="I12" s="4"/>
      <c r="J12" s="12"/>
      <c r="K12" s="4"/>
      <c r="L12" s="4">
        <f t="shared" ref="L12:L43" si="0">+D12-H12</f>
        <v>-52148.82</v>
      </c>
      <c r="M12" s="4"/>
      <c r="N12" s="12">
        <f t="shared" ref="N12:N43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320992.9200000001</v>
      </c>
      <c r="U12" s="4"/>
      <c r="V12" s="12"/>
      <c r="W12" s="4"/>
      <c r="X12" s="4">
        <f t="shared" ref="X12:X43" si="2">+P12-T12</f>
        <v>-299681.00000000012</v>
      </c>
      <c r="Y12" s="4"/>
      <c r="Z12" s="12">
        <f t="shared" ref="Z12:Z43" si="3">IF(T12=0,0,X12/T12)</f>
        <v>-0.93360626147143688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43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>
        <f>--10.98</f>
        <v>10.98</v>
      </c>
      <c r="I14" s="2"/>
      <c r="J14" s="19"/>
      <c r="K14" s="2"/>
      <c r="L14" s="2">
        <f t="shared" si="0"/>
        <v>-10.98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--43.92</f>
        <v>43.92</v>
      </c>
      <c r="U14" s="2"/>
      <c r="V14" s="19"/>
      <c r="W14" s="2"/>
      <c r="X14" s="2">
        <f t="shared" si="2"/>
        <v>-43.92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 t="shared" si="4"/>
        <v>0</v>
      </c>
      <c r="E15" s="2"/>
      <c r="F15" s="19"/>
      <c r="G15" s="2"/>
      <c r="H15" s="2">
        <f>--75.7</f>
        <v>75.7</v>
      </c>
      <c r="I15" s="2"/>
      <c r="J15" s="19"/>
      <c r="K15" s="2"/>
      <c r="L15" s="2">
        <f t="shared" si="0"/>
        <v>-75.7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--1680.71</f>
        <v>1680.71</v>
      </c>
      <c r="U15" s="2"/>
      <c r="V15" s="19"/>
      <c r="W15" s="2"/>
      <c r="X15" s="2">
        <f t="shared" si="2"/>
        <v>-1680.71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 t="shared" si="4"/>
        <v>0</v>
      </c>
      <c r="E16" s="2"/>
      <c r="F16" s="19"/>
      <c r="G16" s="2"/>
      <c r="H16" s="2">
        <f>--1068.59</f>
        <v>1068.5899999999999</v>
      </c>
      <c r="I16" s="2"/>
      <c r="J16" s="19"/>
      <c r="K16" s="2"/>
      <c r="L16" s="2">
        <f t="shared" si="0"/>
        <v>-1068.5899999999999</v>
      </c>
      <c r="M16" s="2"/>
      <c r="N16" s="19">
        <f t="shared" si="1"/>
        <v>-1</v>
      </c>
      <c r="O16" s="11"/>
      <c r="P16" s="2">
        <f>--17.51</f>
        <v>17.510000000000002</v>
      </c>
      <c r="Q16" s="2"/>
      <c r="R16" s="19"/>
      <c r="S16" s="2"/>
      <c r="T16" s="2">
        <f>--5026.13</f>
        <v>5026.13</v>
      </c>
      <c r="U16" s="2"/>
      <c r="V16" s="19"/>
      <c r="W16" s="2"/>
      <c r="X16" s="2">
        <f t="shared" si="2"/>
        <v>-5008.62</v>
      </c>
      <c r="Y16" s="2"/>
      <c r="Z16" s="19">
        <f t="shared" si="3"/>
        <v>-0.99651620630584559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 t="shared" si="4"/>
        <v>0</v>
      </c>
      <c r="E17" s="2"/>
      <c r="F17" s="19"/>
      <c r="G17" s="2"/>
      <c r="H17" s="2">
        <f>--2351.94</f>
        <v>2351.94</v>
      </c>
      <c r="I17" s="2"/>
      <c r="J17" s="19"/>
      <c r="K17" s="2"/>
      <c r="L17" s="2">
        <f t="shared" si="0"/>
        <v>-2351.94</v>
      </c>
      <c r="M17" s="2"/>
      <c r="N17" s="19">
        <f t="shared" si="1"/>
        <v>-1</v>
      </c>
      <c r="O17" s="11"/>
      <c r="P17" s="2">
        <f>--7990.32</f>
        <v>7990.32</v>
      </c>
      <c r="Q17" s="2"/>
      <c r="R17" s="19"/>
      <c r="S17" s="2"/>
      <c r="T17" s="2">
        <f>--8167.86</f>
        <v>8167.86</v>
      </c>
      <c r="U17" s="2"/>
      <c r="V17" s="19"/>
      <c r="W17" s="2"/>
      <c r="X17" s="2">
        <f t="shared" si="2"/>
        <v>-177.53999999999996</v>
      </c>
      <c r="Y17" s="2"/>
      <c r="Z17" s="19">
        <f t="shared" si="3"/>
        <v>-2.1736415658446639E-2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 t="shared" si="4"/>
        <v>0</v>
      </c>
      <c r="E18" s="2"/>
      <c r="F18" s="19"/>
      <c r="G18" s="2"/>
      <c r="H18" s="2">
        <f>--41021.26</f>
        <v>41021.26</v>
      </c>
      <c r="I18" s="2"/>
      <c r="J18" s="19"/>
      <c r="K18" s="2"/>
      <c r="L18" s="2">
        <f t="shared" si="0"/>
        <v>-41021.26</v>
      </c>
      <c r="M18" s="2"/>
      <c r="N18" s="19">
        <f t="shared" si="1"/>
        <v>-1</v>
      </c>
      <c r="O18" s="11"/>
      <c r="P18" s="2">
        <f>--12479.05</f>
        <v>12479.05</v>
      </c>
      <c r="Q18" s="2"/>
      <c r="R18" s="19"/>
      <c r="S18" s="2"/>
      <c r="T18" s="2">
        <f>--222972.32</f>
        <v>222972.32</v>
      </c>
      <c r="U18" s="2"/>
      <c r="V18" s="19"/>
      <c r="W18" s="2"/>
      <c r="X18" s="2">
        <f t="shared" si="2"/>
        <v>-210493.27000000002</v>
      </c>
      <c r="Y18" s="2"/>
      <c r="Z18" s="19">
        <f t="shared" si="3"/>
        <v>-0.94403318761718946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 t="shared" si="4"/>
        <v>0</v>
      </c>
      <c r="E19" s="2"/>
      <c r="F19" s="19"/>
      <c r="G19" s="2"/>
      <c r="H19" s="2">
        <f>--43.03</f>
        <v>43.03</v>
      </c>
      <c r="I19" s="2"/>
      <c r="J19" s="19"/>
      <c r="K19" s="2"/>
      <c r="L19" s="2">
        <f t="shared" si="0"/>
        <v>-43.03</v>
      </c>
      <c r="M19" s="2"/>
      <c r="N19" s="19">
        <f t="shared" si="1"/>
        <v>-1</v>
      </c>
      <c r="O19" s="11"/>
      <c r="P19" s="2">
        <f>--374.55</f>
        <v>374.55</v>
      </c>
      <c r="Q19" s="2"/>
      <c r="R19" s="19"/>
      <c r="S19" s="2"/>
      <c r="T19" s="2">
        <f>--349.97</f>
        <v>349.97</v>
      </c>
      <c r="U19" s="2"/>
      <c r="V19" s="19"/>
      <c r="W19" s="2"/>
      <c r="X19" s="2">
        <f t="shared" si="2"/>
        <v>24.579999999999984</v>
      </c>
      <c r="Y19" s="2"/>
      <c r="Z19" s="19">
        <f t="shared" si="3"/>
        <v>7.0234591536417354E-2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 t="shared" si="4"/>
        <v>0</v>
      </c>
      <c r="E20" s="2"/>
      <c r="F20" s="19"/>
      <c r="G20" s="2"/>
      <c r="H20" s="2">
        <f>--242.25</f>
        <v>242.25</v>
      </c>
      <c r="I20" s="2"/>
      <c r="J20" s="19"/>
      <c r="K20" s="2"/>
      <c r="L20" s="2">
        <f t="shared" si="0"/>
        <v>-242.25</v>
      </c>
      <c r="M20" s="2"/>
      <c r="N20" s="19">
        <f t="shared" si="1"/>
        <v>-1</v>
      </c>
      <c r="O20" s="11"/>
      <c r="P20" s="2">
        <f t="shared" ref="P20:P25" si="6">0</f>
        <v>0</v>
      </c>
      <c r="Q20" s="2"/>
      <c r="R20" s="19"/>
      <c r="S20" s="2"/>
      <c r="T20" s="2">
        <f>--1108.59</f>
        <v>1108.5899999999999</v>
      </c>
      <c r="U20" s="2"/>
      <c r="V20" s="19"/>
      <c r="W20" s="2"/>
      <c r="X20" s="2">
        <f t="shared" si="2"/>
        <v>-1108.5899999999999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 t="shared" si="4"/>
        <v>0</v>
      </c>
      <c r="E21" s="2"/>
      <c r="F21" s="19"/>
      <c r="G21" s="2"/>
      <c r="H21" s="2">
        <f>--15.13</f>
        <v>15.13</v>
      </c>
      <c r="I21" s="2"/>
      <c r="J21" s="19"/>
      <c r="K21" s="2"/>
      <c r="L21" s="2">
        <f t="shared" si="0"/>
        <v>-15.13</v>
      </c>
      <c r="M21" s="2"/>
      <c r="N21" s="19">
        <f t="shared" si="1"/>
        <v>-1</v>
      </c>
      <c r="O21" s="11"/>
      <c r="P21" s="2">
        <f t="shared" si="6"/>
        <v>0</v>
      </c>
      <c r="Q21" s="2"/>
      <c r="R21" s="19"/>
      <c r="S21" s="2"/>
      <c r="T21" s="2">
        <f>--146.15</f>
        <v>146.15</v>
      </c>
      <c r="U21" s="2"/>
      <c r="V21" s="19"/>
      <c r="W21" s="2"/>
      <c r="X21" s="2">
        <f t="shared" si="2"/>
        <v>-146.15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 t="shared" si="4"/>
        <v>0</v>
      </c>
      <c r="E22" s="2"/>
      <c r="F22" s="19"/>
      <c r="G22" s="2"/>
      <c r="H22" s="2">
        <f>--479.73</f>
        <v>479.73</v>
      </c>
      <c r="I22" s="2"/>
      <c r="J22" s="19"/>
      <c r="K22" s="2"/>
      <c r="L22" s="2">
        <f t="shared" si="0"/>
        <v>-479.73</v>
      </c>
      <c r="M22" s="2"/>
      <c r="N22" s="19">
        <f t="shared" si="1"/>
        <v>-1</v>
      </c>
      <c r="O22" s="11"/>
      <c r="P22" s="2">
        <f t="shared" si="6"/>
        <v>0</v>
      </c>
      <c r="Q22" s="2"/>
      <c r="R22" s="19"/>
      <c r="S22" s="2"/>
      <c r="T22" s="2">
        <f>--5751.24</f>
        <v>5751.24</v>
      </c>
      <c r="U22" s="2"/>
      <c r="V22" s="19"/>
      <c r="W22" s="2"/>
      <c r="X22" s="2">
        <f t="shared" si="2"/>
        <v>-5751.24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 t="shared" si="4"/>
        <v>0</v>
      </c>
      <c r="E23" s="2"/>
      <c r="F23" s="19"/>
      <c r="G23" s="2"/>
      <c r="H23" s="2">
        <f>--171.4</f>
        <v>171.4</v>
      </c>
      <c r="I23" s="2"/>
      <c r="J23" s="19"/>
      <c r="K23" s="2"/>
      <c r="L23" s="2">
        <f t="shared" si="0"/>
        <v>-171.4</v>
      </c>
      <c r="M23" s="2"/>
      <c r="N23" s="19">
        <f t="shared" si="1"/>
        <v>-1</v>
      </c>
      <c r="O23" s="11"/>
      <c r="P23" s="2">
        <f t="shared" si="6"/>
        <v>0</v>
      </c>
      <c r="Q23" s="2"/>
      <c r="R23" s="19"/>
      <c r="S23" s="2"/>
      <c r="T23" s="2">
        <f>--1422.29</f>
        <v>1422.29</v>
      </c>
      <c r="U23" s="2"/>
      <c r="V23" s="19"/>
      <c r="W23" s="2"/>
      <c r="X23" s="2">
        <f t="shared" si="2"/>
        <v>-1422.29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 t="shared" si="4"/>
        <v>0</v>
      </c>
      <c r="E24" s="2"/>
      <c r="F24" s="19"/>
      <c r="G24" s="2"/>
      <c r="H24" s="2">
        <f>--17.84</f>
        <v>17.84</v>
      </c>
      <c r="I24" s="2"/>
      <c r="J24" s="19"/>
      <c r="K24" s="2"/>
      <c r="L24" s="2">
        <f t="shared" si="0"/>
        <v>-17.84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--414.1</f>
        <v>414.1</v>
      </c>
      <c r="U24" s="2"/>
      <c r="V24" s="19"/>
      <c r="W24" s="2"/>
      <c r="X24" s="2">
        <f t="shared" si="2"/>
        <v>-414.1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"4042", " - ", "TAXABLE SALES-EVERYDAY GIFTS")</f>
        <v xml:space="preserve">          4042 - TAXABLE SALES-EVERYDAY GIFTS</v>
      </c>
      <c r="C25" s="11"/>
      <c r="D25" s="2">
        <f t="shared" si="4"/>
        <v>0</v>
      </c>
      <c r="E25" s="2"/>
      <c r="F25" s="19"/>
      <c r="G25" s="2"/>
      <c r="H25" s="2">
        <f>--32.95</f>
        <v>32.950000000000003</v>
      </c>
      <c r="I25" s="2"/>
      <c r="J25" s="19"/>
      <c r="K25" s="2"/>
      <c r="L25" s="2">
        <f t="shared" si="0"/>
        <v>-32.950000000000003</v>
      </c>
      <c r="M25" s="2"/>
      <c r="N25" s="19">
        <f t="shared" si="1"/>
        <v>-1</v>
      </c>
      <c r="O25" s="11"/>
      <c r="P25" s="2">
        <f t="shared" si="6"/>
        <v>0</v>
      </c>
      <c r="Q25" s="2"/>
      <c r="R25" s="19"/>
      <c r="S25" s="2"/>
      <c r="T25" s="2">
        <f>--32.95</f>
        <v>32.950000000000003</v>
      </c>
      <c r="U25" s="2"/>
      <c r="V25" s="19"/>
      <c r="W25" s="2"/>
      <c r="X25" s="2">
        <f t="shared" si="2"/>
        <v>-32.950000000000003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"4081", " - ", "TAXABLE SALES-ELECTRONICS")</f>
        <v xml:space="preserve">          4081 - TAXABLE SALES-ELECTRONICS</v>
      </c>
      <c r="C26" s="11"/>
      <c r="D26" s="2">
        <f t="shared" si="4"/>
        <v>0</v>
      </c>
      <c r="E26" s="2"/>
      <c r="F26" s="19"/>
      <c r="G26" s="2"/>
      <c r="H26" s="2">
        <f>--266.85</f>
        <v>266.85000000000002</v>
      </c>
      <c r="I26" s="2"/>
      <c r="J26" s="19"/>
      <c r="K26" s="2"/>
      <c r="L26" s="2">
        <f t="shared" si="0"/>
        <v>-266.85000000000002</v>
      </c>
      <c r="M26" s="2"/>
      <c r="N26" s="19">
        <f t="shared" si="1"/>
        <v>-1</v>
      </c>
      <c r="O26" s="11"/>
      <c r="P26" s="2">
        <f>--71.95</f>
        <v>71.95</v>
      </c>
      <c r="Q26" s="2"/>
      <c r="R26" s="19"/>
      <c r="S26" s="2"/>
      <c r="T26" s="2">
        <f>--2801.28</f>
        <v>2801.28</v>
      </c>
      <c r="U26" s="2"/>
      <c r="V26" s="19"/>
      <c r="W26" s="2"/>
      <c r="X26" s="2">
        <f t="shared" si="2"/>
        <v>-2729.3300000000004</v>
      </c>
      <c r="Y26" s="2"/>
      <c r="Z26" s="19">
        <f t="shared" si="3"/>
        <v>-0.97431531299977159</v>
      </c>
    </row>
    <row r="27" spans="1:26" s="24" customFormat="1" hidden="1" outlineLevel="1" x14ac:dyDescent="0.25">
      <c r="A27" s="44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 t="shared" si="4"/>
        <v>0</v>
      </c>
      <c r="E27" s="2"/>
      <c r="F27" s="19"/>
      <c r="G27" s="2"/>
      <c r="H27" s="2">
        <f>--38</f>
        <v>38</v>
      </c>
      <c r="I27" s="2"/>
      <c r="J27" s="19"/>
      <c r="K27" s="2"/>
      <c r="L27" s="2">
        <f t="shared" si="0"/>
        <v>-38</v>
      </c>
      <c r="M27" s="2"/>
      <c r="N27" s="19">
        <f t="shared" si="1"/>
        <v>-1</v>
      </c>
      <c r="O27" s="11"/>
      <c r="P27" s="2">
        <f>0</f>
        <v>0</v>
      </c>
      <c r="Q27" s="2"/>
      <c r="R27" s="19"/>
      <c r="S27" s="2"/>
      <c r="T27" s="2">
        <f>--219</f>
        <v>219</v>
      </c>
      <c r="U27" s="2"/>
      <c r="V27" s="19"/>
      <c r="W27" s="2"/>
      <c r="X27" s="2">
        <f t="shared" si="2"/>
        <v>-219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 t="shared" si="4"/>
        <v>0</v>
      </c>
      <c r="E28" s="2"/>
      <c r="F28" s="19"/>
      <c r="G28" s="2"/>
      <c r="H28" s="2">
        <f>--149.91</f>
        <v>149.91</v>
      </c>
      <c r="I28" s="2"/>
      <c r="J28" s="19"/>
      <c r="K28" s="2"/>
      <c r="L28" s="2">
        <f t="shared" si="0"/>
        <v>-149.91</v>
      </c>
      <c r="M28" s="2"/>
      <c r="N28" s="19">
        <f t="shared" si="1"/>
        <v>-1</v>
      </c>
      <c r="O28" s="11"/>
      <c r="P28" s="2">
        <f>--9.99</f>
        <v>9.99</v>
      </c>
      <c r="Q28" s="2"/>
      <c r="R28" s="19"/>
      <c r="S28" s="2"/>
      <c r="T28" s="2">
        <f>--849.39</f>
        <v>849.39</v>
      </c>
      <c r="U28" s="2"/>
      <c r="V28" s="19"/>
      <c r="W28" s="2"/>
      <c r="X28" s="2">
        <f t="shared" si="2"/>
        <v>-839.4</v>
      </c>
      <c r="Y28" s="2"/>
      <c r="Z28" s="19">
        <f t="shared" si="3"/>
        <v>-0.98823861830254656</v>
      </c>
    </row>
    <row r="29" spans="1:26" s="24" customFormat="1" hidden="1" outlineLevel="1" x14ac:dyDescent="0.25">
      <c r="A29" s="44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 t="shared" si="4"/>
        <v>0</v>
      </c>
      <c r="E29" s="2"/>
      <c r="F29" s="19"/>
      <c r="G29" s="2"/>
      <c r="H29" s="2">
        <f>--76.99</f>
        <v>76.989999999999995</v>
      </c>
      <c r="I29" s="2"/>
      <c r="J29" s="19"/>
      <c r="K29" s="2"/>
      <c r="L29" s="2">
        <f t="shared" si="0"/>
        <v>-76.989999999999995</v>
      </c>
      <c r="M29" s="2"/>
      <c r="N29" s="19">
        <f t="shared" si="1"/>
        <v>-1</v>
      </c>
      <c r="O29" s="11"/>
      <c r="P29" s="2">
        <f t="shared" ref="P29:P31" si="7">0</f>
        <v>0</v>
      </c>
      <c r="Q29" s="2"/>
      <c r="R29" s="19"/>
      <c r="S29" s="2"/>
      <c r="T29" s="2">
        <f>--775.76</f>
        <v>775.76</v>
      </c>
      <c r="U29" s="2"/>
      <c r="V29" s="19"/>
      <c r="W29" s="2"/>
      <c r="X29" s="2">
        <f t="shared" si="2"/>
        <v>-775.76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"4127", " - ", "NON-TAXABLE SALES-SCHOOL SUPPL")</f>
        <v xml:space="preserve">          4127 - NON-TAXABLE SALES-SCHOOL SUPPL</v>
      </c>
      <c r="C30" s="11"/>
      <c r="D30" s="2">
        <f t="shared" si="4"/>
        <v>0</v>
      </c>
      <c r="E30" s="2"/>
      <c r="F30" s="19"/>
      <c r="G30" s="2"/>
      <c r="H30" s="2">
        <f>--1.99</f>
        <v>1.99</v>
      </c>
      <c r="I30" s="2"/>
      <c r="J30" s="19"/>
      <c r="K30" s="2"/>
      <c r="L30" s="2">
        <f t="shared" si="0"/>
        <v>-1.99</v>
      </c>
      <c r="M30" s="2"/>
      <c r="N30" s="19">
        <f t="shared" si="1"/>
        <v>-1</v>
      </c>
      <c r="O30" s="11"/>
      <c r="P30" s="2">
        <f t="shared" si="7"/>
        <v>0</v>
      </c>
      <c r="Q30" s="2"/>
      <c r="R30" s="19"/>
      <c r="S30" s="2"/>
      <c r="T30" s="2">
        <f>--14.16</f>
        <v>14.16</v>
      </c>
      <c r="U30" s="2"/>
      <c r="V30" s="19"/>
      <c r="W30" s="2"/>
      <c r="X30" s="2">
        <f t="shared" si="2"/>
        <v>-14.16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"4128", " - ", "NON-TAXABLE SALES-ART/TECH")</f>
        <v xml:space="preserve">          4128 - NON-TAXABLE SALES-ART/TECH</v>
      </c>
      <c r="C31" s="11"/>
      <c r="D31" s="2">
        <f t="shared" si="4"/>
        <v>0</v>
      </c>
      <c r="E31" s="2"/>
      <c r="F31" s="19"/>
      <c r="G31" s="2"/>
      <c r="H31" s="2">
        <f>--80.97</f>
        <v>80.97</v>
      </c>
      <c r="I31" s="2"/>
      <c r="J31" s="19"/>
      <c r="K31" s="2"/>
      <c r="L31" s="2">
        <f t="shared" si="0"/>
        <v>-80.97</v>
      </c>
      <c r="M31" s="2"/>
      <c r="N31" s="19">
        <f t="shared" si="1"/>
        <v>-1</v>
      </c>
      <c r="O31" s="11"/>
      <c r="P31" s="2">
        <f t="shared" si="7"/>
        <v>0</v>
      </c>
      <c r="Q31" s="2"/>
      <c r="R31" s="19"/>
      <c r="S31" s="2"/>
      <c r="T31" s="2">
        <f>--176.37</f>
        <v>176.37</v>
      </c>
      <c r="U31" s="2"/>
      <c r="V31" s="19"/>
      <c r="W31" s="2"/>
      <c r="X31" s="2">
        <f t="shared" si="2"/>
        <v>-176.37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"4131", " - ", "NON-TAXABLE SALES-FOOD")</f>
        <v xml:space="preserve">          4131 - NON-TAXABLE SALES-FOOD</v>
      </c>
      <c r="C32" s="11"/>
      <c r="D32" s="2">
        <f t="shared" si="4"/>
        <v>0</v>
      </c>
      <c r="E32" s="2"/>
      <c r="F32" s="19"/>
      <c r="G32" s="2"/>
      <c r="H32" s="2">
        <f>--3794.43</f>
        <v>3794.43</v>
      </c>
      <c r="I32" s="2"/>
      <c r="J32" s="19"/>
      <c r="K32" s="2"/>
      <c r="L32" s="2">
        <f t="shared" si="0"/>
        <v>-3794.43</v>
      </c>
      <c r="M32" s="2"/>
      <c r="N32" s="19">
        <f t="shared" si="1"/>
        <v>-1</v>
      </c>
      <c r="O32" s="11"/>
      <c r="P32" s="2">
        <f>--1847.16</f>
        <v>1847.16</v>
      </c>
      <c r="Q32" s="2"/>
      <c r="R32" s="19"/>
      <c r="S32" s="2"/>
      <c r="T32" s="2">
        <f>--41925.67</f>
        <v>41925.67</v>
      </c>
      <c r="U32" s="2"/>
      <c r="V32" s="19"/>
      <c r="W32" s="2"/>
      <c r="X32" s="2">
        <f t="shared" si="2"/>
        <v>-40078.509999999995</v>
      </c>
      <c r="Y32" s="2"/>
      <c r="Z32" s="19">
        <f t="shared" si="3"/>
        <v>-0.95594202787933968</v>
      </c>
    </row>
    <row r="33" spans="1:26" s="24" customFormat="1" hidden="1" outlineLevel="1" x14ac:dyDescent="0.25">
      <c r="A33" s="44"/>
      <c r="B33" s="11" t="str">
        <f>CONCATENATE("          ", "4132", " - ", "NON-TAXABLE SALES-JUICE")</f>
        <v xml:space="preserve">          4132 - NON-TAXABLE SALES-JUICE</v>
      </c>
      <c r="C33" s="11"/>
      <c r="D33" s="2">
        <f t="shared" si="4"/>
        <v>0</v>
      </c>
      <c r="E33" s="2"/>
      <c r="F33" s="19"/>
      <c r="G33" s="2"/>
      <c r="H33" s="2">
        <f>--1102.23</f>
        <v>1102.23</v>
      </c>
      <c r="I33" s="2"/>
      <c r="J33" s="19"/>
      <c r="K33" s="2"/>
      <c r="L33" s="2">
        <f t="shared" si="0"/>
        <v>-1102.23</v>
      </c>
      <c r="M33" s="2"/>
      <c r="N33" s="19">
        <f t="shared" si="1"/>
        <v>-1</v>
      </c>
      <c r="O33" s="11"/>
      <c r="P33" s="2">
        <f t="shared" ref="P33:P39" si="8">0</f>
        <v>0</v>
      </c>
      <c r="Q33" s="2"/>
      <c r="R33" s="19"/>
      <c r="S33" s="2"/>
      <c r="T33" s="2">
        <f>--12547.43</f>
        <v>12547.43</v>
      </c>
      <c r="U33" s="2"/>
      <c r="V33" s="19"/>
      <c r="W33" s="2"/>
      <c r="X33" s="2">
        <f t="shared" si="2"/>
        <v>-12547.43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"4133", " - ", "NON-TAXABLE SALES-CANDY")</f>
        <v xml:space="preserve">          4133 - NON-TAXABLE SALES-CANDY</v>
      </c>
      <c r="C34" s="11"/>
      <c r="D34" s="2">
        <f t="shared" si="4"/>
        <v>0</v>
      </c>
      <c r="E34" s="2"/>
      <c r="F34" s="19"/>
      <c r="G34" s="2"/>
      <c r="H34" s="2">
        <f>--1239.37</f>
        <v>1239.3699999999999</v>
      </c>
      <c r="I34" s="2"/>
      <c r="J34" s="19"/>
      <c r="K34" s="2"/>
      <c r="L34" s="2">
        <f t="shared" si="0"/>
        <v>-1239.3699999999999</v>
      </c>
      <c r="M34" s="2"/>
      <c r="N34" s="19">
        <f t="shared" si="1"/>
        <v>-1</v>
      </c>
      <c r="O34" s="11"/>
      <c r="P34" s="2">
        <f t="shared" si="8"/>
        <v>0</v>
      </c>
      <c r="Q34" s="2"/>
      <c r="R34" s="19"/>
      <c r="S34" s="2"/>
      <c r="T34" s="2">
        <f>--11846.36</f>
        <v>11846.36</v>
      </c>
      <c r="U34" s="2"/>
      <c r="V34" s="19"/>
      <c r="W34" s="2"/>
      <c r="X34" s="2">
        <f t="shared" si="2"/>
        <v>-11846.36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"4135", " - ", "NON-TAXABLE SALES")</f>
        <v xml:space="preserve">          4135 - NON-TAXABLE SALES</v>
      </c>
      <c r="C35" s="11"/>
      <c r="D35" s="2">
        <f t="shared" si="4"/>
        <v>0</v>
      </c>
      <c r="E35" s="2"/>
      <c r="F35" s="19"/>
      <c r="G35" s="2"/>
      <c r="H35" s="2">
        <f>--21.54</f>
        <v>21.54</v>
      </c>
      <c r="I35" s="2"/>
      <c r="J35" s="19"/>
      <c r="K35" s="2"/>
      <c r="L35" s="2">
        <f t="shared" si="0"/>
        <v>-21.54</v>
      </c>
      <c r="M35" s="2"/>
      <c r="N35" s="19">
        <f t="shared" si="1"/>
        <v>-1</v>
      </c>
      <c r="O35" s="11"/>
      <c r="P35" s="2">
        <f t="shared" si="8"/>
        <v>0</v>
      </c>
      <c r="Q35" s="2"/>
      <c r="R35" s="19"/>
      <c r="S35" s="2"/>
      <c r="T35" s="2">
        <f>--89.7</f>
        <v>89.7</v>
      </c>
      <c r="U35" s="2"/>
      <c r="V35" s="19"/>
      <c r="W35" s="2"/>
      <c r="X35" s="2">
        <f t="shared" si="2"/>
        <v>-89.7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"4137", " - ", "NON-TAXABLE SALES-WATER")</f>
        <v xml:space="preserve">          4137 - NON-TAXABLE SALES-WATER</v>
      </c>
      <c r="C36" s="11"/>
      <c r="D36" s="2">
        <f t="shared" si="4"/>
        <v>0</v>
      </c>
      <c r="E36" s="2"/>
      <c r="F36" s="19"/>
      <c r="G36" s="2"/>
      <c r="H36" s="2">
        <f>--625.39</f>
        <v>625.39</v>
      </c>
      <c r="I36" s="2"/>
      <c r="J36" s="19"/>
      <c r="K36" s="2"/>
      <c r="L36" s="2">
        <f t="shared" si="0"/>
        <v>-625.39</v>
      </c>
      <c r="M36" s="2"/>
      <c r="N36" s="19">
        <f t="shared" si="1"/>
        <v>-1</v>
      </c>
      <c r="O36" s="11"/>
      <c r="P36" s="2">
        <f t="shared" si="8"/>
        <v>0</v>
      </c>
      <c r="Q36" s="2"/>
      <c r="R36" s="19"/>
      <c r="S36" s="2"/>
      <c r="T36" s="2">
        <f>--6445.46</f>
        <v>6445.46</v>
      </c>
      <c r="U36" s="2"/>
      <c r="V36" s="19"/>
      <c r="W36" s="2"/>
      <c r="X36" s="2">
        <f t="shared" si="2"/>
        <v>-6445.46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"4186", " - ", "NON-TAXABLE SALES-COMPUTER SUP")</f>
        <v xml:space="preserve">          4186 - NON-TAXABLE SALES-COMPUTER SUP</v>
      </c>
      <c r="C37" s="11"/>
      <c r="D37" s="2">
        <f t="shared" si="4"/>
        <v>0</v>
      </c>
      <c r="E37" s="2"/>
      <c r="F37" s="19"/>
      <c r="G37" s="2"/>
      <c r="H37" s="2">
        <f t="shared" ref="H37:H38" si="9"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 t="shared" si="8"/>
        <v>0</v>
      </c>
      <c r="Q37" s="2"/>
      <c r="R37" s="19"/>
      <c r="S37" s="2"/>
      <c r="T37" s="2">
        <f>-30.97</f>
        <v>-30.97</v>
      </c>
      <c r="U37" s="2"/>
      <c r="V37" s="19"/>
      <c r="W37" s="2"/>
      <c r="X37" s="2">
        <f t="shared" si="2"/>
        <v>30.97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"4225", " - ", "SALES RETURN TAXABLE-TEST FORM")</f>
        <v xml:space="preserve">          4225 - SALES RETURN TAXABLE-TEST FORM</v>
      </c>
      <c r="C38" s="11"/>
      <c r="D38" s="2">
        <f t="shared" si="4"/>
        <v>0</v>
      </c>
      <c r="E38" s="2"/>
      <c r="F38" s="19"/>
      <c r="G38" s="2"/>
      <c r="H38" s="2">
        <f t="shared" si="9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 t="shared" si="8"/>
        <v>0</v>
      </c>
      <c r="Q38" s="2"/>
      <c r="R38" s="19"/>
      <c r="S38" s="2"/>
      <c r="T38" s="2">
        <f>-1.39</f>
        <v>-1.39</v>
      </c>
      <c r="U38" s="2"/>
      <c r="V38" s="19"/>
      <c r="W38" s="2"/>
      <c r="X38" s="2">
        <f t="shared" si="2"/>
        <v>1.39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 t="shared" si="4"/>
        <v>0</v>
      </c>
      <c r="E39" s="2"/>
      <c r="F39" s="19"/>
      <c r="G39" s="2"/>
      <c r="H39" s="2">
        <f>-1.99</f>
        <v>-1.99</v>
      </c>
      <c r="I39" s="2"/>
      <c r="J39" s="19"/>
      <c r="K39" s="2"/>
      <c r="L39" s="2">
        <f t="shared" si="0"/>
        <v>1.99</v>
      </c>
      <c r="M39" s="2"/>
      <c r="N39" s="19">
        <f t="shared" si="1"/>
        <v>-1</v>
      </c>
      <c r="O39" s="11"/>
      <c r="P39" s="2">
        <f t="shared" si="8"/>
        <v>0</v>
      </c>
      <c r="Q39" s="2"/>
      <c r="R39" s="19"/>
      <c r="S39" s="2"/>
      <c r="T39" s="2">
        <f>-8.76</f>
        <v>-8.76</v>
      </c>
      <c r="U39" s="2"/>
      <c r="V39" s="19"/>
      <c r="W39" s="2"/>
      <c r="X39" s="2">
        <f t="shared" si="2"/>
        <v>8.76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 t="shared" si="4"/>
        <v>0</v>
      </c>
      <c r="E40" s="2"/>
      <c r="F40" s="19"/>
      <c r="G40" s="2"/>
      <c r="H40" s="2">
        <f>-14.08</f>
        <v>-14.08</v>
      </c>
      <c r="I40" s="2"/>
      <c r="J40" s="19"/>
      <c r="K40" s="2"/>
      <c r="L40" s="2">
        <f t="shared" si="0"/>
        <v>14.08</v>
      </c>
      <c r="M40" s="2"/>
      <c r="N40" s="19">
        <f t="shared" si="1"/>
        <v>-1</v>
      </c>
      <c r="O40" s="11"/>
      <c r="P40" s="2">
        <f>-159.97</f>
        <v>-159.97</v>
      </c>
      <c r="Q40" s="2"/>
      <c r="R40" s="19"/>
      <c r="S40" s="2"/>
      <c r="T40" s="2">
        <f>-42.06</f>
        <v>-42.06</v>
      </c>
      <c r="U40" s="2"/>
      <c r="V40" s="19"/>
      <c r="W40" s="2"/>
      <c r="X40" s="2">
        <f t="shared" si="2"/>
        <v>-117.91</v>
      </c>
      <c r="Y40" s="2"/>
      <c r="Z40" s="19">
        <f t="shared" si="3"/>
        <v>2.8033761293390391</v>
      </c>
    </row>
    <row r="41" spans="1:26" s="24" customFormat="1" hidden="1" outlineLevel="1" x14ac:dyDescent="0.25">
      <c r="A41" s="44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 t="shared" si="4"/>
        <v>0</v>
      </c>
      <c r="E41" s="2"/>
      <c r="F41" s="19"/>
      <c r="G41" s="2"/>
      <c r="H41" s="2">
        <f>-763.58</f>
        <v>-763.58</v>
      </c>
      <c r="I41" s="2"/>
      <c r="J41" s="19"/>
      <c r="K41" s="2"/>
      <c r="L41" s="2">
        <f t="shared" si="0"/>
        <v>763.58</v>
      </c>
      <c r="M41" s="2"/>
      <c r="N41" s="19">
        <f t="shared" si="1"/>
        <v>-1</v>
      </c>
      <c r="O41" s="11"/>
      <c r="P41" s="2">
        <f>-222.2</f>
        <v>-222.2</v>
      </c>
      <c r="Q41" s="2"/>
      <c r="R41" s="19"/>
      <c r="S41" s="2"/>
      <c r="T41" s="2">
        <f>-3674.45</f>
        <v>-3674.45</v>
      </c>
      <c r="U41" s="2"/>
      <c r="V41" s="19"/>
      <c r="W41" s="2"/>
      <c r="X41" s="2">
        <f t="shared" si="2"/>
        <v>3452.25</v>
      </c>
      <c r="Y41" s="2"/>
      <c r="Z41" s="19">
        <f t="shared" si="3"/>
        <v>-0.93952836478928825</v>
      </c>
    </row>
    <row r="42" spans="1:26" s="24" customFormat="1" hidden="1" outlineLevel="1" x14ac:dyDescent="0.25">
      <c r="A42" s="44"/>
      <c r="B42" s="11" t="str">
        <f>CONCATENATE("          ", "4233", " - ", "SALES RETURN TAXABLE-CANDY")</f>
        <v xml:space="preserve">          4233 - SALES RETURN TAXABLE-CANDY</v>
      </c>
      <c r="C42" s="11"/>
      <c r="D42" s="2">
        <f t="shared" si="4"/>
        <v>0</v>
      </c>
      <c r="E42" s="2"/>
      <c r="F42" s="19"/>
      <c r="G42" s="2"/>
      <c r="H42" s="2">
        <f t="shared" ref="H42:H43" si="10">0</f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 t="shared" ref="P42:P43" si="11">0</f>
        <v>0</v>
      </c>
      <c r="Q42" s="2"/>
      <c r="R42" s="19"/>
      <c r="S42" s="2"/>
      <c r="T42" s="2">
        <f>-1.29</f>
        <v>-1.29</v>
      </c>
      <c r="U42" s="2"/>
      <c r="V42" s="19"/>
      <c r="W42" s="2"/>
      <c r="X42" s="2">
        <f t="shared" si="2"/>
        <v>1.29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"4281", " - ", "SALES RETURN TAXABLE-ELECTRONI")</f>
        <v xml:space="preserve">          4281 - SALES RETURN TAXABLE-ELECTRONI</v>
      </c>
      <c r="C43" s="11"/>
      <c r="D43" s="2">
        <f t="shared" si="4"/>
        <v>0</v>
      </c>
      <c r="E43" s="2"/>
      <c r="F43" s="19"/>
      <c r="G43" s="2"/>
      <c r="H43" s="2">
        <f t="shared" si="10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 t="shared" si="11"/>
        <v>0</v>
      </c>
      <c r="Q43" s="2"/>
      <c r="R43" s="19"/>
      <c r="S43" s="2"/>
      <c r="T43" s="2">
        <f>-54.97</f>
        <v>-54.97</v>
      </c>
      <c r="U43" s="2"/>
      <c r="V43" s="19"/>
      <c r="W43" s="2"/>
      <c r="X43" s="2">
        <f t="shared" si="2"/>
        <v>54.97</v>
      </c>
      <c r="Y43" s="2"/>
      <c r="Z43" s="19">
        <f t="shared" si="3"/>
        <v>-1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collapsed="1" x14ac:dyDescent="0.25">
      <c r="A45" s="10"/>
      <c r="B45" s="29" t="s">
        <v>8</v>
      </c>
      <c r="C45" s="10"/>
      <c r="D45" s="4">
        <f>SUM(OSRRefD16x_0)</f>
        <v>18.52</v>
      </c>
      <c r="E45" s="4"/>
      <c r="F45" s="12">
        <f t="shared" ref="F45:F65" si="12">IF(D$12=0,0,D45/D$12)</f>
        <v>0</v>
      </c>
      <c r="G45" s="4"/>
      <c r="H45" s="4">
        <f>SUM(OSRRefH16x_0)</f>
        <v>27594.300000000007</v>
      </c>
      <c r="I45" s="4"/>
      <c r="J45" s="12">
        <f t="shared" ref="J45:J65" si="13">IF(H$12=0,0,H45/H$12)</f>
        <v>0.52914524240433447</v>
      </c>
      <c r="K45" s="4"/>
      <c r="L45" s="4">
        <f t="shared" ref="L45:L65" si="14">+D45-H45</f>
        <v>-27575.780000000006</v>
      </c>
      <c r="M45" s="4"/>
      <c r="N45" s="12">
        <f t="shared" ref="N45:N65" si="15">IF(H45=0,0,L45/H45)</f>
        <v>-0.99932884689954082</v>
      </c>
      <c r="O45" s="10"/>
      <c r="P45" s="4">
        <f>SUM(OSRRefP16x_0)</f>
        <v>13730.259999999995</v>
      </c>
      <c r="Q45" s="4"/>
      <c r="R45" s="12">
        <f t="shared" ref="R45:R65" si="16">IF(P$12=0,0,P45/P$12)</f>
        <v>0.64425260605332579</v>
      </c>
      <c r="S45" s="4"/>
      <c r="T45" s="4">
        <f>SUM(OSRRefT16x_0)</f>
        <v>168781.30999999997</v>
      </c>
      <c r="U45" s="4"/>
      <c r="V45" s="12">
        <f t="shared" ref="V45:V65" si="17">IF(T$12=0,0,T45/T$12)</f>
        <v>0.52581007082648401</v>
      </c>
      <c r="W45" s="4"/>
      <c r="X45" s="4">
        <f t="shared" ref="X45:X65" si="18">+P45-T45</f>
        <v>-155051.04999999999</v>
      </c>
      <c r="Y45" s="4"/>
      <c r="Z45" s="12">
        <f t="shared" ref="Z45:Z65" si="19">IF(T45=0,0,X45/T45)</f>
        <v>-0.91865058992610038</v>
      </c>
    </row>
    <row r="46" spans="1:26" s="24" customFormat="1" hidden="1" outlineLevel="1" x14ac:dyDescent="0.25">
      <c r="A46" s="44"/>
      <c r="B46" s="11" t="str">
        <f>CONCATENATE("          ", "5014", " - ", "PURCHASES @ COST-REMAINDERS")</f>
        <v xml:space="preserve">          5014 - PURCHASES @ COST-REMAINDERS</v>
      </c>
      <c r="C46" s="11"/>
      <c r="D46" s="2"/>
      <c r="E46" s="2"/>
      <c r="F46" s="19">
        <f t="shared" si="12"/>
        <v>0</v>
      </c>
      <c r="G46" s="2"/>
      <c r="H46" s="2"/>
      <c r="I46" s="2"/>
      <c r="J46" s="19">
        <f t="shared" si="13"/>
        <v>0</v>
      </c>
      <c r="K46" s="2"/>
      <c r="L46" s="2">
        <f t="shared" si="14"/>
        <v>0</v>
      </c>
      <c r="M46" s="2"/>
      <c r="N46" s="19">
        <f t="shared" si="15"/>
        <v>0</v>
      </c>
      <c r="O46" s="11"/>
      <c r="P46" s="2"/>
      <c r="Q46" s="2"/>
      <c r="R46" s="19">
        <f t="shared" si="16"/>
        <v>0</v>
      </c>
      <c r="S46" s="2"/>
      <c r="T46" s="2">
        <v>14.46</v>
      </c>
      <c r="U46" s="2"/>
      <c r="V46" s="19">
        <f t="shared" si="17"/>
        <v>4.5047722547899175E-5</v>
      </c>
      <c r="W46" s="2"/>
      <c r="X46" s="2">
        <f t="shared" si="18"/>
        <v>-14.46</v>
      </c>
      <c r="Y46" s="2"/>
      <c r="Z46" s="19">
        <f t="shared" si="19"/>
        <v>-1</v>
      </c>
    </row>
    <row r="47" spans="1:26" s="24" customFormat="1" hidden="1" outlineLevel="1" x14ac:dyDescent="0.25">
      <c r="A47" s="44"/>
      <c r="B47" s="11" t="str">
        <f>CONCATENATE("          ", "5025", " - ", "PURCHASES @ COST-TEST FORMS")</f>
        <v xml:space="preserve">          5025 - PURCHASES @ COST-TEST FORMS</v>
      </c>
      <c r="C47" s="11"/>
      <c r="D47" s="2"/>
      <c r="E47" s="2"/>
      <c r="F47" s="19">
        <f t="shared" si="12"/>
        <v>0</v>
      </c>
      <c r="G47" s="2"/>
      <c r="H47" s="2">
        <v>33</v>
      </c>
      <c r="I47" s="2"/>
      <c r="J47" s="19">
        <f t="shared" si="13"/>
        <v>6.3280434725081029E-4</v>
      </c>
      <c r="K47" s="2"/>
      <c r="L47" s="2">
        <f t="shared" si="14"/>
        <v>-33</v>
      </c>
      <c r="M47" s="2"/>
      <c r="N47" s="19">
        <f t="shared" si="15"/>
        <v>-1</v>
      </c>
      <c r="O47" s="11"/>
      <c r="P47" s="2"/>
      <c r="Q47" s="2"/>
      <c r="R47" s="19">
        <f t="shared" si="16"/>
        <v>0</v>
      </c>
      <c r="S47" s="2"/>
      <c r="T47" s="2">
        <v>505.36</v>
      </c>
      <c r="U47" s="2"/>
      <c r="V47" s="19">
        <f t="shared" si="17"/>
        <v>1.5743649423794141E-3</v>
      </c>
      <c r="W47" s="2"/>
      <c r="X47" s="2">
        <f t="shared" si="18"/>
        <v>-505.36</v>
      </c>
      <c r="Y47" s="2"/>
      <c r="Z47" s="19">
        <f t="shared" si="19"/>
        <v>-1</v>
      </c>
    </row>
    <row r="48" spans="1:26" s="24" customFormat="1" hidden="1" outlineLevel="1" x14ac:dyDescent="0.25">
      <c r="A48" s="44"/>
      <c r="B48" s="11" t="str">
        <f>CONCATENATE("          ", "5026", " - ", "PURCHASES @ COST-WRITING INSTR")</f>
        <v xml:space="preserve">          5026 - PURCHASES @ COST-WRITING INSTR</v>
      </c>
      <c r="C48" s="11"/>
      <c r="D48" s="2"/>
      <c r="E48" s="2"/>
      <c r="F48" s="19">
        <f t="shared" si="12"/>
        <v>0</v>
      </c>
      <c r="G48" s="2"/>
      <c r="H48" s="2">
        <v>1242.5999999999999</v>
      </c>
      <c r="I48" s="2"/>
      <c r="J48" s="19">
        <f t="shared" si="13"/>
        <v>2.3827960057389599E-2</v>
      </c>
      <c r="K48" s="2"/>
      <c r="L48" s="2">
        <f t="shared" si="14"/>
        <v>-1242.5999999999999</v>
      </c>
      <c r="M48" s="2"/>
      <c r="N48" s="19">
        <f t="shared" si="15"/>
        <v>-1</v>
      </c>
      <c r="O48" s="11"/>
      <c r="P48" s="2">
        <v>364.91</v>
      </c>
      <c r="Q48" s="2"/>
      <c r="R48" s="19">
        <f t="shared" si="16"/>
        <v>1.7122342801587094E-2</v>
      </c>
      <c r="S48" s="2"/>
      <c r="T48" s="2">
        <v>3830.79</v>
      </c>
      <c r="U48" s="2"/>
      <c r="V48" s="19">
        <f t="shared" si="17"/>
        <v>1.1934188454997696E-2</v>
      </c>
      <c r="W48" s="2"/>
      <c r="X48" s="2">
        <f t="shared" si="18"/>
        <v>-3465.88</v>
      </c>
      <c r="Y48" s="2"/>
      <c r="Z48" s="19">
        <f t="shared" si="19"/>
        <v>-0.90474288593214458</v>
      </c>
    </row>
    <row r="49" spans="1:26" s="24" customFormat="1" hidden="1" outlineLevel="1" x14ac:dyDescent="0.25">
      <c r="A49" s="44"/>
      <c r="B49" s="11" t="str">
        <f>CONCATENATE("          ", "5027", " - ", "PURCHASES @ COST-SCHOOL SUPPLI")</f>
        <v xml:space="preserve">          5027 - PURCHASES @ COST-SCHOOL SUPPLI</v>
      </c>
      <c r="C49" s="11"/>
      <c r="D49" s="2"/>
      <c r="E49" s="2"/>
      <c r="F49" s="19">
        <f t="shared" si="12"/>
        <v>0</v>
      </c>
      <c r="G49" s="2"/>
      <c r="H49" s="2">
        <v>1109.3800000000001</v>
      </c>
      <c r="I49" s="2"/>
      <c r="J49" s="19">
        <f t="shared" si="13"/>
        <v>2.1273348083427394E-2</v>
      </c>
      <c r="K49" s="2"/>
      <c r="L49" s="2">
        <f t="shared" si="14"/>
        <v>-1109.3800000000001</v>
      </c>
      <c r="M49" s="2"/>
      <c r="N49" s="19">
        <f t="shared" si="15"/>
        <v>-1</v>
      </c>
      <c r="O49" s="11"/>
      <c r="P49" s="2">
        <v>895.47</v>
      </c>
      <c r="Q49" s="2"/>
      <c r="R49" s="19">
        <f t="shared" si="16"/>
        <v>4.201733114613794E-2</v>
      </c>
      <c r="S49" s="2"/>
      <c r="T49" s="2">
        <v>3051.32</v>
      </c>
      <c r="U49" s="2"/>
      <c r="V49" s="19">
        <f t="shared" si="17"/>
        <v>9.5058794443192048E-3</v>
      </c>
      <c r="W49" s="2"/>
      <c r="X49" s="2">
        <f t="shared" si="18"/>
        <v>-2155.8500000000004</v>
      </c>
      <c r="Y49" s="2"/>
      <c r="Z49" s="19">
        <f t="shared" si="19"/>
        <v>-0.70653028853086541</v>
      </c>
    </row>
    <row r="50" spans="1:26" s="24" customFormat="1" hidden="1" outlineLevel="1" x14ac:dyDescent="0.25">
      <c r="A50" s="44"/>
      <c r="B50" s="11" t="str">
        <f>CONCATENATE("          ", "5028", " - ", "PURCHASES @ COST-ART/TECH")</f>
        <v xml:space="preserve">          5028 - PURCHASES @ COST-ART/TECH</v>
      </c>
      <c r="C50" s="11"/>
      <c r="D50" s="2"/>
      <c r="E50" s="2"/>
      <c r="F50" s="19">
        <f t="shared" si="12"/>
        <v>0</v>
      </c>
      <c r="G50" s="2"/>
      <c r="H50" s="2">
        <v>30639.230000000003</v>
      </c>
      <c r="I50" s="2"/>
      <c r="J50" s="19">
        <f t="shared" si="13"/>
        <v>0.58753448304295286</v>
      </c>
      <c r="K50" s="2"/>
      <c r="L50" s="2">
        <f t="shared" si="14"/>
        <v>-30639.230000000003</v>
      </c>
      <c r="M50" s="2"/>
      <c r="N50" s="19">
        <f t="shared" si="15"/>
        <v>-1</v>
      </c>
      <c r="O50" s="11"/>
      <c r="P50" s="2">
        <v>41441.85</v>
      </c>
      <c r="Q50" s="2"/>
      <c r="R50" s="19">
        <f t="shared" si="16"/>
        <v>1.9445385493188789</v>
      </c>
      <c r="S50" s="2"/>
      <c r="T50" s="2">
        <v>130130.06</v>
      </c>
      <c r="U50" s="2"/>
      <c r="V50" s="19">
        <f t="shared" si="17"/>
        <v>0.40539853651600777</v>
      </c>
      <c r="W50" s="2"/>
      <c r="X50" s="2">
        <f t="shared" si="18"/>
        <v>-88688.209999999992</v>
      </c>
      <c r="Y50" s="2"/>
      <c r="Z50" s="19">
        <f t="shared" si="19"/>
        <v>-0.68153515029502021</v>
      </c>
    </row>
    <row r="51" spans="1:26" s="24" customFormat="1" hidden="1" outlineLevel="1" x14ac:dyDescent="0.25">
      <c r="A51" s="44"/>
      <c r="B51" s="11" t="str">
        <f>CONCATENATE("          ", "5031", " - ", "PURCHASES @ COST-FOOD")</f>
        <v xml:space="preserve">          5031 - PURCHASES @ COST-FOOD</v>
      </c>
      <c r="C51" s="11"/>
      <c r="D51" s="2"/>
      <c r="E51" s="2"/>
      <c r="F51" s="19">
        <f t="shared" si="12"/>
        <v>0</v>
      </c>
      <c r="G51" s="2"/>
      <c r="H51" s="2">
        <v>2265.7399999999998</v>
      </c>
      <c r="I51" s="2"/>
      <c r="J51" s="19">
        <f t="shared" si="13"/>
        <v>4.3447579446668202E-2</v>
      </c>
      <c r="K51" s="2"/>
      <c r="L51" s="2">
        <f t="shared" si="14"/>
        <v>-2265.7399999999998</v>
      </c>
      <c r="M51" s="2"/>
      <c r="N51" s="19">
        <f t="shared" si="15"/>
        <v>-1</v>
      </c>
      <c r="O51" s="11"/>
      <c r="P51" s="2">
        <v>2441.5700000000002</v>
      </c>
      <c r="Q51" s="2"/>
      <c r="R51" s="19">
        <f t="shared" si="16"/>
        <v>0.11456358695040149</v>
      </c>
      <c r="S51" s="2"/>
      <c r="T51" s="2">
        <v>24507.3</v>
      </c>
      <c r="U51" s="2"/>
      <c r="V51" s="19">
        <f t="shared" si="17"/>
        <v>7.6348412918266204E-2</v>
      </c>
      <c r="W51" s="2"/>
      <c r="X51" s="2">
        <f t="shared" si="18"/>
        <v>-22065.73</v>
      </c>
      <c r="Y51" s="2"/>
      <c r="Z51" s="19">
        <f t="shared" si="19"/>
        <v>-0.90037376618395337</v>
      </c>
    </row>
    <row r="52" spans="1:26" s="24" customFormat="1" hidden="1" outlineLevel="1" x14ac:dyDescent="0.25">
      <c r="A52" s="44"/>
      <c r="B52" s="11" t="str">
        <f>CONCATENATE("          ", "5032", " - ", "PURCHASES @ COST-JUICE")</f>
        <v xml:space="preserve">          5032 - PURCHASES @ COST-JUICE</v>
      </c>
      <c r="C52" s="11"/>
      <c r="D52" s="2"/>
      <c r="E52" s="2"/>
      <c r="F52" s="19">
        <f t="shared" si="12"/>
        <v>0</v>
      </c>
      <c r="G52" s="2"/>
      <c r="H52" s="2">
        <v>371.03</v>
      </c>
      <c r="I52" s="2"/>
      <c r="J52" s="19">
        <f t="shared" si="13"/>
        <v>7.1148302109232762E-3</v>
      </c>
      <c r="K52" s="2"/>
      <c r="L52" s="2">
        <f t="shared" si="14"/>
        <v>-371.03</v>
      </c>
      <c r="M52" s="2"/>
      <c r="N52" s="19">
        <f t="shared" si="15"/>
        <v>-1</v>
      </c>
      <c r="O52" s="11"/>
      <c r="P52" s="2"/>
      <c r="Q52" s="2"/>
      <c r="R52" s="19">
        <f t="shared" si="16"/>
        <v>0</v>
      </c>
      <c r="S52" s="2"/>
      <c r="T52" s="2">
        <v>5392.51</v>
      </c>
      <c r="U52" s="2"/>
      <c r="V52" s="19">
        <f t="shared" si="17"/>
        <v>1.6799467103511188E-2</v>
      </c>
      <c r="W52" s="2"/>
      <c r="X52" s="2">
        <f t="shared" si="18"/>
        <v>-5392.51</v>
      </c>
      <c r="Y52" s="2"/>
      <c r="Z52" s="19">
        <f t="shared" si="19"/>
        <v>-1</v>
      </c>
    </row>
    <row r="53" spans="1:26" s="24" customFormat="1" hidden="1" outlineLevel="1" x14ac:dyDescent="0.25">
      <c r="A53" s="44"/>
      <c r="B53" s="11" t="str">
        <f>CONCATENATE("          ", "5033", " - ", "PURCHASES @ COST-CANDY")</f>
        <v xml:space="preserve">          5033 - PURCHASES @ COST-CANDY</v>
      </c>
      <c r="C53" s="11"/>
      <c r="D53" s="2"/>
      <c r="E53" s="2"/>
      <c r="F53" s="19">
        <f t="shared" si="12"/>
        <v>0</v>
      </c>
      <c r="G53" s="2"/>
      <c r="H53" s="2">
        <v>684.07</v>
      </c>
      <c r="I53" s="2"/>
      <c r="J53" s="19">
        <f t="shared" si="13"/>
        <v>1.3117650600723086E-2</v>
      </c>
      <c r="K53" s="2"/>
      <c r="L53" s="2">
        <f t="shared" si="14"/>
        <v>-684.07</v>
      </c>
      <c r="M53" s="2"/>
      <c r="N53" s="19">
        <f t="shared" si="15"/>
        <v>-1</v>
      </c>
      <c r="O53" s="11"/>
      <c r="P53" s="2"/>
      <c r="Q53" s="2"/>
      <c r="R53" s="19">
        <f t="shared" si="16"/>
        <v>0</v>
      </c>
      <c r="S53" s="2"/>
      <c r="T53" s="2">
        <v>6592.4</v>
      </c>
      <c r="U53" s="2"/>
      <c r="V53" s="19">
        <f t="shared" si="17"/>
        <v>2.0537524628269053E-2</v>
      </c>
      <c r="W53" s="2"/>
      <c r="X53" s="2">
        <f t="shared" si="18"/>
        <v>-6592.4</v>
      </c>
      <c r="Y53" s="2"/>
      <c r="Z53" s="19">
        <f t="shared" si="19"/>
        <v>-1</v>
      </c>
    </row>
    <row r="54" spans="1:26" s="24" customFormat="1" hidden="1" outlineLevel="1" x14ac:dyDescent="0.25">
      <c r="A54" s="44"/>
      <c r="B54" s="11" t="str">
        <f>CONCATENATE("          ", "5034", " - ", "PURCHASES @ COST-SODA")</f>
        <v xml:space="preserve">          5034 - PURCHASES @ COST-SODA</v>
      </c>
      <c r="C54" s="11"/>
      <c r="D54" s="2"/>
      <c r="E54" s="2"/>
      <c r="F54" s="19">
        <f t="shared" si="12"/>
        <v>0</v>
      </c>
      <c r="G54" s="2"/>
      <c r="H54" s="2"/>
      <c r="I54" s="2"/>
      <c r="J54" s="19">
        <f t="shared" si="13"/>
        <v>0</v>
      </c>
      <c r="K54" s="2"/>
      <c r="L54" s="2">
        <f t="shared" si="14"/>
        <v>0</v>
      </c>
      <c r="M54" s="2"/>
      <c r="N54" s="19">
        <f t="shared" si="15"/>
        <v>0</v>
      </c>
      <c r="O54" s="11"/>
      <c r="P54" s="2"/>
      <c r="Q54" s="2"/>
      <c r="R54" s="19">
        <f t="shared" si="16"/>
        <v>0</v>
      </c>
      <c r="S54" s="2"/>
      <c r="T54" s="2">
        <v>2124.16</v>
      </c>
      <c r="U54" s="2"/>
      <c r="V54" s="19">
        <f t="shared" si="17"/>
        <v>6.6174668276172549E-3</v>
      </c>
      <c r="W54" s="2"/>
      <c r="X54" s="2">
        <f t="shared" si="18"/>
        <v>-2124.16</v>
      </c>
      <c r="Y54" s="2"/>
      <c r="Z54" s="19">
        <f t="shared" si="19"/>
        <v>-1</v>
      </c>
    </row>
    <row r="55" spans="1:26" s="24" customFormat="1" hidden="1" outlineLevel="1" x14ac:dyDescent="0.25">
      <c r="A55" s="44"/>
      <c r="B55" s="11" t="str">
        <f>CONCATENATE("          ", "5035", " - ", "PURCHASES @ COST-HEALTH &amp; BEAU")</f>
        <v xml:space="preserve">          5035 - PURCHASES @ COST-HEALTH &amp; BEAU</v>
      </c>
      <c r="C55" s="11"/>
      <c r="D55" s="2"/>
      <c r="E55" s="2"/>
      <c r="F55" s="19">
        <f t="shared" si="12"/>
        <v>0</v>
      </c>
      <c r="G55" s="2"/>
      <c r="H55" s="2">
        <v>32.82</v>
      </c>
      <c r="I55" s="2"/>
      <c r="J55" s="19">
        <f t="shared" si="13"/>
        <v>6.2935268717489675E-4</v>
      </c>
      <c r="K55" s="2"/>
      <c r="L55" s="2">
        <f t="shared" si="14"/>
        <v>-32.82</v>
      </c>
      <c r="M55" s="2"/>
      <c r="N55" s="19">
        <f t="shared" si="15"/>
        <v>-1</v>
      </c>
      <c r="O55" s="11"/>
      <c r="P55" s="2"/>
      <c r="Q55" s="2"/>
      <c r="R55" s="19">
        <f t="shared" si="16"/>
        <v>0</v>
      </c>
      <c r="S55" s="2"/>
      <c r="T55" s="2">
        <v>820.95</v>
      </c>
      <c r="U55" s="2"/>
      <c r="V55" s="19">
        <f t="shared" si="17"/>
        <v>2.5575330446540685E-3</v>
      </c>
      <c r="W55" s="2"/>
      <c r="X55" s="2">
        <f t="shared" si="18"/>
        <v>-820.95</v>
      </c>
      <c r="Y55" s="2"/>
      <c r="Z55" s="19">
        <f t="shared" si="19"/>
        <v>-1</v>
      </c>
    </row>
    <row r="56" spans="1:26" s="24" customFormat="1" hidden="1" outlineLevel="1" x14ac:dyDescent="0.25">
      <c r="A56" s="44"/>
      <c r="B56" s="11" t="str">
        <f>CONCATENATE("          ", "5037", " - ", "PURCHASES @ COST-WATER")</f>
        <v xml:space="preserve">          5037 - PURCHASES @ COST-WATER</v>
      </c>
      <c r="C56" s="11"/>
      <c r="D56" s="2"/>
      <c r="E56" s="2"/>
      <c r="F56" s="19">
        <f t="shared" si="12"/>
        <v>0</v>
      </c>
      <c r="G56" s="2"/>
      <c r="H56" s="2"/>
      <c r="I56" s="2"/>
      <c r="J56" s="19">
        <f t="shared" si="13"/>
        <v>0</v>
      </c>
      <c r="K56" s="2"/>
      <c r="L56" s="2">
        <f t="shared" si="14"/>
        <v>0</v>
      </c>
      <c r="M56" s="2"/>
      <c r="N56" s="19">
        <f t="shared" si="15"/>
        <v>0</v>
      </c>
      <c r="O56" s="11"/>
      <c r="P56" s="2"/>
      <c r="Q56" s="2"/>
      <c r="R56" s="19">
        <f t="shared" si="16"/>
        <v>0</v>
      </c>
      <c r="S56" s="2"/>
      <c r="T56" s="2">
        <v>3729.51</v>
      </c>
      <c r="U56" s="2"/>
      <c r="V56" s="19">
        <f t="shared" si="17"/>
        <v>1.1618667477151829E-2</v>
      </c>
      <c r="W56" s="2"/>
      <c r="X56" s="2">
        <f t="shared" si="18"/>
        <v>-3729.51</v>
      </c>
      <c r="Y56" s="2"/>
      <c r="Z56" s="19">
        <f t="shared" si="19"/>
        <v>-1</v>
      </c>
    </row>
    <row r="57" spans="1:26" s="24" customFormat="1" hidden="1" outlineLevel="1" x14ac:dyDescent="0.25">
      <c r="A57" s="44"/>
      <c r="B57" s="11" t="str">
        <f>CONCATENATE("          ", "5081", " - ", "PURCHASES @ COST-ELECTRONICS")</f>
        <v xml:space="preserve">          5081 - PURCHASES @ COST-ELECTRONICS</v>
      </c>
      <c r="C57" s="11"/>
      <c r="D57" s="2"/>
      <c r="E57" s="2"/>
      <c r="F57" s="19">
        <f t="shared" si="12"/>
        <v>0</v>
      </c>
      <c r="G57" s="2"/>
      <c r="H57" s="2">
        <v>119.66</v>
      </c>
      <c r="I57" s="2"/>
      <c r="J57" s="19">
        <f t="shared" si="13"/>
        <v>2.2945869149100591E-3</v>
      </c>
      <c r="K57" s="2"/>
      <c r="L57" s="2">
        <f t="shared" si="14"/>
        <v>-119.66</v>
      </c>
      <c r="M57" s="2"/>
      <c r="N57" s="19">
        <f t="shared" si="15"/>
        <v>-1</v>
      </c>
      <c r="O57" s="11"/>
      <c r="P57" s="2"/>
      <c r="Q57" s="2"/>
      <c r="R57" s="19">
        <f t="shared" si="16"/>
        <v>0</v>
      </c>
      <c r="S57" s="2"/>
      <c r="T57" s="2">
        <v>1891.21</v>
      </c>
      <c r="U57" s="2"/>
      <c r="V57" s="19">
        <f t="shared" si="17"/>
        <v>5.8917498865707048E-3</v>
      </c>
      <c r="W57" s="2"/>
      <c r="X57" s="2">
        <f t="shared" si="18"/>
        <v>-1891.21</v>
      </c>
      <c r="Y57" s="2"/>
      <c r="Z57" s="19">
        <f t="shared" si="19"/>
        <v>-1</v>
      </c>
    </row>
    <row r="58" spans="1:26" s="24" customFormat="1" hidden="1" outlineLevel="1" x14ac:dyDescent="0.25">
      <c r="A58" s="44"/>
      <c r="B58" s="11" t="str">
        <f>CONCATENATE("          ", "5082", " - ", "PURCHASES @ COST-COMPUTER HARD")</f>
        <v xml:space="preserve">          5082 - PURCHASES @ COST-COMPUTER HARD</v>
      </c>
      <c r="C58" s="11"/>
      <c r="D58" s="2"/>
      <c r="E58" s="2"/>
      <c r="F58" s="19">
        <f t="shared" si="12"/>
        <v>0</v>
      </c>
      <c r="G58" s="2"/>
      <c r="H58" s="2"/>
      <c r="I58" s="2"/>
      <c r="J58" s="19">
        <f t="shared" si="13"/>
        <v>0</v>
      </c>
      <c r="K58" s="2"/>
      <c r="L58" s="2">
        <f t="shared" si="14"/>
        <v>0</v>
      </c>
      <c r="M58" s="2"/>
      <c r="N58" s="19">
        <f t="shared" si="15"/>
        <v>0</v>
      </c>
      <c r="O58" s="11"/>
      <c r="P58" s="2"/>
      <c r="Q58" s="2"/>
      <c r="R58" s="19">
        <f t="shared" si="16"/>
        <v>0</v>
      </c>
      <c r="S58" s="2"/>
      <c r="T58" s="2">
        <v>349.6</v>
      </c>
      <c r="U58" s="2"/>
      <c r="V58" s="19">
        <f t="shared" si="17"/>
        <v>1.0891205949339938E-3</v>
      </c>
      <c r="W58" s="2"/>
      <c r="X58" s="2">
        <f t="shared" si="18"/>
        <v>-349.6</v>
      </c>
      <c r="Y58" s="2"/>
      <c r="Z58" s="19">
        <f t="shared" si="19"/>
        <v>-1</v>
      </c>
    </row>
    <row r="59" spans="1:26" s="24" customFormat="1" hidden="1" outlineLevel="1" x14ac:dyDescent="0.25">
      <c r="A59" s="44"/>
      <c r="B59" s="11" t="str">
        <f>CONCATENATE("          ", "5083", " - ", "PURCHASES @ COST-COMPUTER EQUI")</f>
        <v xml:space="preserve">          5083 - PURCHASES @ COST-COMPUTER EQUI</v>
      </c>
      <c r="C59" s="11"/>
      <c r="D59" s="2"/>
      <c r="E59" s="2"/>
      <c r="F59" s="19">
        <f t="shared" si="12"/>
        <v>0</v>
      </c>
      <c r="G59" s="2"/>
      <c r="H59" s="2">
        <v>32.96</v>
      </c>
      <c r="I59" s="2"/>
      <c r="J59" s="19">
        <f t="shared" si="13"/>
        <v>6.3203731167838504E-4</v>
      </c>
      <c r="K59" s="2"/>
      <c r="L59" s="2">
        <f t="shared" si="14"/>
        <v>-32.96</v>
      </c>
      <c r="M59" s="2"/>
      <c r="N59" s="19">
        <f t="shared" si="15"/>
        <v>-1</v>
      </c>
      <c r="O59" s="11"/>
      <c r="P59" s="2"/>
      <c r="Q59" s="2"/>
      <c r="R59" s="19">
        <f t="shared" si="16"/>
        <v>0</v>
      </c>
      <c r="S59" s="2"/>
      <c r="T59" s="2">
        <v>372.36</v>
      </c>
      <c r="U59" s="2"/>
      <c r="V59" s="19">
        <f t="shared" si="17"/>
        <v>1.1600255856110467E-3</v>
      </c>
      <c r="W59" s="2"/>
      <c r="X59" s="2">
        <f t="shared" si="18"/>
        <v>-372.36</v>
      </c>
      <c r="Y59" s="2"/>
      <c r="Z59" s="19">
        <f t="shared" si="19"/>
        <v>-1</v>
      </c>
    </row>
    <row r="60" spans="1:26" s="24" customFormat="1" hidden="1" outlineLevel="1" x14ac:dyDescent="0.25">
      <c r="A60" s="44"/>
      <c r="B60" s="11" t="str">
        <f>CONCATENATE("          ", "5086", " - ", "PURCHASES @ COST-COMPUTER SUPP")</f>
        <v xml:space="preserve">          5086 - PURCHASES @ COST-COMPUTER SUPP</v>
      </c>
      <c r="C60" s="11"/>
      <c r="D60" s="2"/>
      <c r="E60" s="2"/>
      <c r="F60" s="19">
        <f t="shared" si="12"/>
        <v>0</v>
      </c>
      <c r="G60" s="2"/>
      <c r="H60" s="2">
        <v>36.979999999999997</v>
      </c>
      <c r="I60" s="2"/>
      <c r="J60" s="19">
        <f t="shared" si="13"/>
        <v>7.091243867071201E-4</v>
      </c>
      <c r="K60" s="2"/>
      <c r="L60" s="2">
        <f t="shared" si="14"/>
        <v>-36.979999999999997</v>
      </c>
      <c r="M60" s="2"/>
      <c r="N60" s="19">
        <f t="shared" si="15"/>
        <v>-1</v>
      </c>
      <c r="O60" s="11"/>
      <c r="P60" s="2"/>
      <c r="Q60" s="2"/>
      <c r="R60" s="19">
        <f t="shared" si="16"/>
        <v>0</v>
      </c>
      <c r="S60" s="2"/>
      <c r="T60" s="2">
        <v>416.24</v>
      </c>
      <c r="U60" s="2"/>
      <c r="V60" s="19">
        <f t="shared" si="17"/>
        <v>1.2967264200095126E-3</v>
      </c>
      <c r="W60" s="2"/>
      <c r="X60" s="2">
        <f t="shared" si="18"/>
        <v>-416.24</v>
      </c>
      <c r="Y60" s="2"/>
      <c r="Z60" s="19">
        <f t="shared" si="19"/>
        <v>-1</v>
      </c>
    </row>
    <row r="61" spans="1:26" s="24" customFormat="1" hidden="1" outlineLevel="1" x14ac:dyDescent="0.25">
      <c r="A61" s="44"/>
      <c r="B61" s="11" t="str">
        <f>CONCATENATE("          ", "5200", " - ", "PURCHASES OFFSET")</f>
        <v xml:space="preserve">          5200 - PURCHASES OFFSET</v>
      </c>
      <c r="C61" s="11"/>
      <c r="D61" s="2"/>
      <c r="E61" s="2"/>
      <c r="F61" s="19">
        <f t="shared" si="12"/>
        <v>0</v>
      </c>
      <c r="G61" s="2"/>
      <c r="H61" s="2">
        <v>-37038</v>
      </c>
      <c r="I61" s="2"/>
      <c r="J61" s="19">
        <f t="shared" si="13"/>
        <v>-0.71023658828713665</v>
      </c>
      <c r="K61" s="2"/>
      <c r="L61" s="2">
        <f t="shared" si="14"/>
        <v>37038</v>
      </c>
      <c r="M61" s="2"/>
      <c r="N61" s="19">
        <f t="shared" si="15"/>
        <v>-1</v>
      </c>
      <c r="O61" s="11"/>
      <c r="P61" s="2">
        <v>-45863.33</v>
      </c>
      <c r="Q61" s="2"/>
      <c r="R61" s="19">
        <f t="shared" si="16"/>
        <v>-2.1520036674311842</v>
      </c>
      <c r="S61" s="2"/>
      <c r="T61" s="2">
        <v>-185268</v>
      </c>
      <c r="U61" s="2"/>
      <c r="V61" s="19">
        <f t="shared" si="17"/>
        <v>-0.57717160864482597</v>
      </c>
      <c r="W61" s="2"/>
      <c r="X61" s="2">
        <f t="shared" si="18"/>
        <v>139404.66999999998</v>
      </c>
      <c r="Y61" s="2"/>
      <c r="Z61" s="19">
        <f t="shared" si="19"/>
        <v>-0.7524487229311051</v>
      </c>
    </row>
    <row r="62" spans="1:26" s="24" customFormat="1" hidden="1" outlineLevel="1" x14ac:dyDescent="0.25">
      <c r="A62" s="44"/>
      <c r="B62" s="11" t="str">
        <f>CONCATENATE("          ", "5300", " - ", "COG$ OFFSET")</f>
        <v xml:space="preserve">          5300 - COG$ OFFSET</v>
      </c>
      <c r="C62" s="11"/>
      <c r="D62" s="2"/>
      <c r="E62" s="2"/>
      <c r="F62" s="19">
        <f t="shared" si="12"/>
        <v>0</v>
      </c>
      <c r="G62" s="2"/>
      <c r="H62" s="2">
        <v>27595</v>
      </c>
      <c r="I62" s="2"/>
      <c r="J62" s="19">
        <f t="shared" si="13"/>
        <v>0.52915866552685176</v>
      </c>
      <c r="K62" s="2"/>
      <c r="L62" s="2">
        <f t="shared" si="14"/>
        <v>-27595</v>
      </c>
      <c r="M62" s="2"/>
      <c r="N62" s="19">
        <f t="shared" si="15"/>
        <v>-1</v>
      </c>
      <c r="O62" s="11"/>
      <c r="P62" s="2">
        <v>14145</v>
      </c>
      <c r="Q62" s="2"/>
      <c r="R62" s="19">
        <f t="shared" si="16"/>
        <v>0.66371307700103988</v>
      </c>
      <c r="S62" s="2"/>
      <c r="T62" s="2">
        <v>168705</v>
      </c>
      <c r="U62" s="2"/>
      <c r="V62" s="19">
        <f t="shared" si="17"/>
        <v>0.52557233972637141</v>
      </c>
      <c r="W62" s="2"/>
      <c r="X62" s="2">
        <f t="shared" si="18"/>
        <v>-154560</v>
      </c>
      <c r="Y62" s="2"/>
      <c r="Z62" s="19">
        <f t="shared" si="19"/>
        <v>-0.91615541922290389</v>
      </c>
    </row>
    <row r="63" spans="1:26" s="24" customFormat="1" hidden="1" outlineLevel="1" x14ac:dyDescent="0.25">
      <c r="A63" s="44"/>
      <c r="B63" s="11" t="str">
        <f>CONCATENATE("          ", "5500", " - ", "FREIGHT-IN")</f>
        <v xml:space="preserve">          5500 - FREIGHT-IN</v>
      </c>
      <c r="C63" s="11"/>
      <c r="D63" s="2"/>
      <c r="E63" s="2"/>
      <c r="F63" s="19">
        <f t="shared" si="12"/>
        <v>0</v>
      </c>
      <c r="G63" s="2"/>
      <c r="H63" s="2"/>
      <c r="I63" s="2"/>
      <c r="J63" s="19">
        <f t="shared" si="13"/>
        <v>0</v>
      </c>
      <c r="K63" s="2"/>
      <c r="L63" s="2">
        <f t="shared" si="14"/>
        <v>0</v>
      </c>
      <c r="M63" s="2"/>
      <c r="N63" s="19">
        <f t="shared" si="15"/>
        <v>0</v>
      </c>
      <c r="O63" s="11"/>
      <c r="P63" s="2"/>
      <c r="Q63" s="2"/>
      <c r="R63" s="19">
        <f t="shared" si="16"/>
        <v>0</v>
      </c>
      <c r="S63" s="2"/>
      <c r="T63" s="2">
        <v>80</v>
      </c>
      <c r="U63" s="2"/>
      <c r="V63" s="19">
        <f t="shared" si="17"/>
        <v>2.4922668076292765E-4</v>
      </c>
      <c r="W63" s="2"/>
      <c r="X63" s="2">
        <f t="shared" si="18"/>
        <v>-80</v>
      </c>
      <c r="Y63" s="2"/>
      <c r="Z63" s="19">
        <f t="shared" si="19"/>
        <v>-1</v>
      </c>
    </row>
    <row r="64" spans="1:26" s="24" customFormat="1" hidden="1" outlineLevel="1" x14ac:dyDescent="0.25">
      <c r="A64" s="44"/>
      <c r="B64" s="11" t="str">
        <f>CONCATENATE("          ", "5527", " - ", "FREIGHT-IN-SCHOOL SUPPLIES")</f>
        <v xml:space="preserve">          5527 - FREIGHT-IN-SCHOOL SUPPLIES</v>
      </c>
      <c r="C64" s="11"/>
      <c r="D64" s="2"/>
      <c r="E64" s="2"/>
      <c r="F64" s="19">
        <f t="shared" si="12"/>
        <v>0</v>
      </c>
      <c r="G64" s="2"/>
      <c r="H64" s="2">
        <v>249.01</v>
      </c>
      <c r="I64" s="2"/>
      <c r="J64" s="19">
        <f t="shared" si="13"/>
        <v>4.7749881972401296E-3</v>
      </c>
      <c r="K64" s="2"/>
      <c r="L64" s="2">
        <f t="shared" si="14"/>
        <v>-249.01</v>
      </c>
      <c r="M64" s="2"/>
      <c r="N64" s="19">
        <f t="shared" si="15"/>
        <v>-1</v>
      </c>
      <c r="O64" s="11"/>
      <c r="P64" s="2"/>
      <c r="Q64" s="2"/>
      <c r="R64" s="19">
        <f t="shared" si="16"/>
        <v>0</v>
      </c>
      <c r="S64" s="2"/>
      <c r="T64" s="2">
        <v>261.52999999999997</v>
      </c>
      <c r="U64" s="2"/>
      <c r="V64" s="19">
        <f t="shared" si="17"/>
        <v>8.147531727491058E-4</v>
      </c>
      <c r="W64" s="2"/>
      <c r="X64" s="2">
        <f t="shared" si="18"/>
        <v>-261.52999999999997</v>
      </c>
      <c r="Y64" s="2"/>
      <c r="Z64" s="19">
        <f t="shared" si="19"/>
        <v>-1</v>
      </c>
    </row>
    <row r="65" spans="1:26" s="24" customFormat="1" hidden="1" outlineLevel="1" x14ac:dyDescent="0.25">
      <c r="A65" s="44"/>
      <c r="B65" s="11" t="str">
        <f>CONCATENATE("          ", "5528", " - ", "FREIGHT-IN-ART/TECH")</f>
        <v xml:space="preserve">          5528 - FREIGHT-IN-ART/TECH</v>
      </c>
      <c r="C65" s="11"/>
      <c r="D65" s="2">
        <v>18.52</v>
      </c>
      <c r="E65" s="2"/>
      <c r="F65" s="19">
        <f t="shared" si="12"/>
        <v>0</v>
      </c>
      <c r="G65" s="2"/>
      <c r="H65" s="2">
        <v>220.82</v>
      </c>
      <c r="I65" s="2"/>
      <c r="J65" s="19">
        <f t="shared" si="13"/>
        <v>4.234419877573452E-3</v>
      </c>
      <c r="K65" s="2"/>
      <c r="L65" s="2">
        <f t="shared" si="14"/>
        <v>-202.29999999999998</v>
      </c>
      <c r="M65" s="2"/>
      <c r="N65" s="19">
        <f t="shared" si="15"/>
        <v>-0.91613078525495872</v>
      </c>
      <c r="O65" s="11"/>
      <c r="P65" s="2">
        <v>304.79000000000002</v>
      </c>
      <c r="Q65" s="2"/>
      <c r="R65" s="19">
        <f t="shared" si="16"/>
        <v>1.4301386266464966E-2</v>
      </c>
      <c r="S65" s="2"/>
      <c r="T65" s="2">
        <v>1274.55</v>
      </c>
      <c r="U65" s="2"/>
      <c r="V65" s="19">
        <f t="shared" si="17"/>
        <v>3.9706483245798676E-3</v>
      </c>
      <c r="W65" s="2"/>
      <c r="X65" s="2">
        <f t="shared" si="18"/>
        <v>-969.76</v>
      </c>
      <c r="Y65" s="2"/>
      <c r="Z65" s="19">
        <f t="shared" si="19"/>
        <v>-0.76086461888509671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8" t="s">
        <v>6</v>
      </c>
      <c r="C67" s="28"/>
      <c r="D67" s="20">
        <f>D12-D45</f>
        <v>-18.52</v>
      </c>
      <c r="E67" s="14"/>
      <c r="F67" s="22">
        <f>IF(D$12=0,0,D67/D$12)</f>
        <v>0</v>
      </c>
      <c r="G67" s="14"/>
      <c r="H67" s="20">
        <f>H12-H45</f>
        <v>24554.519999999993</v>
      </c>
      <c r="I67" s="14"/>
      <c r="J67" s="22">
        <f>IF(H$12=0,0,H67/H$12)</f>
        <v>0.47085475759566553</v>
      </c>
      <c r="K67" s="15"/>
      <c r="L67" s="20">
        <f>+D67-H67</f>
        <v>-24573.039999999994</v>
      </c>
      <c r="M67" s="15"/>
      <c r="N67" s="22">
        <f>IF(H67=0,0,L67/H67)</f>
        <v>-1.0007542399525626</v>
      </c>
      <c r="O67" s="29"/>
      <c r="P67" s="20">
        <f>P12-P45</f>
        <v>7581.6600000000035</v>
      </c>
      <c r="Q67" s="14"/>
      <c r="R67" s="22">
        <f>IF(P$12=0,0,P67/P$12)</f>
        <v>0.35574739394667415</v>
      </c>
      <c r="S67" s="14"/>
      <c r="T67" s="20">
        <f>T12-T45</f>
        <v>152211.61000000013</v>
      </c>
      <c r="U67" s="14"/>
      <c r="V67" s="22">
        <f>IF(T$12=0,0,T67/T$12)</f>
        <v>0.47418992917351599</v>
      </c>
      <c r="W67" s="15"/>
      <c r="X67" s="20">
        <f>+P67-T67</f>
        <v>-144629.95000000013</v>
      </c>
      <c r="Y67" s="15"/>
      <c r="Z67" s="22">
        <f>IF(T67=0,0,X67/T67)</f>
        <v>-0.95019000193217851</v>
      </c>
    </row>
    <row r="68" spans="1:26" x14ac:dyDescent="0.25">
      <c r="A68" s="9"/>
      <c r="B68" s="10"/>
      <c r="C68" s="9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9" t="s">
        <v>9</v>
      </c>
      <c r="C69" s="10"/>
      <c r="D69" s="21">
        <f>SUM(OSRRefD22x_0)</f>
        <v>53</v>
      </c>
      <c r="E69" s="21"/>
      <c r="F69" s="35">
        <f t="shared" ref="F69:F78" si="20">IF(D$12=0,0,D69/D$12)</f>
        <v>0</v>
      </c>
      <c r="G69" s="21"/>
      <c r="H69" s="21">
        <f>SUM(OSRRefH22x_0)</f>
        <v>13247.869999999995</v>
      </c>
      <c r="I69" s="21"/>
      <c r="J69" s="35">
        <f t="shared" ref="J69:J78" si="21">IF(H$12=0,0,H69/H$12)</f>
        <v>0.25403968872162391</v>
      </c>
      <c r="K69" s="4"/>
      <c r="L69" s="21">
        <f t="shared" ref="L69:L78" si="22">+D69-H69</f>
        <v>-13194.869999999995</v>
      </c>
      <c r="M69" s="4"/>
      <c r="N69" s="35">
        <f t="shared" ref="N69:N78" si="23">IF(H69=0,0,L69/H69)</f>
        <v>-0.9959993568777471</v>
      </c>
      <c r="O69" s="10"/>
      <c r="P69" s="21">
        <f>SUM(OSRRefP22x_0)</f>
        <v>12480.749999999996</v>
      </c>
      <c r="Q69" s="21"/>
      <c r="R69" s="35">
        <f t="shared" ref="R69:R78" si="24">IF(P$12=0,0,P69/P$12)</f>
        <v>0.58562297531146879</v>
      </c>
      <c r="S69" s="21"/>
      <c r="T69" s="21">
        <f>SUM(OSRRefT22x_0)</f>
        <v>83917.210000000021</v>
      </c>
      <c r="U69" s="21"/>
      <c r="V69" s="35">
        <f t="shared" ref="V69:V78" si="25">IF(T$12=0,0,T69/T$12)</f>
        <v>0.26143009633981956</v>
      </c>
      <c r="W69" s="4"/>
      <c r="X69" s="21">
        <f t="shared" ref="X69:X78" si="26">+P69-T69</f>
        <v>-71436.460000000021</v>
      </c>
      <c r="Y69" s="4"/>
      <c r="Z69" s="35">
        <f t="shared" ref="Z69:Z78" si="27">IF(T69=0,0,X69/T69)</f>
        <v>-0.8512730582916187</v>
      </c>
    </row>
    <row r="70" spans="1:26" s="26" customFormat="1" outlineLevel="1" collapsed="1" x14ac:dyDescent="0.25">
      <c r="A70" s="27"/>
      <c r="B70" s="13" t="str">
        <f>CONCATENATE("     ","*Benefits                                         ")</f>
        <v xml:space="preserve">     *Benefits                                         </v>
      </c>
      <c r="C70" s="13"/>
      <c r="D70" s="1">
        <f>SUM(OSRRefD22_0x_0)</f>
        <v>0</v>
      </c>
      <c r="E70" s="1"/>
      <c r="F70" s="5">
        <f t="shared" si="20"/>
        <v>0</v>
      </c>
      <c r="G70" s="1"/>
      <c r="H70" s="1">
        <f>SUM(OSRRefH22_0x_0)</f>
        <v>2037.05</v>
      </c>
      <c r="I70" s="1"/>
      <c r="J70" s="5">
        <f t="shared" si="21"/>
        <v>3.9062245320220096E-2</v>
      </c>
      <c r="K70" s="1"/>
      <c r="L70" s="1">
        <f t="shared" si="22"/>
        <v>-2037.05</v>
      </c>
      <c r="M70" s="1"/>
      <c r="N70" s="5">
        <f t="shared" si="23"/>
        <v>-1</v>
      </c>
      <c r="O70" s="13"/>
      <c r="P70" s="1">
        <f>SUM(OSRRefP22_0x_0)</f>
        <v>778.2</v>
      </c>
      <c r="Q70" s="1"/>
      <c r="R70" s="5">
        <f t="shared" si="24"/>
        <v>3.6514776707119778E-2</v>
      </c>
      <c r="S70" s="1"/>
      <c r="T70" s="1">
        <f>SUM(OSRRefT22_0x_0)</f>
        <v>13641.510000000002</v>
      </c>
      <c r="U70" s="1"/>
      <c r="V70" s="5">
        <f t="shared" si="25"/>
        <v>4.2497853223678571E-2</v>
      </c>
      <c r="W70" s="1"/>
      <c r="X70" s="1">
        <f t="shared" si="26"/>
        <v>-12863.310000000001</v>
      </c>
      <c r="Y70" s="1"/>
      <c r="Z70" s="5">
        <f t="shared" si="27"/>
        <v>-0.94295352933802778</v>
      </c>
    </row>
    <row r="71" spans="1:26" s="24" customFormat="1" hidden="1" outlineLevel="2" x14ac:dyDescent="0.25">
      <c r="A71" s="25"/>
      <c r="B71" s="11" t="str">
        <f>CONCATENATE("          ", "6111", " - ", "F.I.C.A.")</f>
        <v xml:space="preserve">          6111 - F.I.C.A.</v>
      </c>
      <c r="C71" s="11"/>
      <c r="D71" s="6"/>
      <c r="E71" s="2"/>
      <c r="F71" s="7">
        <f t="shared" si="20"/>
        <v>0</v>
      </c>
      <c r="G71" s="2"/>
      <c r="H71" s="6">
        <v>241.95</v>
      </c>
      <c r="I71" s="2"/>
      <c r="J71" s="7">
        <f t="shared" si="21"/>
        <v>4.6396064187070769E-3</v>
      </c>
      <c r="K71" s="2"/>
      <c r="L71" s="6">
        <f t="shared" si="22"/>
        <v>-241.95</v>
      </c>
      <c r="M71" s="2"/>
      <c r="N71" s="7">
        <f t="shared" si="23"/>
        <v>-1</v>
      </c>
      <c r="O71" s="11"/>
      <c r="P71" s="6">
        <v>484.61</v>
      </c>
      <c r="Q71" s="2"/>
      <c r="R71" s="7">
        <f t="shared" si="24"/>
        <v>2.2738917938881154E-2</v>
      </c>
      <c r="S71" s="2"/>
      <c r="T71" s="6">
        <v>2019.38</v>
      </c>
      <c r="U71" s="2"/>
      <c r="V71" s="7">
        <f t="shared" si="25"/>
        <v>6.291042182488011E-3</v>
      </c>
      <c r="W71" s="2"/>
      <c r="X71" s="6">
        <f t="shared" si="26"/>
        <v>-1534.77</v>
      </c>
      <c r="Y71" s="2"/>
      <c r="Z71" s="7">
        <f t="shared" si="27"/>
        <v>-0.76002040230169654</v>
      </c>
    </row>
    <row r="72" spans="1:26" s="24" customFormat="1" hidden="1" outlineLevel="2" x14ac:dyDescent="0.25">
      <c r="A72" s="25"/>
      <c r="B72" s="11" t="str">
        <f>CONCATENATE("          ", "6112", " - ", "COMPENSATION INSURANCE")</f>
        <v xml:space="preserve">          6112 - COMPENSATION INSURANCE</v>
      </c>
      <c r="C72" s="11"/>
      <c r="D72" s="6"/>
      <c r="E72" s="2"/>
      <c r="F72" s="7">
        <f t="shared" si="20"/>
        <v>0</v>
      </c>
      <c r="G72" s="2"/>
      <c r="H72" s="6">
        <v>99.94</v>
      </c>
      <c r="I72" s="2"/>
      <c r="J72" s="7">
        <f t="shared" si="21"/>
        <v>1.9164383777044236E-3</v>
      </c>
      <c r="K72" s="2"/>
      <c r="L72" s="6">
        <f t="shared" si="22"/>
        <v>-99.94</v>
      </c>
      <c r="M72" s="2"/>
      <c r="N72" s="7">
        <f t="shared" si="23"/>
        <v>-1</v>
      </c>
      <c r="O72" s="11"/>
      <c r="P72" s="6">
        <v>255.57</v>
      </c>
      <c r="Q72" s="2"/>
      <c r="R72" s="7">
        <f t="shared" si="24"/>
        <v>1.1991880600152403E-2</v>
      </c>
      <c r="S72" s="2"/>
      <c r="T72" s="6">
        <v>911.41</v>
      </c>
      <c r="U72" s="2"/>
      <c r="V72" s="7">
        <f t="shared" si="25"/>
        <v>2.8393461139267486E-3</v>
      </c>
      <c r="W72" s="2"/>
      <c r="X72" s="6">
        <f t="shared" si="26"/>
        <v>-655.83999999999992</v>
      </c>
      <c r="Y72" s="2"/>
      <c r="Z72" s="7">
        <f t="shared" si="27"/>
        <v>-0.71958833016973689</v>
      </c>
    </row>
    <row r="73" spans="1:26" s="24" customFormat="1" hidden="1" outlineLevel="2" x14ac:dyDescent="0.25">
      <c r="A73" s="25"/>
      <c r="B73" s="11" t="str">
        <f>CONCATENATE("          ", "6113", " - ", "GROUP INSURANCE")</f>
        <v xml:space="preserve">          6113 - GROUP INSURANCE</v>
      </c>
      <c r="C73" s="11"/>
      <c r="D73" s="6"/>
      <c r="E73" s="2"/>
      <c r="F73" s="7">
        <f t="shared" si="20"/>
        <v>0</v>
      </c>
      <c r="G73" s="2"/>
      <c r="H73" s="6">
        <v>1024.02</v>
      </c>
      <c r="I73" s="2"/>
      <c r="J73" s="7">
        <f t="shared" si="21"/>
        <v>1.9636494171871962E-2</v>
      </c>
      <c r="K73" s="2"/>
      <c r="L73" s="6">
        <f t="shared" si="22"/>
        <v>-1024.02</v>
      </c>
      <c r="M73" s="2"/>
      <c r="N73" s="7">
        <f t="shared" si="23"/>
        <v>-1</v>
      </c>
      <c r="O73" s="11"/>
      <c r="P73" s="6"/>
      <c r="Q73" s="2"/>
      <c r="R73" s="7">
        <f t="shared" si="24"/>
        <v>0</v>
      </c>
      <c r="S73" s="2"/>
      <c r="T73" s="6">
        <v>6085.5</v>
      </c>
      <c r="U73" s="2"/>
      <c r="V73" s="7">
        <f t="shared" si="25"/>
        <v>1.8958362072284952E-2</v>
      </c>
      <c r="W73" s="2"/>
      <c r="X73" s="6">
        <f t="shared" si="26"/>
        <v>-6085.5</v>
      </c>
      <c r="Y73" s="2"/>
      <c r="Z73" s="7">
        <f t="shared" si="27"/>
        <v>-1</v>
      </c>
    </row>
    <row r="74" spans="1:26" s="24" customFormat="1" hidden="1" outlineLevel="2" x14ac:dyDescent="0.25">
      <c r="A74" s="25"/>
      <c r="B74" s="11" t="str">
        <f>CONCATENATE("          ", "6114", " - ", "STATE UNEMPLOYMENT INSURANCE")</f>
        <v xml:space="preserve">          6114 - STATE UNEMPLOYMENT INSURANCE</v>
      </c>
      <c r="C74" s="11"/>
      <c r="D74" s="6"/>
      <c r="E74" s="2"/>
      <c r="F74" s="7">
        <f t="shared" si="20"/>
        <v>0</v>
      </c>
      <c r="G74" s="2"/>
      <c r="H74" s="6">
        <v>13.68</v>
      </c>
      <c r="I74" s="2"/>
      <c r="J74" s="7">
        <f t="shared" si="21"/>
        <v>2.6232616576942679E-4</v>
      </c>
      <c r="K74" s="2"/>
      <c r="L74" s="6">
        <f t="shared" si="22"/>
        <v>-13.68</v>
      </c>
      <c r="M74" s="2"/>
      <c r="N74" s="7">
        <f t="shared" si="23"/>
        <v>-1</v>
      </c>
      <c r="O74" s="11"/>
      <c r="P74" s="6">
        <v>38.020000000000003</v>
      </c>
      <c r="Q74" s="2"/>
      <c r="R74" s="7">
        <f t="shared" si="24"/>
        <v>1.7839781680862169E-3</v>
      </c>
      <c r="S74" s="2"/>
      <c r="T74" s="6">
        <v>147.12</v>
      </c>
      <c r="U74" s="2"/>
      <c r="V74" s="7">
        <f t="shared" si="25"/>
        <v>4.5832786592302395E-4</v>
      </c>
      <c r="W74" s="2"/>
      <c r="X74" s="6">
        <f t="shared" si="26"/>
        <v>-109.1</v>
      </c>
      <c r="Y74" s="2"/>
      <c r="Z74" s="7">
        <f t="shared" si="27"/>
        <v>-0.74157150625339852</v>
      </c>
    </row>
    <row r="75" spans="1:26" s="24" customFormat="1" hidden="1" outlineLevel="2" x14ac:dyDescent="0.25">
      <c r="A75" s="25"/>
      <c r="B75" s="11" t="str">
        <f>CONCATENATE("          ", "6115", " - ", "P.E.R.S.")</f>
        <v xml:space="preserve">          6115 - P.E.R.S.</v>
      </c>
      <c r="C75" s="11"/>
      <c r="D75" s="6"/>
      <c r="E75" s="2"/>
      <c r="F75" s="7">
        <f t="shared" si="20"/>
        <v>0</v>
      </c>
      <c r="G75" s="2"/>
      <c r="H75" s="6">
        <v>233.73</v>
      </c>
      <c r="I75" s="2"/>
      <c r="J75" s="7">
        <f t="shared" si="21"/>
        <v>4.4819806085736932E-3</v>
      </c>
      <c r="K75" s="2"/>
      <c r="L75" s="6">
        <f t="shared" si="22"/>
        <v>-233.73</v>
      </c>
      <c r="M75" s="2"/>
      <c r="N75" s="7">
        <f t="shared" si="23"/>
        <v>-1</v>
      </c>
      <c r="O75" s="11"/>
      <c r="P75" s="6"/>
      <c r="Q75" s="2"/>
      <c r="R75" s="7">
        <f t="shared" si="24"/>
        <v>0</v>
      </c>
      <c r="S75" s="2"/>
      <c r="T75" s="6">
        <v>1476.85</v>
      </c>
      <c r="U75" s="2"/>
      <c r="V75" s="7">
        <f t="shared" si="25"/>
        <v>4.6008802935591214E-3</v>
      </c>
      <c r="W75" s="2"/>
      <c r="X75" s="6">
        <f t="shared" si="26"/>
        <v>-1476.85</v>
      </c>
      <c r="Y75" s="2"/>
      <c r="Z75" s="7">
        <f t="shared" si="27"/>
        <v>-1</v>
      </c>
    </row>
    <row r="76" spans="1:26" s="24" customFormat="1" hidden="1" outlineLevel="2" x14ac:dyDescent="0.25">
      <c r="A76" s="25"/>
      <c r="B76" s="11" t="str">
        <f>CONCATENATE("          ", "6118", " - ", "VACATION")</f>
        <v xml:space="preserve">          6118 - VACATION</v>
      </c>
      <c r="C76" s="11"/>
      <c r="D76" s="6"/>
      <c r="E76" s="2"/>
      <c r="F76" s="7">
        <f t="shared" si="20"/>
        <v>0</v>
      </c>
      <c r="G76" s="2"/>
      <c r="H76" s="6">
        <v>145.84</v>
      </c>
      <c r="I76" s="2"/>
      <c r="J76" s="7">
        <f t="shared" si="21"/>
        <v>2.7966116970623688E-3</v>
      </c>
      <c r="K76" s="2"/>
      <c r="L76" s="6">
        <f t="shared" si="22"/>
        <v>-145.84</v>
      </c>
      <c r="M76" s="2"/>
      <c r="N76" s="7">
        <f t="shared" si="23"/>
        <v>-1</v>
      </c>
      <c r="O76" s="11"/>
      <c r="P76" s="6"/>
      <c r="Q76" s="2"/>
      <c r="R76" s="7">
        <f t="shared" si="24"/>
        <v>0</v>
      </c>
      <c r="S76" s="2"/>
      <c r="T76" s="6">
        <v>1395.16</v>
      </c>
      <c r="U76" s="2"/>
      <c r="V76" s="7">
        <f t="shared" si="25"/>
        <v>4.346388699165077E-3</v>
      </c>
      <c r="W76" s="2"/>
      <c r="X76" s="6">
        <f t="shared" si="26"/>
        <v>-1395.16</v>
      </c>
      <c r="Y76" s="2"/>
      <c r="Z76" s="7">
        <f t="shared" si="27"/>
        <v>-1</v>
      </c>
    </row>
    <row r="77" spans="1:26" s="24" customFormat="1" hidden="1" outlineLevel="2" x14ac:dyDescent="0.25">
      <c r="A77" s="25"/>
      <c r="B77" s="11" t="str">
        <f>CONCATENATE("          ", "6119", " - ", "SICK LEAVE")</f>
        <v xml:space="preserve">          6119 - SICK LEAVE</v>
      </c>
      <c r="C77" s="11"/>
      <c r="D77" s="6"/>
      <c r="E77" s="2"/>
      <c r="F77" s="7">
        <f t="shared" si="20"/>
        <v>0</v>
      </c>
      <c r="G77" s="2"/>
      <c r="H77" s="6">
        <v>102.89</v>
      </c>
      <c r="I77" s="2"/>
      <c r="J77" s="7">
        <f t="shared" si="21"/>
        <v>1.973007251170784E-3</v>
      </c>
      <c r="K77" s="2"/>
      <c r="L77" s="6">
        <f t="shared" si="22"/>
        <v>-102.89</v>
      </c>
      <c r="M77" s="2"/>
      <c r="N77" s="7">
        <f t="shared" si="23"/>
        <v>-1</v>
      </c>
      <c r="O77" s="11"/>
      <c r="P77" s="6"/>
      <c r="Q77" s="2"/>
      <c r="R77" s="7">
        <f t="shared" si="24"/>
        <v>0</v>
      </c>
      <c r="S77" s="2"/>
      <c r="T77" s="6">
        <v>479.03</v>
      </c>
      <c r="U77" s="2"/>
      <c r="V77" s="7">
        <f t="shared" si="25"/>
        <v>1.4923382110733152E-3</v>
      </c>
      <c r="W77" s="2"/>
      <c r="X77" s="6">
        <f t="shared" si="26"/>
        <v>-479.03</v>
      </c>
      <c r="Y77" s="2"/>
      <c r="Z77" s="7">
        <f t="shared" si="27"/>
        <v>-1</v>
      </c>
    </row>
    <row r="78" spans="1:26" s="24" customFormat="1" hidden="1" outlineLevel="2" x14ac:dyDescent="0.25">
      <c r="A78" s="25"/>
      <c r="B78" s="11" t="str">
        <f>CONCATENATE("          ", "6156", " - ", "EMPLOYEE MEALS")</f>
        <v xml:space="preserve">          6156 - EMPLOYEE MEALS</v>
      </c>
      <c r="C78" s="11"/>
      <c r="D78" s="6"/>
      <c r="E78" s="2"/>
      <c r="F78" s="7">
        <f t="shared" si="20"/>
        <v>0</v>
      </c>
      <c r="G78" s="2"/>
      <c r="H78" s="6">
        <v>175</v>
      </c>
      <c r="I78" s="2"/>
      <c r="J78" s="7">
        <f t="shared" si="21"/>
        <v>3.3557806293603577E-3</v>
      </c>
      <c r="K78" s="2"/>
      <c r="L78" s="6">
        <f t="shared" si="22"/>
        <v>-175</v>
      </c>
      <c r="M78" s="2"/>
      <c r="N78" s="7">
        <f t="shared" si="23"/>
        <v>-1</v>
      </c>
      <c r="O78" s="11"/>
      <c r="P78" s="6"/>
      <c r="Q78" s="2"/>
      <c r="R78" s="7">
        <f t="shared" si="24"/>
        <v>0</v>
      </c>
      <c r="S78" s="2"/>
      <c r="T78" s="6">
        <v>1127.06</v>
      </c>
      <c r="U78" s="2"/>
      <c r="V78" s="7">
        <f t="shared" si="25"/>
        <v>3.5111677852583153E-3</v>
      </c>
      <c r="W78" s="2"/>
      <c r="X78" s="6">
        <f t="shared" si="26"/>
        <v>-1127.06</v>
      </c>
      <c r="Y78" s="2"/>
      <c r="Z78" s="7">
        <f t="shared" si="27"/>
        <v>-1</v>
      </c>
    </row>
    <row r="79" spans="1:26" s="26" customFormat="1" outlineLevel="1" collapsed="1" x14ac:dyDescent="0.25">
      <c r="A79" s="27"/>
      <c r="B79" s="13" t="str">
        <f>CONCATENATE("     ","*Payroll                                          ")</f>
        <v xml:space="preserve">     *Payroll                                          </v>
      </c>
      <c r="C79" s="13"/>
      <c r="D79" s="1">
        <f>SUM(OSRRefD22_1x_0)</f>
        <v>0</v>
      </c>
      <c r="E79" s="1"/>
      <c r="F79" s="5">
        <f t="shared" ref="F79:F83" si="28">IF(D$12=0,0,D79/D$12)</f>
        <v>0</v>
      </c>
      <c r="G79" s="1"/>
      <c r="H79" s="1">
        <f>SUM(OSRRefH22_1x_0)</f>
        <v>8939.4599999999991</v>
      </c>
      <c r="I79" s="1"/>
      <c r="J79" s="5">
        <f t="shared" ref="J79:J83" si="29">IF(H$12=0,0,H79/H$12)</f>
        <v>0.17142209545680995</v>
      </c>
      <c r="K79" s="1"/>
      <c r="L79" s="1">
        <f t="shared" ref="L79:L83" si="30">+D79-H79</f>
        <v>-8939.4599999999991</v>
      </c>
      <c r="M79" s="1"/>
      <c r="N79" s="5">
        <f t="shared" ref="N79:N83" si="31">IF(H79=0,0,L79/H79)</f>
        <v>-1</v>
      </c>
      <c r="O79" s="13"/>
      <c r="P79" s="1">
        <f>SUM(OSRRefP22_1x_0)</f>
        <v>8152.5399999999991</v>
      </c>
      <c r="Q79" s="1"/>
      <c r="R79" s="5">
        <f t="shared" ref="R79:R83" si="32">IF(P$12=0,0,P79/P$12)</f>
        <v>0.38253428128483963</v>
      </c>
      <c r="S79" s="1"/>
      <c r="T79" s="1">
        <f>SUM(OSRRefT22_1x_0)</f>
        <v>56579.5</v>
      </c>
      <c r="U79" s="1"/>
      <c r="V79" s="5">
        <f t="shared" ref="V79:V83" si="33">IF(T$12=0,0,T79/T$12)</f>
        <v>0.17626401230282582</v>
      </c>
      <c r="W79" s="1"/>
      <c r="X79" s="1">
        <f t="shared" ref="X79:X83" si="34">+P79-T79</f>
        <v>-48426.96</v>
      </c>
      <c r="Y79" s="1"/>
      <c r="Z79" s="5">
        <f t="shared" ref="Z79:Z83" si="35">IF(T79=0,0,X79/T79)</f>
        <v>-0.85591000273950812</v>
      </c>
    </row>
    <row r="80" spans="1:26" s="24" customFormat="1" hidden="1" outlineLevel="2" x14ac:dyDescent="0.25">
      <c r="A80" s="25"/>
      <c r="B80" s="11" t="str">
        <f>CONCATENATE("          ", "6002", " - ", "STAFF SALARIES")</f>
        <v xml:space="preserve">          6002 - STAFF SALARIES</v>
      </c>
      <c r="C80" s="11"/>
      <c r="D80" s="6"/>
      <c r="E80" s="2"/>
      <c r="F80" s="7">
        <f t="shared" si="28"/>
        <v>0</v>
      </c>
      <c r="G80" s="2"/>
      <c r="H80" s="6">
        <v>3122.7</v>
      </c>
      <c r="I80" s="2"/>
      <c r="J80" s="7">
        <f t="shared" si="29"/>
        <v>5.9880549550306215E-2</v>
      </c>
      <c r="K80" s="2"/>
      <c r="L80" s="6">
        <f t="shared" si="30"/>
        <v>-3122.7</v>
      </c>
      <c r="M80" s="2"/>
      <c r="N80" s="7">
        <f t="shared" si="31"/>
        <v>-1</v>
      </c>
      <c r="O80" s="11"/>
      <c r="P80" s="6"/>
      <c r="Q80" s="2"/>
      <c r="R80" s="7">
        <f t="shared" si="32"/>
        <v>0</v>
      </c>
      <c r="S80" s="2"/>
      <c r="T80" s="6">
        <v>18958.72</v>
      </c>
      <c r="U80" s="2"/>
      <c r="V80" s="7">
        <f t="shared" si="33"/>
        <v>5.9062735713921649E-2</v>
      </c>
      <c r="W80" s="2"/>
      <c r="X80" s="6">
        <f t="shared" si="34"/>
        <v>-18958.72</v>
      </c>
      <c r="Y80" s="2"/>
      <c r="Z80" s="7">
        <f t="shared" si="35"/>
        <v>-1</v>
      </c>
    </row>
    <row r="81" spans="1:26" s="24" customFormat="1" hidden="1" outlineLevel="2" x14ac:dyDescent="0.25">
      <c r="A81" s="25"/>
      <c r="B81" s="11" t="str">
        <f>CONCATENATE("          ", "6005", " - ", "TEMPORARY WAGES-HOURLY")</f>
        <v xml:space="preserve">          6005 - TEMPORARY WAGES-HOURLY</v>
      </c>
      <c r="C81" s="11"/>
      <c r="D81" s="6"/>
      <c r="E81" s="2"/>
      <c r="F81" s="7">
        <f t="shared" si="28"/>
        <v>0</v>
      </c>
      <c r="G81" s="2"/>
      <c r="H81" s="6">
        <v>937.07</v>
      </c>
      <c r="I81" s="2"/>
      <c r="J81" s="7">
        <f t="shared" si="29"/>
        <v>1.7969150596312631E-2</v>
      </c>
      <c r="K81" s="2"/>
      <c r="L81" s="6">
        <f t="shared" si="30"/>
        <v>-937.07</v>
      </c>
      <c r="M81" s="2"/>
      <c r="N81" s="7">
        <f t="shared" si="31"/>
        <v>-1</v>
      </c>
      <c r="O81" s="11"/>
      <c r="P81" s="6">
        <v>5379.19</v>
      </c>
      <c r="Q81" s="2"/>
      <c r="R81" s="7">
        <f t="shared" si="32"/>
        <v>0.25240288064144384</v>
      </c>
      <c r="S81" s="2"/>
      <c r="T81" s="6">
        <v>3713.84</v>
      </c>
      <c r="U81" s="2"/>
      <c r="V81" s="7">
        <f t="shared" si="33"/>
        <v>1.1569850201057391E-2</v>
      </c>
      <c r="W81" s="2"/>
      <c r="X81" s="6">
        <f t="shared" si="34"/>
        <v>1665.3499999999995</v>
      </c>
      <c r="Y81" s="2"/>
      <c r="Z81" s="7">
        <f t="shared" si="35"/>
        <v>0.44841727161105471</v>
      </c>
    </row>
    <row r="82" spans="1:26" s="24" customFormat="1" hidden="1" outlineLevel="2" x14ac:dyDescent="0.25">
      <c r="A82" s="25"/>
      <c r="B82" s="11" t="str">
        <f>CONCATENATE("          ", "6006", " - ", "TEMPORARY PART TIME")</f>
        <v xml:space="preserve">          6006 - TEMPORARY PART TIME</v>
      </c>
      <c r="C82" s="11"/>
      <c r="D82" s="6"/>
      <c r="E82" s="2"/>
      <c r="F82" s="7">
        <f t="shared" si="28"/>
        <v>0</v>
      </c>
      <c r="G82" s="2"/>
      <c r="H82" s="6"/>
      <c r="I82" s="2"/>
      <c r="J82" s="7">
        <f t="shared" si="29"/>
        <v>0</v>
      </c>
      <c r="K82" s="2"/>
      <c r="L82" s="6">
        <f t="shared" si="30"/>
        <v>0</v>
      </c>
      <c r="M82" s="2"/>
      <c r="N82" s="7">
        <f t="shared" si="31"/>
        <v>0</v>
      </c>
      <c r="O82" s="11"/>
      <c r="P82" s="6"/>
      <c r="Q82" s="2"/>
      <c r="R82" s="7">
        <f t="shared" si="32"/>
        <v>0</v>
      </c>
      <c r="S82" s="2"/>
      <c r="T82" s="6">
        <v>25.5</v>
      </c>
      <c r="U82" s="2"/>
      <c r="V82" s="7">
        <f t="shared" si="33"/>
        <v>7.9441004493183183E-5</v>
      </c>
      <c r="W82" s="2"/>
      <c r="X82" s="6">
        <f t="shared" si="34"/>
        <v>-25.5</v>
      </c>
      <c r="Y82" s="2"/>
      <c r="Z82" s="7">
        <f t="shared" si="35"/>
        <v>-1</v>
      </c>
    </row>
    <row r="83" spans="1:26" s="24" customFormat="1" hidden="1" outlineLevel="2" x14ac:dyDescent="0.25">
      <c r="A83" s="25"/>
      <c r="B83" s="11" t="str">
        <f>CONCATENATE("          ", "6007", " - ", "STUDENT HOURLY")</f>
        <v xml:space="preserve">          6007 - STUDENT HOURLY</v>
      </c>
      <c r="C83" s="11"/>
      <c r="D83" s="6"/>
      <c r="E83" s="2"/>
      <c r="F83" s="7">
        <f t="shared" si="28"/>
        <v>0</v>
      </c>
      <c r="G83" s="2"/>
      <c r="H83" s="6">
        <v>4879.6899999999996</v>
      </c>
      <c r="I83" s="2"/>
      <c r="J83" s="7">
        <f t="shared" si="29"/>
        <v>9.3572395310191098E-2</v>
      </c>
      <c r="K83" s="2"/>
      <c r="L83" s="6">
        <f t="shared" si="30"/>
        <v>-4879.6899999999996</v>
      </c>
      <c r="M83" s="2"/>
      <c r="N83" s="7">
        <f t="shared" si="31"/>
        <v>-1</v>
      </c>
      <c r="O83" s="11"/>
      <c r="P83" s="6">
        <v>2773.35</v>
      </c>
      <c r="Q83" s="2"/>
      <c r="R83" s="7">
        <f t="shared" si="32"/>
        <v>0.13013140064339582</v>
      </c>
      <c r="S83" s="2"/>
      <c r="T83" s="6">
        <v>33881.440000000002</v>
      </c>
      <c r="U83" s="2"/>
      <c r="V83" s="7">
        <f t="shared" si="33"/>
        <v>0.1055519853833536</v>
      </c>
      <c r="W83" s="2"/>
      <c r="X83" s="6">
        <f t="shared" si="34"/>
        <v>-31108.090000000004</v>
      </c>
      <c r="Y83" s="2"/>
      <c r="Z83" s="7">
        <f t="shared" si="35"/>
        <v>-0.9181454507246446</v>
      </c>
    </row>
    <row r="84" spans="1:26" s="26" customFormat="1" outlineLevel="1" collapsed="1" x14ac:dyDescent="0.25">
      <c r="A84" s="27"/>
      <c r="B84" s="13" t="str">
        <f>CONCATENATE("     ","Advertising/Promo                                 ")</f>
        <v xml:space="preserve">     Advertising/Promo                                 </v>
      </c>
      <c r="C84" s="13"/>
      <c r="D84" s="1">
        <f>SUM(OSRRefD22_2x_0)</f>
        <v>0</v>
      </c>
      <c r="E84" s="1"/>
      <c r="F84" s="5">
        <f t="shared" ref="F84:F90" si="36">IF(D$12=0,0,D84/D$12)</f>
        <v>0</v>
      </c>
      <c r="G84" s="1"/>
      <c r="H84" s="1">
        <f>SUM(OSRRefH22_2x_0)</f>
        <v>0</v>
      </c>
      <c r="I84" s="1"/>
      <c r="J84" s="5">
        <f t="shared" ref="J84:J90" si="37">IF(H$12=0,0,H84/H$12)</f>
        <v>0</v>
      </c>
      <c r="K84" s="1"/>
      <c r="L84" s="1">
        <f t="shared" ref="L84:L90" si="38">+D84-H84</f>
        <v>0</v>
      </c>
      <c r="M84" s="1"/>
      <c r="N84" s="5">
        <f t="shared" ref="N84:N90" si="39">IF(H84=0,0,L84/H84)</f>
        <v>0</v>
      </c>
      <c r="O84" s="13"/>
      <c r="P84" s="1">
        <f>SUM(OSRRefP22_2x_0)</f>
        <v>124.72</v>
      </c>
      <c r="Q84" s="1"/>
      <c r="R84" s="5">
        <f t="shared" ref="R84:R90" si="40">IF(P$12=0,0,P84/P$12)</f>
        <v>5.8521240695347957E-3</v>
      </c>
      <c r="S84" s="1"/>
      <c r="T84" s="1">
        <f>SUM(OSRRefT22_2x_0)</f>
        <v>963.62</v>
      </c>
      <c r="U84" s="1"/>
      <c r="V84" s="5">
        <f t="shared" ref="V84:V90" si="41">IF(T$12=0,0,T84/T$12)</f>
        <v>3.0019976764596545E-3</v>
      </c>
      <c r="W84" s="1"/>
      <c r="X84" s="1">
        <f t="shared" ref="X84:X90" si="42">+P84-T84</f>
        <v>-838.9</v>
      </c>
      <c r="Y84" s="1"/>
      <c r="Z84" s="5">
        <f t="shared" ref="Z84:Z90" si="43">IF(T84=0,0,X84/T84)</f>
        <v>-0.87057138706128967</v>
      </c>
    </row>
    <row r="85" spans="1:26" s="24" customFormat="1" hidden="1" outlineLevel="2" x14ac:dyDescent="0.25">
      <c r="A85" s="25"/>
      <c r="B85" s="11" t="str">
        <f>CONCATENATE("          ", "6362", " - ", "ADVERTISING EXPENSE")</f>
        <v xml:space="preserve">          6362 - ADVERTISING EXPENSE</v>
      </c>
      <c r="C85" s="11"/>
      <c r="D85" s="6"/>
      <c r="E85" s="2"/>
      <c r="F85" s="7">
        <f t="shared" si="36"/>
        <v>0</v>
      </c>
      <c r="G85" s="2"/>
      <c r="H85" s="6"/>
      <c r="I85" s="2"/>
      <c r="J85" s="7">
        <f t="shared" si="37"/>
        <v>0</v>
      </c>
      <c r="K85" s="2"/>
      <c r="L85" s="6">
        <f t="shared" si="38"/>
        <v>0</v>
      </c>
      <c r="M85" s="2"/>
      <c r="N85" s="7">
        <f t="shared" si="39"/>
        <v>0</v>
      </c>
      <c r="O85" s="11"/>
      <c r="P85" s="6">
        <v>124.72</v>
      </c>
      <c r="Q85" s="2"/>
      <c r="R85" s="7">
        <f t="shared" si="40"/>
        <v>5.8521240695347957E-3</v>
      </c>
      <c r="S85" s="2"/>
      <c r="T85" s="6">
        <v>963.62</v>
      </c>
      <c r="U85" s="2"/>
      <c r="V85" s="7">
        <f t="shared" si="41"/>
        <v>3.0019976764596545E-3</v>
      </c>
      <c r="W85" s="2"/>
      <c r="X85" s="6">
        <f t="shared" si="42"/>
        <v>-838.9</v>
      </c>
      <c r="Y85" s="2"/>
      <c r="Z85" s="7">
        <f t="shared" si="43"/>
        <v>-0.87057138706128967</v>
      </c>
    </row>
    <row r="86" spans="1:26" s="26" customFormat="1" outlineLevel="1" collapsed="1" x14ac:dyDescent="0.25">
      <c r="A86" s="27"/>
      <c r="B86" s="13" t="str">
        <f>CONCATENATE("     ","Bad Debts/Over/Short                              ")</f>
        <v xml:space="preserve">     Bad Debts/Over/Short                              </v>
      </c>
      <c r="C86" s="13"/>
      <c r="D86" s="1">
        <f>SUM(OSRRefD22_3x_0)</f>
        <v>0</v>
      </c>
      <c r="E86" s="1"/>
      <c r="F86" s="5">
        <f t="shared" si="36"/>
        <v>0</v>
      </c>
      <c r="G86" s="1"/>
      <c r="H86" s="1">
        <f>SUM(OSRRefH22_3x_0)</f>
        <v>-21.52</v>
      </c>
      <c r="I86" s="1"/>
      <c r="J86" s="5">
        <f t="shared" si="37"/>
        <v>-4.1266513796477084E-4</v>
      </c>
      <c r="K86" s="1"/>
      <c r="L86" s="1">
        <f t="shared" si="38"/>
        <v>21.52</v>
      </c>
      <c r="M86" s="1"/>
      <c r="N86" s="5">
        <f t="shared" si="39"/>
        <v>-1</v>
      </c>
      <c r="O86" s="13"/>
      <c r="P86" s="1">
        <f>SUM(OSRRefP22_3x_0)</f>
        <v>1.1000000000000001</v>
      </c>
      <c r="Q86" s="1"/>
      <c r="R86" s="5">
        <f t="shared" si="40"/>
        <v>5.1614307861516002E-5</v>
      </c>
      <c r="S86" s="1"/>
      <c r="T86" s="1">
        <f>SUM(OSRRefT22_3x_0)</f>
        <v>-68.5</v>
      </c>
      <c r="U86" s="1"/>
      <c r="V86" s="5">
        <f t="shared" si="41"/>
        <v>-2.1340034540325681E-4</v>
      </c>
      <c r="W86" s="1"/>
      <c r="X86" s="1">
        <f t="shared" si="42"/>
        <v>69.599999999999994</v>
      </c>
      <c r="Y86" s="1"/>
      <c r="Z86" s="5">
        <f t="shared" si="43"/>
        <v>-1.0160583941605839</v>
      </c>
    </row>
    <row r="87" spans="1:26" s="24" customFormat="1" hidden="1" outlineLevel="2" x14ac:dyDescent="0.25">
      <c r="A87" s="25"/>
      <c r="B87" s="11" t="str">
        <f>CONCATENATE("          ", "6272", " - ", "CASH (OVER/SHORT)")</f>
        <v xml:space="preserve">          6272 - CASH (OVER/SHORT)</v>
      </c>
      <c r="C87" s="11"/>
      <c r="D87" s="6"/>
      <c r="E87" s="2"/>
      <c r="F87" s="7">
        <f t="shared" si="36"/>
        <v>0</v>
      </c>
      <c r="G87" s="2"/>
      <c r="H87" s="6">
        <v>-21.52</v>
      </c>
      <c r="I87" s="2"/>
      <c r="J87" s="7">
        <f t="shared" si="37"/>
        <v>-4.1266513796477084E-4</v>
      </c>
      <c r="K87" s="2"/>
      <c r="L87" s="6">
        <f t="shared" si="38"/>
        <v>21.52</v>
      </c>
      <c r="M87" s="2"/>
      <c r="N87" s="7">
        <f t="shared" si="39"/>
        <v>-1</v>
      </c>
      <c r="O87" s="11"/>
      <c r="P87" s="6">
        <v>1.1000000000000001</v>
      </c>
      <c r="Q87" s="2"/>
      <c r="R87" s="7">
        <f t="shared" si="40"/>
        <v>5.1614307861516002E-5</v>
      </c>
      <c r="S87" s="2"/>
      <c r="T87" s="6">
        <v>-68.5</v>
      </c>
      <c r="U87" s="2"/>
      <c r="V87" s="7">
        <f t="shared" si="41"/>
        <v>-2.1340034540325681E-4</v>
      </c>
      <c r="W87" s="2"/>
      <c r="X87" s="6">
        <f t="shared" si="42"/>
        <v>69.599999999999994</v>
      </c>
      <c r="Y87" s="2"/>
      <c r="Z87" s="7">
        <f t="shared" si="43"/>
        <v>-1.0160583941605839</v>
      </c>
    </row>
    <row r="88" spans="1:26" s="26" customFormat="1" outlineLevel="1" collapsed="1" x14ac:dyDescent="0.25">
      <c r="A88" s="27"/>
      <c r="B88" s="13" t="str">
        <f>CONCATENATE("     ","Discounts and Markdowns                           ")</f>
        <v xml:space="preserve">     Discounts and Markdowns                           </v>
      </c>
      <c r="C88" s="13"/>
      <c r="D88" s="1">
        <f>SUM(OSRRefD22_4x_0)</f>
        <v>0</v>
      </c>
      <c r="E88" s="1"/>
      <c r="F88" s="5">
        <f t="shared" si="36"/>
        <v>0</v>
      </c>
      <c r="G88" s="1"/>
      <c r="H88" s="1">
        <f>SUM(OSRRefH22_4x_0)</f>
        <v>1798.22</v>
      </c>
      <c r="I88" s="1"/>
      <c r="J88" s="5">
        <f t="shared" si="37"/>
        <v>3.4482467676162185E-2</v>
      </c>
      <c r="K88" s="1"/>
      <c r="L88" s="1">
        <f t="shared" si="38"/>
        <v>-1798.22</v>
      </c>
      <c r="M88" s="1"/>
      <c r="N88" s="5">
        <f t="shared" si="39"/>
        <v>-1</v>
      </c>
      <c r="O88" s="13"/>
      <c r="P88" s="1">
        <f>SUM(OSRRefP22_4x_0)</f>
        <v>0</v>
      </c>
      <c r="Q88" s="1"/>
      <c r="R88" s="5">
        <f t="shared" si="40"/>
        <v>0</v>
      </c>
      <c r="S88" s="1"/>
      <c r="T88" s="1">
        <f>SUM(OSRRefT22_4x_0)</f>
        <v>7335.6</v>
      </c>
      <c r="U88" s="1"/>
      <c r="V88" s="5">
        <f t="shared" si="41"/>
        <v>2.2852840492556651E-2</v>
      </c>
      <c r="W88" s="1"/>
      <c r="X88" s="1">
        <f t="shared" si="42"/>
        <v>-7335.6</v>
      </c>
      <c r="Y88" s="1"/>
      <c r="Z88" s="5">
        <f t="shared" si="43"/>
        <v>-1</v>
      </c>
    </row>
    <row r="89" spans="1:26" s="24" customFormat="1" hidden="1" outlineLevel="2" x14ac:dyDescent="0.25">
      <c r="A89" s="25"/>
      <c r="B89" s="11" t="str">
        <f>CONCATENATE("          ", "6382", " - ", "DISCOUNTS/MARK DOWNS")</f>
        <v xml:space="preserve">          6382 - DISCOUNTS/MARK DOWNS</v>
      </c>
      <c r="C89" s="11"/>
      <c r="D89" s="6"/>
      <c r="E89" s="2"/>
      <c r="F89" s="7">
        <f t="shared" si="36"/>
        <v>0</v>
      </c>
      <c r="G89" s="2"/>
      <c r="H89" s="6">
        <v>1798.22</v>
      </c>
      <c r="I89" s="2"/>
      <c r="J89" s="7">
        <f t="shared" si="37"/>
        <v>3.4482467676162185E-2</v>
      </c>
      <c r="K89" s="2"/>
      <c r="L89" s="6">
        <f t="shared" si="38"/>
        <v>-1798.22</v>
      </c>
      <c r="M89" s="2"/>
      <c r="N89" s="7">
        <f t="shared" si="39"/>
        <v>-1</v>
      </c>
      <c r="O89" s="11"/>
      <c r="P89" s="6"/>
      <c r="Q89" s="2"/>
      <c r="R89" s="7">
        <f t="shared" si="40"/>
        <v>0</v>
      </c>
      <c r="S89" s="2"/>
      <c r="T89" s="6">
        <v>7335.6</v>
      </c>
      <c r="U89" s="2"/>
      <c r="V89" s="7">
        <f t="shared" si="41"/>
        <v>2.2852840492556651E-2</v>
      </c>
      <c r="W89" s="2"/>
      <c r="X89" s="6">
        <f t="shared" si="42"/>
        <v>-7335.6</v>
      </c>
      <c r="Y89" s="2"/>
      <c r="Z89" s="7">
        <f t="shared" si="43"/>
        <v>-1</v>
      </c>
    </row>
    <row r="90" spans="1:26" s="24" customFormat="1" hidden="1" outlineLevel="2" x14ac:dyDescent="0.25">
      <c r="A90" s="25"/>
      <c r="B90" s="11" t="str">
        <f>CONCATENATE("          ", "9175", " - ", "EARNED DISCOUNTS")</f>
        <v xml:space="preserve">          9175 - EARNED DISCOUNTS</v>
      </c>
      <c r="C90" s="11"/>
      <c r="D90" s="6"/>
      <c r="E90" s="2"/>
      <c r="F90" s="7">
        <f t="shared" si="36"/>
        <v>0</v>
      </c>
      <c r="G90" s="2"/>
      <c r="H90" s="6"/>
      <c r="I90" s="2"/>
      <c r="J90" s="7">
        <f t="shared" si="37"/>
        <v>0</v>
      </c>
      <c r="K90" s="2"/>
      <c r="L90" s="6">
        <f t="shared" si="38"/>
        <v>0</v>
      </c>
      <c r="M90" s="2"/>
      <c r="N90" s="7">
        <f t="shared" si="39"/>
        <v>0</v>
      </c>
      <c r="O90" s="11"/>
      <c r="P90" s="6">
        <v>0</v>
      </c>
      <c r="Q90" s="2"/>
      <c r="R90" s="7">
        <f t="shared" si="40"/>
        <v>0</v>
      </c>
      <c r="S90" s="2"/>
      <c r="T90" s="6">
        <v>0</v>
      </c>
      <c r="U90" s="2"/>
      <c r="V90" s="7">
        <f t="shared" si="41"/>
        <v>0</v>
      </c>
      <c r="W90" s="2"/>
      <c r="X90" s="6">
        <f t="shared" si="42"/>
        <v>0</v>
      </c>
      <c r="Y90" s="2"/>
      <c r="Z90" s="7">
        <f t="shared" si="43"/>
        <v>0</v>
      </c>
    </row>
    <row r="91" spans="1:26" s="26" customFormat="1" outlineLevel="1" collapsed="1" x14ac:dyDescent="0.25">
      <c r="A91" s="27"/>
      <c r="B91" s="13" t="str">
        <f>CONCATENATE("     ","General                                           ")</f>
        <v xml:space="preserve">     General                                           </v>
      </c>
      <c r="C91" s="13"/>
      <c r="D91" s="1">
        <f>SUM(OSRRefD22_5x_0)</f>
        <v>0</v>
      </c>
      <c r="E91" s="1"/>
      <c r="F91" s="5">
        <f t="shared" ref="F91:F97" si="44">IF(D$12=0,0,D91/D$12)</f>
        <v>0</v>
      </c>
      <c r="G91" s="1"/>
      <c r="H91" s="1">
        <f>SUM(OSRRefH22_5x_0)</f>
        <v>0</v>
      </c>
      <c r="I91" s="1"/>
      <c r="J91" s="5">
        <f t="shared" ref="J91:J97" si="45">IF(H$12=0,0,H91/H$12)</f>
        <v>0</v>
      </c>
      <c r="K91" s="1"/>
      <c r="L91" s="1">
        <f t="shared" ref="L91:L97" si="46">+D91-H91</f>
        <v>0</v>
      </c>
      <c r="M91" s="1"/>
      <c r="N91" s="5">
        <f t="shared" ref="N91:N97" si="47">IF(H91=0,0,L91/H91)</f>
        <v>0</v>
      </c>
      <c r="O91" s="13"/>
      <c r="P91" s="1">
        <f>SUM(OSRRefP22_5x_0)</f>
        <v>879.55</v>
      </c>
      <c r="Q91" s="1"/>
      <c r="R91" s="5">
        <f t="shared" ref="R91:R97" si="48">IF(P$12=0,0,P91/P$12)</f>
        <v>4.1270331345087632E-2</v>
      </c>
      <c r="S91" s="1"/>
      <c r="T91" s="1">
        <f>SUM(OSRRefT22_5x_0)</f>
        <v>954.05</v>
      </c>
      <c r="U91" s="1"/>
      <c r="V91" s="5">
        <f t="shared" ref="V91:V97" si="49">IF(T$12=0,0,T91/T$12)</f>
        <v>2.9721839347733891E-3</v>
      </c>
      <c r="W91" s="1"/>
      <c r="X91" s="1">
        <f t="shared" ref="X91:X97" si="50">+P91-T91</f>
        <v>-74.5</v>
      </c>
      <c r="Y91" s="1"/>
      <c r="Z91" s="5">
        <f t="shared" ref="Z91:Z97" si="51">IF(T91=0,0,X91/T91)</f>
        <v>-7.8088150516220325E-2</v>
      </c>
    </row>
    <row r="92" spans="1:26" s="24" customFormat="1" hidden="1" outlineLevel="2" x14ac:dyDescent="0.25">
      <c r="A92" s="25"/>
      <c r="B92" s="11" t="str">
        <f>CONCATENATE("          ", "6279", " - ", "GENERAL EXPENSE")</f>
        <v xml:space="preserve">          6279 - GENERAL EXPENSE</v>
      </c>
      <c r="C92" s="11"/>
      <c r="D92" s="6"/>
      <c r="E92" s="2"/>
      <c r="F92" s="7">
        <f t="shared" si="44"/>
        <v>0</v>
      </c>
      <c r="G92" s="2"/>
      <c r="H92" s="6"/>
      <c r="I92" s="2"/>
      <c r="J92" s="7">
        <f t="shared" si="45"/>
        <v>0</v>
      </c>
      <c r="K92" s="2"/>
      <c r="L92" s="6">
        <f t="shared" si="46"/>
        <v>0</v>
      </c>
      <c r="M92" s="2"/>
      <c r="N92" s="7">
        <f t="shared" si="47"/>
        <v>0</v>
      </c>
      <c r="O92" s="11"/>
      <c r="P92" s="6">
        <v>879.55</v>
      </c>
      <c r="Q92" s="2"/>
      <c r="R92" s="7">
        <f t="shared" si="48"/>
        <v>4.1270331345087632E-2</v>
      </c>
      <c r="S92" s="2"/>
      <c r="T92" s="6">
        <v>954.05</v>
      </c>
      <c r="U92" s="2"/>
      <c r="V92" s="7">
        <f t="shared" si="49"/>
        <v>2.9721839347733891E-3</v>
      </c>
      <c r="W92" s="2"/>
      <c r="X92" s="6">
        <f t="shared" si="50"/>
        <v>-74.5</v>
      </c>
      <c r="Y92" s="2"/>
      <c r="Z92" s="7">
        <f t="shared" si="51"/>
        <v>-7.8088150516220325E-2</v>
      </c>
    </row>
    <row r="93" spans="1:26" s="26" customFormat="1" outlineLevel="1" collapsed="1" x14ac:dyDescent="0.25">
      <c r="A93" s="27"/>
      <c r="B93" s="13" t="str">
        <f>CONCATENATE("     ","Professional Services                             ")</f>
        <v xml:space="preserve">     Professional Services                             </v>
      </c>
      <c r="C93" s="13"/>
      <c r="D93" s="1">
        <f>SUM(OSRRefD22_6x_0)</f>
        <v>0</v>
      </c>
      <c r="E93" s="1"/>
      <c r="F93" s="5">
        <f t="shared" si="44"/>
        <v>0</v>
      </c>
      <c r="G93" s="1"/>
      <c r="H93" s="1">
        <f>SUM(OSRRefH22_6x_0)</f>
        <v>0</v>
      </c>
      <c r="I93" s="1"/>
      <c r="J93" s="5">
        <f t="shared" si="45"/>
        <v>0</v>
      </c>
      <c r="K93" s="1"/>
      <c r="L93" s="1">
        <f t="shared" si="46"/>
        <v>0</v>
      </c>
      <c r="M93" s="1"/>
      <c r="N93" s="5">
        <f t="shared" si="47"/>
        <v>0</v>
      </c>
      <c r="O93" s="13"/>
      <c r="P93" s="1">
        <f>SUM(OSRRefP22_6x_0)</f>
        <v>0</v>
      </c>
      <c r="Q93" s="1"/>
      <c r="R93" s="5">
        <f t="shared" si="48"/>
        <v>0</v>
      </c>
      <c r="S93" s="1"/>
      <c r="T93" s="1">
        <f>SUM(OSRRefT22_6x_0)</f>
        <v>791.15</v>
      </c>
      <c r="U93" s="1"/>
      <c r="V93" s="5">
        <f t="shared" si="49"/>
        <v>2.4646961060698774E-3</v>
      </c>
      <c r="W93" s="1"/>
      <c r="X93" s="1">
        <f t="shared" si="50"/>
        <v>-791.15</v>
      </c>
      <c r="Y93" s="1"/>
      <c r="Z93" s="5">
        <f t="shared" si="51"/>
        <v>-1</v>
      </c>
    </row>
    <row r="94" spans="1:26" s="24" customFormat="1" hidden="1" outlineLevel="2" x14ac:dyDescent="0.25">
      <c r="A94" s="25"/>
      <c r="B94" s="11" t="str">
        <f>CONCATENATE("          ", "6336", " - ", "PROFESSIONAL SERVICES")</f>
        <v xml:space="preserve">          6336 - PROFESSIONAL SERVICES</v>
      </c>
      <c r="C94" s="11"/>
      <c r="D94" s="6"/>
      <c r="E94" s="2"/>
      <c r="F94" s="7">
        <f t="shared" si="44"/>
        <v>0</v>
      </c>
      <c r="G94" s="2"/>
      <c r="H94" s="6"/>
      <c r="I94" s="2"/>
      <c r="J94" s="7">
        <f t="shared" si="45"/>
        <v>0</v>
      </c>
      <c r="K94" s="2"/>
      <c r="L94" s="6">
        <f t="shared" si="46"/>
        <v>0</v>
      </c>
      <c r="M94" s="2"/>
      <c r="N94" s="7">
        <f t="shared" si="47"/>
        <v>0</v>
      </c>
      <c r="O94" s="11"/>
      <c r="P94" s="6"/>
      <c r="Q94" s="2"/>
      <c r="R94" s="7">
        <f t="shared" si="48"/>
        <v>0</v>
      </c>
      <c r="S94" s="2"/>
      <c r="T94" s="6">
        <v>791.15</v>
      </c>
      <c r="U94" s="2"/>
      <c r="V94" s="7">
        <f t="shared" si="49"/>
        <v>2.4646961060698774E-3</v>
      </c>
      <c r="W94" s="2"/>
      <c r="X94" s="6">
        <f t="shared" si="50"/>
        <v>-791.15</v>
      </c>
      <c r="Y94" s="2"/>
      <c r="Z94" s="7">
        <f t="shared" si="51"/>
        <v>-1</v>
      </c>
    </row>
    <row r="95" spans="1:26" s="26" customFormat="1" outlineLevel="1" collapsed="1" x14ac:dyDescent="0.25">
      <c r="A95" s="27"/>
      <c r="B95" s="13" t="str">
        <f>CONCATENATE("     ","Repair and Maintenance                            ")</f>
        <v xml:space="preserve">     Repair and Maintenance                            </v>
      </c>
      <c r="C95" s="13"/>
      <c r="D95" s="1">
        <f>SUM(OSRRefD22_7x_0)</f>
        <v>0</v>
      </c>
      <c r="E95" s="1"/>
      <c r="F95" s="5">
        <f t="shared" si="44"/>
        <v>0</v>
      </c>
      <c r="G95" s="1"/>
      <c r="H95" s="1">
        <f>SUM(OSRRefH22_7x_0)</f>
        <v>0</v>
      </c>
      <c r="I95" s="1"/>
      <c r="J95" s="5">
        <f t="shared" si="45"/>
        <v>0</v>
      </c>
      <c r="K95" s="1"/>
      <c r="L95" s="1">
        <f t="shared" si="46"/>
        <v>0</v>
      </c>
      <c r="M95" s="1"/>
      <c r="N95" s="5">
        <f t="shared" si="47"/>
        <v>0</v>
      </c>
      <c r="O95" s="13"/>
      <c r="P95" s="1">
        <f>SUM(OSRRefP22_7x_0)</f>
        <v>200.82</v>
      </c>
      <c r="Q95" s="1"/>
      <c r="R95" s="5">
        <f t="shared" si="48"/>
        <v>9.4228957315905838E-3</v>
      </c>
      <c r="S95" s="1"/>
      <c r="T95" s="1">
        <f>SUM(OSRRefT22_7x_0)</f>
        <v>129.53</v>
      </c>
      <c r="U95" s="1"/>
      <c r="V95" s="5">
        <f t="shared" si="49"/>
        <v>4.0352914949027527E-4</v>
      </c>
      <c r="W95" s="1"/>
      <c r="X95" s="1">
        <f t="shared" si="50"/>
        <v>71.289999999999992</v>
      </c>
      <c r="Y95" s="1"/>
      <c r="Z95" s="5">
        <f t="shared" si="51"/>
        <v>0.55037443063382996</v>
      </c>
    </row>
    <row r="96" spans="1:26" s="24" customFormat="1" hidden="1" outlineLevel="2" x14ac:dyDescent="0.25">
      <c r="A96" s="25"/>
      <c r="B96" s="11" t="str">
        <f>CONCATENATE("          ", "6373", " - ", "MAINTENANCE CONTRACTS")</f>
        <v xml:space="preserve">          6373 - MAINTENANCE CONTRACTS</v>
      </c>
      <c r="C96" s="11"/>
      <c r="D96" s="6"/>
      <c r="E96" s="2"/>
      <c r="F96" s="7">
        <f t="shared" si="44"/>
        <v>0</v>
      </c>
      <c r="G96" s="2"/>
      <c r="H96" s="6"/>
      <c r="I96" s="2"/>
      <c r="J96" s="7">
        <f t="shared" si="45"/>
        <v>0</v>
      </c>
      <c r="K96" s="2"/>
      <c r="L96" s="6">
        <f t="shared" si="46"/>
        <v>0</v>
      </c>
      <c r="M96" s="2"/>
      <c r="N96" s="7">
        <f t="shared" si="47"/>
        <v>0</v>
      </c>
      <c r="O96" s="11"/>
      <c r="P96" s="6">
        <v>200.82</v>
      </c>
      <c r="Q96" s="2"/>
      <c r="R96" s="7">
        <f t="shared" si="48"/>
        <v>9.4228957315905838E-3</v>
      </c>
      <c r="S96" s="2"/>
      <c r="T96" s="6">
        <v>119.73</v>
      </c>
      <c r="U96" s="2"/>
      <c r="V96" s="7">
        <f t="shared" si="49"/>
        <v>3.7299888109681664E-4</v>
      </c>
      <c r="W96" s="2"/>
      <c r="X96" s="6">
        <f t="shared" si="50"/>
        <v>81.089999999999989</v>
      </c>
      <c r="Y96" s="2"/>
      <c r="Z96" s="7">
        <f t="shared" si="51"/>
        <v>0.67727386619894747</v>
      </c>
    </row>
    <row r="97" spans="1:26" s="24" customFormat="1" hidden="1" outlineLevel="2" x14ac:dyDescent="0.25">
      <c r="A97" s="25"/>
      <c r="B97" s="11" t="str">
        <f>CONCATENATE("          ", "6375", " - ", "OUTSIDE REPAIRS &amp; MAINTENANCE")</f>
        <v xml:space="preserve">          6375 - OUTSIDE REPAIRS &amp; MAINTENANCE</v>
      </c>
      <c r="C97" s="11"/>
      <c r="D97" s="6"/>
      <c r="E97" s="2"/>
      <c r="F97" s="7">
        <f t="shared" si="44"/>
        <v>0</v>
      </c>
      <c r="G97" s="2"/>
      <c r="H97" s="6"/>
      <c r="I97" s="2"/>
      <c r="J97" s="7">
        <f t="shared" si="45"/>
        <v>0</v>
      </c>
      <c r="K97" s="2"/>
      <c r="L97" s="6">
        <f t="shared" si="46"/>
        <v>0</v>
      </c>
      <c r="M97" s="2"/>
      <c r="N97" s="7">
        <f t="shared" si="47"/>
        <v>0</v>
      </c>
      <c r="O97" s="11"/>
      <c r="P97" s="6"/>
      <c r="Q97" s="2"/>
      <c r="R97" s="7">
        <f t="shared" si="48"/>
        <v>0</v>
      </c>
      <c r="S97" s="2"/>
      <c r="T97" s="6">
        <v>9.8000000000000007</v>
      </c>
      <c r="U97" s="2"/>
      <c r="V97" s="7">
        <f t="shared" si="49"/>
        <v>3.0530268393458643E-5</v>
      </c>
      <c r="W97" s="2"/>
      <c r="X97" s="6">
        <f t="shared" si="50"/>
        <v>-9.8000000000000007</v>
      </c>
      <c r="Y97" s="2"/>
      <c r="Z97" s="7">
        <f t="shared" si="51"/>
        <v>-1</v>
      </c>
    </row>
    <row r="98" spans="1:26" s="26" customFormat="1" outlineLevel="1" collapsed="1" x14ac:dyDescent="0.25">
      <c r="A98" s="27"/>
      <c r="B98" s="13" t="str">
        <f>CONCATENATE("     ","Services                                          ")</f>
        <v xml:space="preserve">     Services                                          </v>
      </c>
      <c r="C98" s="13"/>
      <c r="D98" s="1">
        <f>SUM(OSRRefD22_8x_0)</f>
        <v>0</v>
      </c>
      <c r="E98" s="1"/>
      <c r="F98" s="5">
        <f t="shared" ref="F98:F100" si="52">IF(D$12=0,0,D98/D$12)</f>
        <v>0</v>
      </c>
      <c r="G98" s="1"/>
      <c r="H98" s="1">
        <f>SUM(OSRRefH22_8x_0)</f>
        <v>338.16999999999996</v>
      </c>
      <c r="I98" s="1"/>
      <c r="J98" s="5">
        <f t="shared" ref="J98:J100" si="53">IF(H$12=0,0,H98/H$12)</f>
        <v>6.484710488175954E-3</v>
      </c>
      <c r="K98" s="1"/>
      <c r="L98" s="1">
        <f t="shared" ref="L98:L100" si="54">+D98-H98</f>
        <v>-338.16999999999996</v>
      </c>
      <c r="M98" s="1"/>
      <c r="N98" s="5">
        <f t="shared" ref="N98:N100" si="55">IF(H98=0,0,L98/H98)</f>
        <v>-1</v>
      </c>
      <c r="O98" s="13"/>
      <c r="P98" s="1">
        <f>SUM(OSRRefP22_8x_0)</f>
        <v>18.5</v>
      </c>
      <c r="Q98" s="1"/>
      <c r="R98" s="5">
        <f t="shared" ref="R98:R100" si="56">IF(P$12=0,0,P98/P$12)</f>
        <v>8.6805881403458724E-4</v>
      </c>
      <c r="S98" s="1"/>
      <c r="T98" s="1">
        <f>SUM(OSRRefT22_8x_0)</f>
        <v>1568.86</v>
      </c>
      <c r="U98" s="1"/>
      <c r="V98" s="5">
        <f t="shared" ref="V98:V100" si="57">IF(T$12=0,0,T98/T$12)</f>
        <v>4.8875221297715833E-3</v>
      </c>
      <c r="W98" s="1"/>
      <c r="X98" s="1">
        <f t="shared" ref="X98:X100" si="58">+P98-T98</f>
        <v>-1550.36</v>
      </c>
      <c r="Y98" s="1"/>
      <c r="Z98" s="5">
        <f t="shared" ref="Z98:Z100" si="59">IF(T98=0,0,X98/T98)</f>
        <v>-0.98820799816427218</v>
      </c>
    </row>
    <row r="99" spans="1:26" s="24" customFormat="1" hidden="1" outlineLevel="2" x14ac:dyDescent="0.25">
      <c r="A99" s="25"/>
      <c r="B99" s="11" t="str">
        <f>CONCATENATE("          ", "6282", " - ", "JANITORIAL/EXTERMINATOR EXPENS")</f>
        <v xml:space="preserve">          6282 - JANITORIAL/EXTERMINATOR EXPENS</v>
      </c>
      <c r="C99" s="11"/>
      <c r="D99" s="6"/>
      <c r="E99" s="2"/>
      <c r="F99" s="7">
        <f t="shared" si="52"/>
        <v>0</v>
      </c>
      <c r="G99" s="2"/>
      <c r="H99" s="6">
        <v>65.02</v>
      </c>
      <c r="I99" s="2"/>
      <c r="J99" s="7">
        <f t="shared" si="53"/>
        <v>1.2468163229772025E-3</v>
      </c>
      <c r="K99" s="2"/>
      <c r="L99" s="6">
        <f t="shared" si="54"/>
        <v>-65.02</v>
      </c>
      <c r="M99" s="2"/>
      <c r="N99" s="7">
        <f t="shared" si="55"/>
        <v>-1</v>
      </c>
      <c r="O99" s="11"/>
      <c r="P99" s="6">
        <v>176</v>
      </c>
      <c r="Q99" s="2"/>
      <c r="R99" s="7">
        <f t="shared" si="56"/>
        <v>8.2582892578425601E-3</v>
      </c>
      <c r="S99" s="2"/>
      <c r="T99" s="6">
        <v>329.02</v>
      </c>
      <c r="U99" s="2"/>
      <c r="V99" s="7">
        <f t="shared" si="57"/>
        <v>1.0250070313077306E-3</v>
      </c>
      <c r="W99" s="2"/>
      <c r="X99" s="6">
        <f t="shared" si="58"/>
        <v>-153.01999999999998</v>
      </c>
      <c r="Y99" s="2"/>
      <c r="Z99" s="7">
        <f t="shared" si="59"/>
        <v>-0.4650781107531457</v>
      </c>
    </row>
    <row r="100" spans="1:26" s="24" customFormat="1" hidden="1" outlineLevel="2" x14ac:dyDescent="0.25">
      <c r="A100" s="25"/>
      <c r="B100" s="11" t="str">
        <f>CONCATENATE("          ", "6285", " - ", "JANITORIAL SERVICES")</f>
        <v xml:space="preserve">          6285 - JANITORIAL SERVICES</v>
      </c>
      <c r="C100" s="11"/>
      <c r="D100" s="6"/>
      <c r="E100" s="2"/>
      <c r="F100" s="7">
        <f t="shared" si="52"/>
        <v>0</v>
      </c>
      <c r="G100" s="2"/>
      <c r="H100" s="6">
        <v>273.14999999999998</v>
      </c>
      <c r="I100" s="2"/>
      <c r="J100" s="7">
        <f t="shared" si="53"/>
        <v>5.2378941651987521E-3</v>
      </c>
      <c r="K100" s="2"/>
      <c r="L100" s="6">
        <f t="shared" si="54"/>
        <v>-273.14999999999998</v>
      </c>
      <c r="M100" s="2"/>
      <c r="N100" s="7">
        <f t="shared" si="55"/>
        <v>-1</v>
      </c>
      <c r="O100" s="11"/>
      <c r="P100" s="6">
        <v>-157.5</v>
      </c>
      <c r="Q100" s="2"/>
      <c r="R100" s="7">
        <f t="shared" si="56"/>
        <v>-7.3902304438079732E-3</v>
      </c>
      <c r="S100" s="2"/>
      <c r="T100" s="6">
        <v>1239.8399999999999</v>
      </c>
      <c r="U100" s="2"/>
      <c r="V100" s="7">
        <f t="shared" si="57"/>
        <v>3.8625150984638525E-3</v>
      </c>
      <c r="W100" s="2"/>
      <c r="X100" s="6">
        <f t="shared" si="58"/>
        <v>-1397.34</v>
      </c>
      <c r="Y100" s="2"/>
      <c r="Z100" s="7">
        <f t="shared" si="59"/>
        <v>-1.1270325203252032</v>
      </c>
    </row>
    <row r="101" spans="1:26" s="26" customFormat="1" outlineLevel="1" collapsed="1" x14ac:dyDescent="0.25">
      <c r="A101" s="27"/>
      <c r="B101" s="13" t="str">
        <f>CONCATENATE("     ","Supplies                                          ")</f>
        <v xml:space="preserve">     Supplies                                          </v>
      </c>
      <c r="C101" s="13"/>
      <c r="D101" s="1">
        <f>SUM(OSRRefD22_9x_0)</f>
        <v>0</v>
      </c>
      <c r="E101" s="1"/>
      <c r="F101" s="5">
        <f t="shared" ref="F101:F105" si="60">IF(D$12=0,0,D101/D$12)</f>
        <v>0</v>
      </c>
      <c r="G101" s="1"/>
      <c r="H101" s="1">
        <f>SUM(OSRRefH22_9x_0)</f>
        <v>53.489999999999995</v>
      </c>
      <c r="I101" s="1"/>
      <c r="J101" s="5">
        <f t="shared" ref="J101:J105" si="61">IF(H$12=0,0,H101/H$12)</f>
        <v>1.0257183192256315E-3</v>
      </c>
      <c r="K101" s="1"/>
      <c r="L101" s="1">
        <f t="shared" ref="L101:L105" si="62">+D101-H101</f>
        <v>-53.489999999999995</v>
      </c>
      <c r="M101" s="1"/>
      <c r="N101" s="5">
        <f t="shared" ref="N101:N105" si="63">IF(H101=0,0,L101/H101)</f>
        <v>-1</v>
      </c>
      <c r="O101" s="13"/>
      <c r="P101" s="1">
        <f>SUM(OSRRefP22_9x_0)</f>
        <v>1892.27</v>
      </c>
      <c r="Q101" s="1"/>
      <c r="R101" s="5">
        <f t="shared" ref="R101:R105" si="64">IF(P$12=0,0,P101/P$12)</f>
        <v>8.8789278488282622E-2</v>
      </c>
      <c r="S101" s="1"/>
      <c r="T101" s="1">
        <f>SUM(OSRRefT22_9x_0)</f>
        <v>1262.32</v>
      </c>
      <c r="U101" s="1"/>
      <c r="V101" s="5">
        <f t="shared" ref="V101:V105" si="65">IF(T$12=0,0,T101/T$12)</f>
        <v>3.9325477957582351E-3</v>
      </c>
      <c r="W101" s="1"/>
      <c r="X101" s="1">
        <f t="shared" ref="X101:X105" si="66">+P101-T101</f>
        <v>629.95000000000005</v>
      </c>
      <c r="Y101" s="1"/>
      <c r="Z101" s="5">
        <f t="shared" ref="Z101:Z105" si="67">IF(T101=0,0,X101/T101)</f>
        <v>0.4990414474935041</v>
      </c>
    </row>
    <row r="102" spans="1:26" s="24" customFormat="1" hidden="1" outlineLevel="2" x14ac:dyDescent="0.25">
      <c r="A102" s="25"/>
      <c r="B102" s="11" t="str">
        <f>CONCATENATE("          ", "6235", " - ", "COVID-19 EXPENSES")</f>
        <v xml:space="preserve">          6235 - COVID-19 EXPENSES</v>
      </c>
      <c r="C102" s="11"/>
      <c r="D102" s="6"/>
      <c r="E102" s="2"/>
      <c r="F102" s="7">
        <f t="shared" si="60"/>
        <v>0</v>
      </c>
      <c r="G102" s="2"/>
      <c r="H102" s="6"/>
      <c r="I102" s="2"/>
      <c r="J102" s="7">
        <f t="shared" si="61"/>
        <v>0</v>
      </c>
      <c r="K102" s="2"/>
      <c r="L102" s="6">
        <f t="shared" si="62"/>
        <v>0</v>
      </c>
      <c r="M102" s="2"/>
      <c r="N102" s="7">
        <f t="shared" si="63"/>
        <v>0</v>
      </c>
      <c r="O102" s="11"/>
      <c r="P102" s="6">
        <v>444.3</v>
      </c>
      <c r="Q102" s="2"/>
      <c r="R102" s="7">
        <f t="shared" si="64"/>
        <v>2.0847488166246871E-2</v>
      </c>
      <c r="S102" s="2"/>
      <c r="T102" s="6"/>
      <c r="U102" s="2"/>
      <c r="V102" s="7">
        <f t="shared" si="65"/>
        <v>0</v>
      </c>
      <c r="W102" s="2"/>
      <c r="X102" s="6">
        <f t="shared" si="66"/>
        <v>444.3</v>
      </c>
      <c r="Y102" s="2"/>
      <c r="Z102" s="7">
        <f t="shared" si="67"/>
        <v>0</v>
      </c>
    </row>
    <row r="103" spans="1:26" s="24" customFormat="1" hidden="1" outlineLevel="2" x14ac:dyDescent="0.25">
      <c r="A103" s="25"/>
      <c r="B103" s="11" t="str">
        <f>CONCATENATE("          ", "6241", " - ", "OFFICE EXPENSE")</f>
        <v xml:space="preserve">          6241 - OFFICE EXPENSE</v>
      </c>
      <c r="C103" s="11"/>
      <c r="D103" s="6"/>
      <c r="E103" s="2"/>
      <c r="F103" s="7">
        <f t="shared" si="60"/>
        <v>0</v>
      </c>
      <c r="G103" s="2"/>
      <c r="H103" s="6">
        <v>31.64</v>
      </c>
      <c r="I103" s="2"/>
      <c r="J103" s="7">
        <f t="shared" si="61"/>
        <v>6.0672513778835268E-4</v>
      </c>
      <c r="K103" s="2"/>
      <c r="L103" s="6">
        <f t="shared" si="62"/>
        <v>-31.64</v>
      </c>
      <c r="M103" s="2"/>
      <c r="N103" s="7">
        <f t="shared" si="63"/>
        <v>-1</v>
      </c>
      <c r="O103" s="11"/>
      <c r="P103" s="6">
        <v>225.24</v>
      </c>
      <c r="Q103" s="2"/>
      <c r="R103" s="7">
        <f t="shared" si="64"/>
        <v>1.056873336611624E-2</v>
      </c>
      <c r="S103" s="2"/>
      <c r="T103" s="6">
        <v>1240.97</v>
      </c>
      <c r="U103" s="2"/>
      <c r="V103" s="7">
        <f t="shared" si="65"/>
        <v>3.866035425329629E-3</v>
      </c>
      <c r="W103" s="2"/>
      <c r="X103" s="6">
        <f t="shared" si="66"/>
        <v>-1015.73</v>
      </c>
      <c r="Y103" s="2"/>
      <c r="Z103" s="7">
        <f t="shared" si="67"/>
        <v>-0.81849682103515797</v>
      </c>
    </row>
    <row r="104" spans="1:26" s="24" customFormat="1" hidden="1" outlineLevel="2" x14ac:dyDescent="0.25">
      <c r="A104" s="25"/>
      <c r="B104" s="11" t="str">
        <f>CONCATENATE("          ", "6245", " - ", "PRINTING")</f>
        <v xml:space="preserve">          6245 - PRINTING</v>
      </c>
      <c r="C104" s="11"/>
      <c r="D104" s="6"/>
      <c r="E104" s="2"/>
      <c r="F104" s="7">
        <f t="shared" si="60"/>
        <v>0</v>
      </c>
      <c r="G104" s="2"/>
      <c r="H104" s="6">
        <v>22.05</v>
      </c>
      <c r="I104" s="2"/>
      <c r="J104" s="7">
        <f t="shared" si="61"/>
        <v>4.2282835929940505E-4</v>
      </c>
      <c r="K104" s="2"/>
      <c r="L104" s="6">
        <f t="shared" si="62"/>
        <v>-22.05</v>
      </c>
      <c r="M104" s="2"/>
      <c r="N104" s="7">
        <f t="shared" si="63"/>
        <v>-1</v>
      </c>
      <c r="O104" s="11"/>
      <c r="P104" s="6"/>
      <c r="Q104" s="2"/>
      <c r="R104" s="7">
        <f t="shared" si="64"/>
        <v>0</v>
      </c>
      <c r="S104" s="2"/>
      <c r="T104" s="6">
        <v>22.05</v>
      </c>
      <c r="U104" s="2"/>
      <c r="V104" s="7">
        <f t="shared" si="65"/>
        <v>6.8693103885281943E-5</v>
      </c>
      <c r="W104" s="2"/>
      <c r="X104" s="6">
        <f t="shared" si="66"/>
        <v>-22.05</v>
      </c>
      <c r="Y104" s="2"/>
      <c r="Z104" s="7">
        <f t="shared" si="67"/>
        <v>-1</v>
      </c>
    </row>
    <row r="105" spans="1:26" s="24" customFormat="1" hidden="1" outlineLevel="2" x14ac:dyDescent="0.25">
      <c r="A105" s="25"/>
      <c r="B105" s="11" t="str">
        <f>CONCATENATE("          ", "6247", " - ", "STORE SUPPLIES")</f>
        <v xml:space="preserve">          6247 - STORE SUPPLIES</v>
      </c>
      <c r="C105" s="11"/>
      <c r="D105" s="6"/>
      <c r="E105" s="2"/>
      <c r="F105" s="7">
        <f t="shared" si="60"/>
        <v>0</v>
      </c>
      <c r="G105" s="2"/>
      <c r="H105" s="6">
        <v>-0.2</v>
      </c>
      <c r="I105" s="2"/>
      <c r="J105" s="7">
        <f t="shared" si="61"/>
        <v>-3.8351778621261229E-6</v>
      </c>
      <c r="K105" s="2"/>
      <c r="L105" s="6">
        <f t="shared" si="62"/>
        <v>0.2</v>
      </c>
      <c r="M105" s="2"/>
      <c r="N105" s="7">
        <f t="shared" si="63"/>
        <v>-1</v>
      </c>
      <c r="O105" s="11"/>
      <c r="P105" s="6">
        <v>1222.73</v>
      </c>
      <c r="Q105" s="2"/>
      <c r="R105" s="7">
        <f t="shared" si="64"/>
        <v>5.7373056955919509E-2</v>
      </c>
      <c r="S105" s="2"/>
      <c r="T105" s="6">
        <v>-0.7</v>
      </c>
      <c r="U105" s="2"/>
      <c r="V105" s="7">
        <f t="shared" si="65"/>
        <v>-2.1807334566756167E-6</v>
      </c>
      <c r="W105" s="2"/>
      <c r="X105" s="6">
        <f t="shared" si="66"/>
        <v>1223.43</v>
      </c>
      <c r="Y105" s="2"/>
      <c r="Z105" s="7">
        <f t="shared" si="67"/>
        <v>-1747.757142857143</v>
      </c>
    </row>
    <row r="106" spans="1:26" s="26" customFormat="1" outlineLevel="1" collapsed="1" x14ac:dyDescent="0.25">
      <c r="A106" s="27"/>
      <c r="B106" s="13" t="str">
        <f>CONCATENATE("     ","Telephone/Data Lines                              ")</f>
        <v xml:space="preserve">     Telephone/Data Lines                              </v>
      </c>
      <c r="C106" s="13"/>
      <c r="D106" s="1">
        <f>SUM(OSRRefD22_10x_0)</f>
        <v>53</v>
      </c>
      <c r="E106" s="1"/>
      <c r="F106" s="5">
        <f t="shared" ref="F106:F109" si="68">IF(D$12=0,0,D106/D$12)</f>
        <v>0</v>
      </c>
      <c r="G106" s="1"/>
      <c r="H106" s="1">
        <f>SUM(OSRRefH22_10x_0)</f>
        <v>103</v>
      </c>
      <c r="I106" s="1"/>
      <c r="J106" s="5">
        <f t="shared" ref="J106:J109" si="69">IF(H$12=0,0,H106/H$12)</f>
        <v>1.9751165989949533E-3</v>
      </c>
      <c r="K106" s="1"/>
      <c r="L106" s="1">
        <f t="shared" ref="L106:L109" si="70">+D106-H106</f>
        <v>-50</v>
      </c>
      <c r="M106" s="1"/>
      <c r="N106" s="5">
        <f t="shared" ref="N106:N109" si="71">IF(H106=0,0,L106/H106)</f>
        <v>-0.4854368932038835</v>
      </c>
      <c r="O106" s="13"/>
      <c r="P106" s="1">
        <f>SUM(OSRRefP22_10x_0)</f>
        <v>419.05</v>
      </c>
      <c r="Q106" s="1"/>
      <c r="R106" s="5">
        <f t="shared" ref="R106:R109" si="72">IF(P$12=0,0,P106/P$12)</f>
        <v>1.9662705190334799E-2</v>
      </c>
      <c r="S106" s="1"/>
      <c r="T106" s="1">
        <f>SUM(OSRRefT22_10x_0)</f>
        <v>679.57</v>
      </c>
      <c r="U106" s="1"/>
      <c r="V106" s="5">
        <f t="shared" ref="V106:V109" si="73">IF(T$12=0,0,T106/T$12)</f>
        <v>2.1170871930757847E-3</v>
      </c>
      <c r="W106" s="1"/>
      <c r="X106" s="1">
        <f t="shared" ref="X106:X109" si="74">+P106-T106</f>
        <v>-260.52000000000004</v>
      </c>
      <c r="Y106" s="1"/>
      <c r="Z106" s="5">
        <f t="shared" ref="Z106:Z109" si="75">IF(T106=0,0,X106/T106)</f>
        <v>-0.38336006592404021</v>
      </c>
    </row>
    <row r="107" spans="1:26" s="24" customFormat="1" hidden="1" outlineLevel="2" x14ac:dyDescent="0.25">
      <c r="A107" s="25"/>
      <c r="B107" s="11" t="str">
        <f>CONCATENATE("          ", "6309", " - ", "TELEPHONE")</f>
        <v xml:space="preserve">          6309 - TELEPHONE</v>
      </c>
      <c r="C107" s="11"/>
      <c r="D107" s="6">
        <v>53</v>
      </c>
      <c r="E107" s="2"/>
      <c r="F107" s="7">
        <f t="shared" si="68"/>
        <v>0</v>
      </c>
      <c r="G107" s="2"/>
      <c r="H107" s="6">
        <v>103</v>
      </c>
      <c r="I107" s="2"/>
      <c r="J107" s="7">
        <f t="shared" si="69"/>
        <v>1.9751165989949533E-3</v>
      </c>
      <c r="K107" s="2"/>
      <c r="L107" s="6">
        <f t="shared" si="70"/>
        <v>-50</v>
      </c>
      <c r="M107" s="2"/>
      <c r="N107" s="7">
        <f t="shared" si="71"/>
        <v>-0.4854368932038835</v>
      </c>
      <c r="O107" s="11"/>
      <c r="P107" s="6">
        <v>419.05</v>
      </c>
      <c r="Q107" s="2"/>
      <c r="R107" s="7">
        <f t="shared" si="72"/>
        <v>1.9662705190334799E-2</v>
      </c>
      <c r="S107" s="2"/>
      <c r="T107" s="6">
        <v>679.57</v>
      </c>
      <c r="U107" s="2"/>
      <c r="V107" s="7">
        <f t="shared" si="73"/>
        <v>2.1170871930757847E-3</v>
      </c>
      <c r="W107" s="2"/>
      <c r="X107" s="6">
        <f t="shared" si="74"/>
        <v>-260.52000000000004</v>
      </c>
      <c r="Y107" s="2"/>
      <c r="Z107" s="7">
        <f t="shared" si="75"/>
        <v>-0.38336006592404021</v>
      </c>
    </row>
    <row r="108" spans="1:26" s="26" customFormat="1" outlineLevel="1" collapsed="1" x14ac:dyDescent="0.25">
      <c r="A108" s="27"/>
      <c r="B108" s="13" t="str">
        <f>CONCATENATE("     ","Training                                          ")</f>
        <v xml:space="preserve">     Training                                          </v>
      </c>
      <c r="C108" s="13"/>
      <c r="D108" s="1">
        <f>SUM(OSRRefD22_11x_0)</f>
        <v>0</v>
      </c>
      <c r="E108" s="1"/>
      <c r="F108" s="5">
        <f t="shared" si="68"/>
        <v>0</v>
      </c>
      <c r="G108" s="1"/>
      <c r="H108" s="1">
        <f>SUM(OSRRefH22_11x_0)</f>
        <v>0</v>
      </c>
      <c r="I108" s="1"/>
      <c r="J108" s="5">
        <f t="shared" si="69"/>
        <v>0</v>
      </c>
      <c r="K108" s="1"/>
      <c r="L108" s="1">
        <f t="shared" si="70"/>
        <v>0</v>
      </c>
      <c r="M108" s="1"/>
      <c r="N108" s="5">
        <f t="shared" si="71"/>
        <v>0</v>
      </c>
      <c r="O108" s="13"/>
      <c r="P108" s="1">
        <f>SUM(OSRRefP22_11x_0)</f>
        <v>14</v>
      </c>
      <c r="Q108" s="1"/>
      <c r="R108" s="5">
        <f t="shared" si="72"/>
        <v>6.5690937278293094E-4</v>
      </c>
      <c r="S108" s="1"/>
      <c r="T108" s="1">
        <f>SUM(OSRRefT22_11x_0)</f>
        <v>80</v>
      </c>
      <c r="U108" s="1"/>
      <c r="V108" s="5">
        <f t="shared" si="73"/>
        <v>2.4922668076292765E-4</v>
      </c>
      <c r="W108" s="1"/>
      <c r="X108" s="1">
        <f t="shared" si="74"/>
        <v>-66</v>
      </c>
      <c r="Y108" s="1"/>
      <c r="Z108" s="5">
        <f t="shared" si="75"/>
        <v>-0.82499999999999996</v>
      </c>
    </row>
    <row r="109" spans="1:26" s="24" customFormat="1" hidden="1" outlineLevel="2" x14ac:dyDescent="0.25">
      <c r="A109" s="25"/>
      <c r="B109" s="11" t="str">
        <f>CONCATENATE("          ", "6376", " - ", "TRAINING")</f>
        <v xml:space="preserve">          6376 - TRAINING</v>
      </c>
      <c r="C109" s="11"/>
      <c r="D109" s="6"/>
      <c r="E109" s="2"/>
      <c r="F109" s="7">
        <f t="shared" si="68"/>
        <v>0</v>
      </c>
      <c r="G109" s="2"/>
      <c r="H109" s="6"/>
      <c r="I109" s="2"/>
      <c r="J109" s="7">
        <f t="shared" si="69"/>
        <v>0</v>
      </c>
      <c r="K109" s="2"/>
      <c r="L109" s="6">
        <f t="shared" si="70"/>
        <v>0</v>
      </c>
      <c r="M109" s="2"/>
      <c r="N109" s="7">
        <f t="shared" si="71"/>
        <v>0</v>
      </c>
      <c r="O109" s="11"/>
      <c r="P109" s="6">
        <v>14</v>
      </c>
      <c r="Q109" s="2"/>
      <c r="R109" s="7">
        <f t="shared" si="72"/>
        <v>6.5690937278293094E-4</v>
      </c>
      <c r="S109" s="2"/>
      <c r="T109" s="6">
        <v>80</v>
      </c>
      <c r="U109" s="2"/>
      <c r="V109" s="7">
        <f t="shared" si="73"/>
        <v>2.4922668076292765E-4</v>
      </c>
      <c r="W109" s="2"/>
      <c r="X109" s="6">
        <f t="shared" si="74"/>
        <v>-66</v>
      </c>
      <c r="Y109" s="2"/>
      <c r="Z109" s="7">
        <f t="shared" si="75"/>
        <v>-0.82499999999999996</v>
      </c>
    </row>
    <row r="110" spans="1:26" s="61" customFormat="1" x14ac:dyDescent="0.25">
      <c r="A110" s="37"/>
      <c r="B110" s="37"/>
      <c r="C110" s="37"/>
      <c r="D110" s="1"/>
      <c r="E110" s="1"/>
      <c r="F110" s="5"/>
      <c r="G110" s="1"/>
      <c r="H110" s="1"/>
      <c r="I110" s="1"/>
      <c r="J110" s="5"/>
      <c r="K110" s="1"/>
      <c r="L110" s="1"/>
      <c r="M110" s="1"/>
      <c r="N110" s="5"/>
      <c r="O110" s="37"/>
      <c r="P110" s="1"/>
      <c r="Q110" s="1"/>
      <c r="R110" s="5"/>
      <c r="S110" s="1"/>
      <c r="T110" s="1"/>
      <c r="U110" s="1"/>
      <c r="V110" s="5"/>
      <c r="W110" s="1"/>
      <c r="X110" s="1"/>
      <c r="Y110" s="1"/>
      <c r="Z110" s="5"/>
    </row>
    <row r="111" spans="1:26" s="23" customFormat="1" collapsed="1" x14ac:dyDescent="0.25">
      <c r="A111" s="10"/>
      <c r="B111" s="29" t="s">
        <v>0</v>
      </c>
      <c r="C111" s="10"/>
      <c r="D111" s="4">
        <f>SUM(OSRRefD25x_0)</f>
        <v>0</v>
      </c>
      <c r="E111" s="4"/>
      <c r="F111" s="12">
        <f t="shared" ref="F111:F112" si="76">IF(D$12=0,0,D111/D$12)</f>
        <v>0</v>
      </c>
      <c r="G111" s="4"/>
      <c r="H111" s="4">
        <f>SUM(OSRRefH25x_0)</f>
        <v>0</v>
      </c>
      <c r="I111" s="4"/>
      <c r="J111" s="12">
        <f t="shared" ref="J111:J112" si="77">IF(H$12=0,0,H111/H$12)</f>
        <v>0</v>
      </c>
      <c r="K111" s="4"/>
      <c r="L111" s="4">
        <f t="shared" ref="L111:L112" si="78">+D111-H111</f>
        <v>0</v>
      </c>
      <c r="M111" s="4"/>
      <c r="N111" s="12">
        <f t="shared" ref="N111:N112" si="79">IF(H111=0,0,L111/H111)</f>
        <v>0</v>
      </c>
      <c r="O111" s="10"/>
      <c r="P111" s="4">
        <f>SUM(OSRRefP25x_0)</f>
        <v>0</v>
      </c>
      <c r="Q111" s="4"/>
      <c r="R111" s="12">
        <f t="shared" ref="R111:R112" si="80">IF(P$12=0,0,P111/P$12)</f>
        <v>0</v>
      </c>
      <c r="S111" s="4"/>
      <c r="T111" s="4">
        <f>SUM(OSRRefT25x_0)</f>
        <v>68.760000000000005</v>
      </c>
      <c r="U111" s="4"/>
      <c r="V111" s="12">
        <f t="shared" ref="V111:V112" si="81">IF(T$12=0,0,T111/T$12)</f>
        <v>2.1421033211573633E-4</v>
      </c>
      <c r="W111" s="4"/>
      <c r="X111" s="4">
        <f t="shared" ref="X111:X112" si="82">+P111-T111</f>
        <v>-68.760000000000005</v>
      </c>
      <c r="Y111" s="4"/>
      <c r="Z111" s="12">
        <f t="shared" ref="Z111:Z112" si="83">IF(T111=0,0,X111/T111)</f>
        <v>-1</v>
      </c>
    </row>
    <row r="112" spans="1:26" s="24" customFormat="1" hidden="1" outlineLevel="1" x14ac:dyDescent="0.25">
      <c r="A112" s="44"/>
      <c r="B112" s="11" t="str">
        <f>CONCATENATE("          ", "9150", " - ", "MISC. INCOME")</f>
        <v xml:space="preserve">          9150 - MISC. INCOME</v>
      </c>
      <c r="C112" s="11"/>
      <c r="D112" s="2">
        <f>0</f>
        <v>0</v>
      </c>
      <c r="E112" s="2"/>
      <c r="F112" s="19">
        <f t="shared" si="76"/>
        <v>0</v>
      </c>
      <c r="G112" s="2"/>
      <c r="H112" s="2">
        <f>0</f>
        <v>0</v>
      </c>
      <c r="I112" s="2"/>
      <c r="J112" s="19">
        <f t="shared" si="77"/>
        <v>0</v>
      </c>
      <c r="K112" s="2"/>
      <c r="L112" s="2">
        <f t="shared" si="78"/>
        <v>0</v>
      </c>
      <c r="M112" s="2"/>
      <c r="N112" s="19">
        <f t="shared" si="79"/>
        <v>0</v>
      </c>
      <c r="O112" s="11"/>
      <c r="P112" s="2">
        <f>0</f>
        <v>0</v>
      </c>
      <c r="Q112" s="2"/>
      <c r="R112" s="19">
        <f t="shared" si="80"/>
        <v>0</v>
      </c>
      <c r="S112" s="2"/>
      <c r="T112" s="2">
        <f>--68.76</f>
        <v>68.760000000000005</v>
      </c>
      <c r="U112" s="2"/>
      <c r="V112" s="19">
        <f t="shared" si="81"/>
        <v>2.1421033211573633E-4</v>
      </c>
      <c r="W112" s="2"/>
      <c r="X112" s="2">
        <f t="shared" si="82"/>
        <v>-68.760000000000005</v>
      </c>
      <c r="Y112" s="2"/>
      <c r="Z112" s="19">
        <f t="shared" si="83"/>
        <v>-1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10"/>
      <c r="B114" s="28" t="s">
        <v>3</v>
      </c>
      <c r="C114" s="28"/>
      <c r="D114" s="20">
        <f>+D67-D69+D111</f>
        <v>-71.52</v>
      </c>
      <c r="E114" s="14"/>
      <c r="F114" s="22">
        <f>IF(D$12=0,0,D114/D$12)</f>
        <v>0</v>
      </c>
      <c r="G114" s="14"/>
      <c r="H114" s="20">
        <f>+H67-H69+H111</f>
        <v>11306.649999999998</v>
      </c>
      <c r="I114" s="14"/>
      <c r="J114" s="22">
        <f>IF(H$12=0,0,H114/H$12)</f>
        <v>0.21681506887404159</v>
      </c>
      <c r="K114" s="15"/>
      <c r="L114" s="20">
        <f>+D114-H114</f>
        <v>-11378.169999999998</v>
      </c>
      <c r="M114" s="15"/>
      <c r="N114" s="22">
        <f>IF(H114=0,0,L114/H114)</f>
        <v>-1.0063254810222304</v>
      </c>
      <c r="O114" s="29"/>
      <c r="P114" s="20">
        <f>+P67-P69+P111</f>
        <v>-4899.0899999999929</v>
      </c>
      <c r="Q114" s="14"/>
      <c r="R114" s="22">
        <f>IF(P$12=0,0,P114/P$12)</f>
        <v>-0.22987558136479461</v>
      </c>
      <c r="S114" s="14"/>
      <c r="T114" s="20">
        <f>+T67-T69+T111</f>
        <v>68363.160000000105</v>
      </c>
      <c r="U114" s="14"/>
      <c r="V114" s="22">
        <f>IF(T$12=0,0,T114/T$12)</f>
        <v>0.21297404316581214</v>
      </c>
      <c r="W114" s="15"/>
      <c r="X114" s="20">
        <f>+P114-T114</f>
        <v>-73262.250000000102</v>
      </c>
      <c r="Y114" s="15"/>
      <c r="Z114" s="22">
        <f>IF(T114=0,0,X114/T114)</f>
        <v>-1.0716627200966133</v>
      </c>
    </row>
    <row r="115" spans="1:26" x14ac:dyDescent="0.25">
      <c r="A115" s="9"/>
      <c r="B115" s="10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51"/>
      <c r="B116" s="10" t="s">
        <v>13</v>
      </c>
      <c r="C116" s="10"/>
      <c r="D116" s="4">
        <v>-74.48</v>
      </c>
      <c r="E116" s="4"/>
      <c r="F116" s="12">
        <f>IF(D$12=0,0,D116/D$12)</f>
        <v>0</v>
      </c>
      <c r="G116" s="4"/>
      <c r="H116" s="4">
        <v>4437.79</v>
      </c>
      <c r="I116" s="4"/>
      <c r="J116" s="12">
        <f>IF(H$12=0,0,H116/H$12)</f>
        <v>8.5098569823823439E-2</v>
      </c>
      <c r="K116" s="4"/>
      <c r="L116" s="4">
        <f>+D116-H116</f>
        <v>-4512.2699999999995</v>
      </c>
      <c r="M116" s="4"/>
      <c r="N116" s="12">
        <f>IF(H116=0,0,L116/H116)</f>
        <v>-1.0167831285392053</v>
      </c>
      <c r="O116" s="10"/>
      <c r="P116" s="4">
        <v>3868.68</v>
      </c>
      <c r="Q116" s="4"/>
      <c r="R116" s="12">
        <f>IF(P$12=0,0,P116/P$12)</f>
        <v>0.18152658230699065</v>
      </c>
      <c r="S116" s="4"/>
      <c r="T116" s="4">
        <v>33475.020000000004</v>
      </c>
      <c r="U116" s="4"/>
      <c r="V116" s="12">
        <f>IF(T$12=0,0,T116/T$12)</f>
        <v>0.10428585153840775</v>
      </c>
      <c r="W116" s="4"/>
      <c r="X116" s="4">
        <f>+P116-T116</f>
        <v>-29606.340000000004</v>
      </c>
      <c r="Y116" s="4"/>
      <c r="Z116" s="12">
        <f>IF(T116=0,0,X116/T116)</f>
        <v>-0.88443083827881208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8" t="s">
        <v>4</v>
      </c>
      <c r="C118" s="28"/>
      <c r="D118" s="30">
        <f>+D114-D116</f>
        <v>2.960000000000008</v>
      </c>
      <c r="E118" s="14"/>
      <c r="F118" s="36">
        <f>IF(D$12=0,0,D118/D$12)</f>
        <v>0</v>
      </c>
      <c r="G118" s="14"/>
      <c r="H118" s="30">
        <f>+H114-H116</f>
        <v>6868.8599999999979</v>
      </c>
      <c r="I118" s="14"/>
      <c r="J118" s="36">
        <f>IF(H$12=0,0,H118/H$12)</f>
        <v>0.13171649905021815</v>
      </c>
      <c r="K118" s="15"/>
      <c r="L118" s="30">
        <f>D118-H118</f>
        <v>-6865.8999999999978</v>
      </c>
      <c r="M118" s="15"/>
      <c r="N118" s="36">
        <f>IF(H118=0,0,L118/H118)</f>
        <v>-0.99956906968550818</v>
      </c>
      <c r="O118" s="29"/>
      <c r="P118" s="30">
        <f>+P114-P116</f>
        <v>-8767.7699999999932</v>
      </c>
      <c r="Q118" s="14"/>
      <c r="R118" s="36">
        <f>IF(P$12=0,0,P118/P$12)</f>
        <v>-0.41140216367178528</v>
      </c>
      <c r="S118" s="14"/>
      <c r="T118" s="30">
        <f>+T114-T116</f>
        <v>34888.140000000101</v>
      </c>
      <c r="U118" s="14"/>
      <c r="V118" s="36">
        <f>IF(T$12=0,0,T118/T$12)</f>
        <v>0.1086881916274044</v>
      </c>
      <c r="W118" s="15"/>
      <c r="X118" s="30">
        <f>P118-T118</f>
        <v>-43655.910000000091</v>
      </c>
      <c r="Y118" s="15"/>
      <c r="Z118" s="36">
        <f>IF(T118=0,0,X118/T118)</f>
        <v>-1.2513109039346886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8" t="s">
        <v>5</v>
      </c>
      <c r="C121" s="28"/>
      <c r="D121" s="32">
        <f>SUM(D118:D120)</f>
        <v>2.960000000000008</v>
      </c>
      <c r="E121" s="14"/>
      <c r="F121" s="31">
        <f>IF(D$12=0,0,D121/D$12)</f>
        <v>0</v>
      </c>
      <c r="G121" s="14"/>
      <c r="H121" s="32">
        <f>SUM(H118:H120)</f>
        <v>6868.8599999999979</v>
      </c>
      <c r="I121" s="14"/>
      <c r="J121" s="31">
        <f>IF(H$12=0,0,H121/H$12)</f>
        <v>0.13171649905021815</v>
      </c>
      <c r="K121" s="15"/>
      <c r="L121" s="32">
        <f>+D121-H121</f>
        <v>-6865.8999999999978</v>
      </c>
      <c r="M121" s="15"/>
      <c r="N121" s="31">
        <f>IF(H121=0,0,L121/H121)</f>
        <v>-0.99956906968550818</v>
      </c>
      <c r="O121" s="29"/>
      <c r="P121" s="32">
        <f>SUM(P118:P120)</f>
        <v>-8767.7699999999932</v>
      </c>
      <c r="Q121" s="14"/>
      <c r="R121" s="31">
        <f>IF(P$12=0,0,P121/P$12)</f>
        <v>-0.41140216367178528</v>
      </c>
      <c r="S121" s="14"/>
      <c r="T121" s="32">
        <f>SUM(T118:T120)</f>
        <v>34888.140000000101</v>
      </c>
      <c r="U121" s="14"/>
      <c r="V121" s="31">
        <f>IF(T$12=0,0,T121/T$12)</f>
        <v>0.1086881916274044</v>
      </c>
      <c r="W121" s="15"/>
      <c r="X121" s="32">
        <f>+P121-T121</f>
        <v>-43655.910000000091</v>
      </c>
      <c r="Y121" s="15"/>
      <c r="Z121" s="31">
        <f>IF(T121=0,0,X121/T121)</f>
        <v>-1.2513109039346886</v>
      </c>
    </row>
    <row r="122" spans="1:26" ht="15.75" thickTop="1" x14ac:dyDescent="0.25">
      <c r="A122" s="9"/>
      <c r="C122" s="9"/>
      <c r="D122" s="18"/>
      <c r="E122" s="18"/>
      <c r="G122" s="18"/>
      <c r="H122" s="18"/>
      <c r="I122" s="18"/>
      <c r="J122" s="42"/>
      <c r="K122" s="18"/>
      <c r="L122" s="18"/>
      <c r="M122" s="18"/>
      <c r="P122" s="18"/>
      <c r="Q122" s="18"/>
      <c r="R122" s="42"/>
      <c r="S122" s="18"/>
      <c r="T122" s="18"/>
      <c r="U122" s="18"/>
      <c r="V122" s="42"/>
      <c r="W122" s="18"/>
      <c r="X122" s="18"/>
    </row>
    <row r="123" spans="1:26" x14ac:dyDescent="0.25">
      <c r="A123" s="9"/>
      <c r="B123" s="62">
        <v>44238.496175925924</v>
      </c>
      <c r="D123" s="18"/>
      <c r="E123" s="18"/>
      <c r="G123" s="18"/>
      <c r="H123" s="18"/>
      <c r="I123" s="18"/>
      <c r="J123" s="42"/>
      <c r="K123" s="18"/>
      <c r="L123" s="18"/>
      <c r="M123" s="18"/>
      <c r="P123" s="18"/>
      <c r="Q123" s="18"/>
      <c r="R123" s="42"/>
      <c r="S123" s="18"/>
      <c r="T123" s="18"/>
      <c r="U123" s="18"/>
      <c r="V123" s="42"/>
      <c r="W123" s="18"/>
      <c r="X123" s="18"/>
    </row>
    <row r="124" spans="1:26" x14ac:dyDescent="0.25">
      <c r="A124" s="9"/>
      <c r="B124" s="59" t="s">
        <v>313</v>
      </c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  <row r="125" spans="1:26" x14ac:dyDescent="0.25">
      <c r="A125" s="9"/>
      <c r="B125" s="56"/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","314", " - ", "Tech/Supplies")</f>
        <v>Department 314 - Tech/Supplies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85758.699999999983</v>
      </c>
      <c r="I12" s="4"/>
      <c r="J12" s="12"/>
      <c r="K12" s="4"/>
      <c r="L12" s="4">
        <f t="shared" ref="L12:L32" si="0">+D12-H12</f>
        <v>-85758.699999999983</v>
      </c>
      <c r="M12" s="4"/>
      <c r="N12" s="12">
        <f t="shared" ref="N12:N32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332891.91000000009</v>
      </c>
      <c r="U12" s="4"/>
      <c r="V12" s="12"/>
      <c r="W12" s="4"/>
      <c r="X12" s="4">
        <f t="shared" ref="X12:X32" si="2">+P12-T12</f>
        <v>-332891.91000000009</v>
      </c>
      <c r="Y12" s="4"/>
      <c r="Z12" s="12">
        <f t="shared" ref="Z12:Z32" si="3">IF(T12=0,0,X12/T12)</f>
        <v>-1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 t="shared" ref="D13:D32" si="4">0</f>
        <v>0</v>
      </c>
      <c r="E13" s="2"/>
      <c r="F13" s="19"/>
      <c r="G13" s="2"/>
      <c r="H13" s="2">
        <f>--2</f>
        <v>2</v>
      </c>
      <c r="I13" s="2"/>
      <c r="J13" s="19"/>
      <c r="K13" s="2"/>
      <c r="L13" s="2">
        <f t="shared" si="0"/>
        <v>-2</v>
      </c>
      <c r="M13" s="2"/>
      <c r="N13" s="19">
        <f t="shared" si="1"/>
        <v>-1</v>
      </c>
      <c r="O13" s="11"/>
      <c r="P13" s="2">
        <f t="shared" ref="P13:P32" si="5">0</f>
        <v>0</v>
      </c>
      <c r="Q13" s="2"/>
      <c r="R13" s="19"/>
      <c r="S13" s="2"/>
      <c r="T13" s="2">
        <f>--211.2</f>
        <v>211.2</v>
      </c>
      <c r="U13" s="2"/>
      <c r="V13" s="19"/>
      <c r="W13" s="2"/>
      <c r="X13" s="2">
        <f t="shared" si="2"/>
        <v>-211.2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f>--33.88</f>
        <v>33.880000000000003</v>
      </c>
      <c r="U14" s="2"/>
      <c r="V14" s="19"/>
      <c r="W14" s="2"/>
      <c r="X14" s="2">
        <f t="shared" si="2"/>
        <v>-33.880000000000003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 t="shared" si="4"/>
        <v>0</v>
      </c>
      <c r="E15" s="2"/>
      <c r="F15" s="19"/>
      <c r="G15" s="2"/>
      <c r="H15" s="2">
        <f>--5218.03</f>
        <v>5218.03</v>
      </c>
      <c r="I15" s="2"/>
      <c r="J15" s="19"/>
      <c r="K15" s="2"/>
      <c r="L15" s="2">
        <f t="shared" si="0"/>
        <v>-5218.03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--38746.12</f>
        <v>38746.120000000003</v>
      </c>
      <c r="U15" s="2"/>
      <c r="V15" s="19"/>
      <c r="W15" s="2"/>
      <c r="X15" s="2">
        <f t="shared" si="2"/>
        <v>-38746.120000000003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 t="shared" si="4"/>
        <v>0</v>
      </c>
      <c r="E16" s="2"/>
      <c r="F16" s="19"/>
      <c r="G16" s="2"/>
      <c r="H16" s="2">
        <f>--12667.75</f>
        <v>12667.75</v>
      </c>
      <c r="I16" s="2"/>
      <c r="J16" s="19"/>
      <c r="K16" s="2"/>
      <c r="L16" s="2">
        <f t="shared" si="0"/>
        <v>-12667.75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--58488.73</f>
        <v>58488.73</v>
      </c>
      <c r="U16" s="2"/>
      <c r="V16" s="19"/>
      <c r="W16" s="2"/>
      <c r="X16" s="2">
        <f t="shared" si="2"/>
        <v>-58488.73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 t="shared" si="4"/>
        <v>0</v>
      </c>
      <c r="E17" s="2"/>
      <c r="F17" s="19"/>
      <c r="G17" s="2"/>
      <c r="H17" s="2">
        <f>--63846.18</f>
        <v>63846.18</v>
      </c>
      <c r="I17" s="2"/>
      <c r="J17" s="19"/>
      <c r="K17" s="2"/>
      <c r="L17" s="2">
        <f t="shared" si="0"/>
        <v>-63846.18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--223339.82</f>
        <v>223339.82</v>
      </c>
      <c r="U17" s="2"/>
      <c r="V17" s="19"/>
      <c r="W17" s="2"/>
      <c r="X17" s="2">
        <f t="shared" si="2"/>
        <v>-223339.82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 t="shared" si="4"/>
        <v>0</v>
      </c>
      <c r="E18" s="2"/>
      <c r="F18" s="19"/>
      <c r="G18" s="2"/>
      <c r="H18" s="2">
        <f>--2013.95</f>
        <v>2013.95</v>
      </c>
      <c r="I18" s="2"/>
      <c r="J18" s="19"/>
      <c r="K18" s="2"/>
      <c r="L18" s="2">
        <f t="shared" si="0"/>
        <v>-2013.95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--9700.46</f>
        <v>9700.4599999999991</v>
      </c>
      <c r="U18" s="2"/>
      <c r="V18" s="19"/>
      <c r="W18" s="2"/>
      <c r="X18" s="2">
        <f t="shared" si="2"/>
        <v>-9700.4599999999991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 t="shared" si="4"/>
        <v>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5"/>
        <v>0</v>
      </c>
      <c r="Q19" s="2"/>
      <c r="R19" s="19"/>
      <c r="S19" s="2"/>
      <c r="T19" s="2">
        <f>--16.2</f>
        <v>16.2</v>
      </c>
      <c r="U19" s="2"/>
      <c r="V19" s="19"/>
      <c r="W19" s="2"/>
      <c r="X19" s="2">
        <f t="shared" si="2"/>
        <v>-16.2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"4125", " - ", "NON-TAXABLE SALES-TEST FORMS")</f>
        <v xml:space="preserve">          4125 - NON-TAXABLE SALES-TEST FORMS</v>
      </c>
      <c r="C20" s="11"/>
      <c r="D20" s="2">
        <f t="shared" si="4"/>
        <v>0</v>
      </c>
      <c r="E20" s="2"/>
      <c r="F20" s="19"/>
      <c r="G20" s="2"/>
      <c r="H20" s="2">
        <f>--98.5</f>
        <v>98.5</v>
      </c>
      <c r="I20" s="2"/>
      <c r="J20" s="19"/>
      <c r="K20" s="2"/>
      <c r="L20" s="2">
        <f t="shared" si="0"/>
        <v>-98.5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--222.68</f>
        <v>222.68</v>
      </c>
      <c r="U20" s="2"/>
      <c r="V20" s="19"/>
      <c r="W20" s="2"/>
      <c r="X20" s="2">
        <f t="shared" si="2"/>
        <v>-222.68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 t="shared" si="4"/>
        <v>0</v>
      </c>
      <c r="E21" s="2"/>
      <c r="F21" s="19"/>
      <c r="G21" s="2"/>
      <c r="H21" s="2">
        <f>--1047.53</f>
        <v>1047.53</v>
      </c>
      <c r="I21" s="2"/>
      <c r="J21" s="19"/>
      <c r="K21" s="2"/>
      <c r="L21" s="2">
        <f t="shared" si="0"/>
        <v>-1047.53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--2556.64</f>
        <v>2556.64</v>
      </c>
      <c r="U21" s="2"/>
      <c r="V21" s="19"/>
      <c r="W21" s="2"/>
      <c r="X21" s="2">
        <f t="shared" si="2"/>
        <v>-2556.64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 t="shared" si="4"/>
        <v>0</v>
      </c>
      <c r="E22" s="2"/>
      <c r="F22" s="19"/>
      <c r="G22" s="2"/>
      <c r="H22" s="2">
        <f>--1529.21</f>
        <v>1529.21</v>
      </c>
      <c r="I22" s="2"/>
      <c r="J22" s="19"/>
      <c r="K22" s="2"/>
      <c r="L22" s="2">
        <f t="shared" si="0"/>
        <v>-1529.21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--4120.44</f>
        <v>4120.4399999999996</v>
      </c>
      <c r="U22" s="2"/>
      <c r="V22" s="19"/>
      <c r="W22" s="2"/>
      <c r="X22" s="2">
        <f t="shared" si="2"/>
        <v>-4120.4399999999996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"4128", " - ", "NON-TAXABLE SALES-ART/TECH")</f>
        <v xml:space="preserve">          4128 - NON-TAXABLE SALES-ART/TECH</v>
      </c>
      <c r="C23" s="11"/>
      <c r="D23" s="2">
        <f t="shared" si="4"/>
        <v>0</v>
      </c>
      <c r="E23" s="2"/>
      <c r="F23" s="19"/>
      <c r="G23" s="2"/>
      <c r="H23" s="2">
        <f>--101.33</f>
        <v>101.33</v>
      </c>
      <c r="I23" s="2"/>
      <c r="J23" s="19"/>
      <c r="K23" s="2"/>
      <c r="L23" s="2">
        <f t="shared" si="0"/>
        <v>-101.33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--354.65</f>
        <v>354.65</v>
      </c>
      <c r="U23" s="2"/>
      <c r="V23" s="19"/>
      <c r="W23" s="2"/>
      <c r="X23" s="2">
        <f t="shared" si="2"/>
        <v>-354.65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 t="shared" si="4"/>
        <v>0</v>
      </c>
      <c r="E24" s="2"/>
      <c r="F24" s="19"/>
      <c r="G24" s="2"/>
      <c r="H24" s="2">
        <f>--150.18</f>
        <v>150.18</v>
      </c>
      <c r="I24" s="2"/>
      <c r="J24" s="19"/>
      <c r="K24" s="2"/>
      <c r="L24" s="2">
        <f t="shared" si="0"/>
        <v>-150.18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--1104.67</f>
        <v>1104.67</v>
      </c>
      <c r="U24" s="2"/>
      <c r="V24" s="19"/>
      <c r="W24" s="2"/>
      <c r="X24" s="2">
        <f t="shared" si="2"/>
        <v>-1104.67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"4133", " - ", "NON-TAXABLE SALES-CANDY")</f>
        <v xml:space="preserve">          4133 - NON-TAXABLE SALES-CANDY</v>
      </c>
      <c r="C25" s="11"/>
      <c r="D25" s="2">
        <f t="shared" si="4"/>
        <v>0</v>
      </c>
      <c r="E25" s="2"/>
      <c r="F25" s="19"/>
      <c r="G25" s="2"/>
      <c r="H25" s="2">
        <f>--197.03</f>
        <v>197.03</v>
      </c>
      <c r="I25" s="2"/>
      <c r="J25" s="19"/>
      <c r="K25" s="2"/>
      <c r="L25" s="2">
        <f t="shared" si="0"/>
        <v>-197.03</v>
      </c>
      <c r="M25" s="2"/>
      <c r="N25" s="19">
        <f t="shared" si="1"/>
        <v>-1</v>
      </c>
      <c r="O25" s="11"/>
      <c r="P25" s="2">
        <f t="shared" si="5"/>
        <v>0</v>
      </c>
      <c r="Q25" s="2"/>
      <c r="R25" s="19"/>
      <c r="S25" s="2"/>
      <c r="T25" s="2">
        <f>--1711.82</f>
        <v>1711.82</v>
      </c>
      <c r="U25" s="2"/>
      <c r="V25" s="19"/>
      <c r="W25" s="2"/>
      <c r="X25" s="2">
        <f t="shared" si="2"/>
        <v>-1711.82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"4135", " - ", "NON-TAXABLE SALES")</f>
        <v xml:space="preserve">          4135 - NON-TAXABLE SALES</v>
      </c>
      <c r="C26" s="11"/>
      <c r="D26" s="2">
        <f t="shared" si="4"/>
        <v>0</v>
      </c>
      <c r="E26" s="2"/>
      <c r="F26" s="19"/>
      <c r="G26" s="2"/>
      <c r="H26" s="2">
        <f t="shared" ref="H26:H27" si="6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--50.16</f>
        <v>50.16</v>
      </c>
      <c r="U26" s="2"/>
      <c r="V26" s="19"/>
      <c r="W26" s="2"/>
      <c r="X26" s="2">
        <f t="shared" si="2"/>
        <v>-50.16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"4217", " - ", "NON-TAXABLE SALES-DORM/HOUSEWA")</f>
        <v xml:space="preserve">          4217 - NON-TAXABLE SALES-DORM/HOUSEWA</v>
      </c>
      <c r="C27" s="11"/>
      <c r="D27" s="2">
        <f t="shared" si="4"/>
        <v>0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5"/>
        <v>0</v>
      </c>
      <c r="Q27" s="2"/>
      <c r="R27" s="19"/>
      <c r="S27" s="2"/>
      <c r="T27" s="2">
        <f>-2.98</f>
        <v>-2.98</v>
      </c>
      <c r="U27" s="2"/>
      <c r="V27" s="19"/>
      <c r="W27" s="2"/>
      <c r="X27" s="2">
        <f t="shared" si="2"/>
        <v>2.98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"4225", " - ", "SALES RETURN TAXABLE-TEST FORM")</f>
        <v xml:space="preserve">          4225 - SALES RETURN TAXABLE-TEST FORM</v>
      </c>
      <c r="C28" s="11"/>
      <c r="D28" s="2">
        <f t="shared" si="4"/>
        <v>0</v>
      </c>
      <c r="E28" s="2"/>
      <c r="F28" s="19"/>
      <c r="G28" s="2"/>
      <c r="H28" s="2">
        <f>-14.74</f>
        <v>-14.74</v>
      </c>
      <c r="I28" s="2"/>
      <c r="J28" s="19"/>
      <c r="K28" s="2"/>
      <c r="L28" s="2">
        <f t="shared" si="0"/>
        <v>14.74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-94.32</f>
        <v>-94.32</v>
      </c>
      <c r="U28" s="2"/>
      <c r="V28" s="19"/>
      <c r="W28" s="2"/>
      <c r="X28" s="2">
        <f t="shared" si="2"/>
        <v>94.32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 t="shared" si="4"/>
        <v>0</v>
      </c>
      <c r="E29" s="2"/>
      <c r="F29" s="19"/>
      <c r="G29" s="2"/>
      <c r="H29" s="2">
        <f>-147.56</f>
        <v>-147.56</v>
      </c>
      <c r="I29" s="2"/>
      <c r="J29" s="19"/>
      <c r="K29" s="2"/>
      <c r="L29" s="2">
        <f t="shared" si="0"/>
        <v>147.56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-537.35</f>
        <v>-537.35</v>
      </c>
      <c r="U29" s="2"/>
      <c r="V29" s="19"/>
      <c r="W29" s="2"/>
      <c r="X29" s="2">
        <f t="shared" si="2"/>
        <v>537.35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 t="shared" si="4"/>
        <v>0</v>
      </c>
      <c r="E30" s="2"/>
      <c r="F30" s="19"/>
      <c r="G30" s="2"/>
      <c r="H30" s="2">
        <f>-948.2</f>
        <v>-948.2</v>
      </c>
      <c r="I30" s="2"/>
      <c r="J30" s="19"/>
      <c r="K30" s="2"/>
      <c r="L30" s="2">
        <f t="shared" si="0"/>
        <v>948.2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-6868.8</f>
        <v>-6868.8</v>
      </c>
      <c r="U30" s="2"/>
      <c r="V30" s="19"/>
      <c r="W30" s="2"/>
      <c r="X30" s="2">
        <f t="shared" si="2"/>
        <v>6868.8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"4228", " - ", "SALES RETURN TAXABLE-ART/TECH")</f>
        <v xml:space="preserve">          4228 - SALES RETURN TAXABLE-ART/TECH</v>
      </c>
      <c r="C31" s="11"/>
      <c r="D31" s="2">
        <f t="shared" si="4"/>
        <v>0</v>
      </c>
      <c r="E31" s="2"/>
      <c r="F31" s="19"/>
      <c r="G31" s="2"/>
      <c r="H31" s="2">
        <f>-2.49</f>
        <v>-2.4900000000000002</v>
      </c>
      <c r="I31" s="2"/>
      <c r="J31" s="19"/>
      <c r="K31" s="2"/>
      <c r="L31" s="2">
        <f t="shared" si="0"/>
        <v>2.4900000000000002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-240.24</f>
        <v>-240.24</v>
      </c>
      <c r="U31" s="2"/>
      <c r="V31" s="19"/>
      <c r="W31" s="2"/>
      <c r="X31" s="2">
        <f t="shared" si="2"/>
        <v>240.24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"4327", " - ", "SALES RETURN NON TAXABLE-SCHOO")</f>
        <v xml:space="preserve">          4327 - SALES RETURN NON TAXABLE-SCHOO</v>
      </c>
      <c r="C32" s="11"/>
      <c r="D32" s="2">
        <f t="shared" si="4"/>
        <v>0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5"/>
        <v>0</v>
      </c>
      <c r="Q32" s="2"/>
      <c r="R32" s="19"/>
      <c r="S32" s="2"/>
      <c r="T32" s="2">
        <f>-21.87</f>
        <v>-21.87</v>
      </c>
      <c r="U32" s="2"/>
      <c r="V32" s="19"/>
      <c r="W32" s="2"/>
      <c r="X32" s="2">
        <f t="shared" si="2"/>
        <v>21.87</v>
      </c>
      <c r="Y32" s="2"/>
      <c r="Z32" s="19">
        <f t="shared" si="3"/>
        <v>-1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9" t="s">
        <v>8</v>
      </c>
      <c r="C34" s="10"/>
      <c r="D34" s="4">
        <f>SUM(OSRRefD16x_0)</f>
        <v>0</v>
      </c>
      <c r="E34" s="4"/>
      <c r="F34" s="12">
        <f t="shared" ref="F34:F49" si="7">IF(D$12=0,0,D34/D$12)</f>
        <v>0</v>
      </c>
      <c r="G34" s="4"/>
      <c r="H34" s="4">
        <f>SUM(OSRRefH16x_0)</f>
        <v>42576.62</v>
      </c>
      <c r="I34" s="4"/>
      <c r="J34" s="12">
        <f t="shared" ref="J34:J49" si="8">IF(H$12=0,0,H34/H$12)</f>
        <v>0.49646997913914287</v>
      </c>
      <c r="K34" s="4"/>
      <c r="L34" s="4">
        <f t="shared" ref="L34:L49" si="9">+D34-H34</f>
        <v>-42576.62</v>
      </c>
      <c r="M34" s="4"/>
      <c r="N34" s="12">
        <f t="shared" ref="N34:N49" si="10">IF(H34=0,0,L34/H34)</f>
        <v>-1</v>
      </c>
      <c r="O34" s="10"/>
      <c r="P34" s="4">
        <f>SUM(OSRRefP16x_0)</f>
        <v>0</v>
      </c>
      <c r="Q34" s="4"/>
      <c r="R34" s="12">
        <f t="shared" ref="R34:R49" si="11">IF(P$12=0,0,P34/P$12)</f>
        <v>0</v>
      </c>
      <c r="S34" s="4"/>
      <c r="T34" s="4">
        <f>SUM(OSRRefT16x_0)</f>
        <v>157982.32000000004</v>
      </c>
      <c r="U34" s="4"/>
      <c r="V34" s="12">
        <f t="shared" ref="V34:V49" si="12">IF(T$12=0,0,T34/T$12)</f>
        <v>0.47457542599938818</v>
      </c>
      <c r="W34" s="4"/>
      <c r="X34" s="4">
        <f t="shared" ref="X34:X49" si="13">+P34-T34</f>
        <v>-157982.32000000004</v>
      </c>
      <c r="Y34" s="4"/>
      <c r="Z34" s="12">
        <f t="shared" ref="Z34:Z49" si="14">IF(T34=0,0,X34/T34)</f>
        <v>-1</v>
      </c>
    </row>
    <row r="35" spans="1:26" s="24" customFormat="1" hidden="1" outlineLevel="1" x14ac:dyDescent="0.25">
      <c r="A35" s="44"/>
      <c r="B35" s="11" t="str">
        <f>CONCATENATE("          ", "5017", " - ", "PURCHASES @ COST-DORM/HOUSEWAR")</f>
        <v xml:space="preserve">          5017 - PURCHASES @ COST-DORM/HOUSEWAR</v>
      </c>
      <c r="C35" s="11"/>
      <c r="D35" s="2"/>
      <c r="E35" s="2"/>
      <c r="F35" s="19">
        <f t="shared" si="7"/>
        <v>0</v>
      </c>
      <c r="G35" s="2"/>
      <c r="H35" s="2"/>
      <c r="I35" s="2"/>
      <c r="J35" s="19">
        <f t="shared" si="8"/>
        <v>0</v>
      </c>
      <c r="K35" s="2"/>
      <c r="L35" s="2">
        <f t="shared" si="9"/>
        <v>0</v>
      </c>
      <c r="M35" s="2"/>
      <c r="N35" s="19">
        <f t="shared" si="10"/>
        <v>0</v>
      </c>
      <c r="O35" s="11"/>
      <c r="P35" s="2"/>
      <c r="Q35" s="2"/>
      <c r="R35" s="19">
        <f t="shared" si="11"/>
        <v>0</v>
      </c>
      <c r="S35" s="2"/>
      <c r="T35" s="2">
        <v>0</v>
      </c>
      <c r="U35" s="2"/>
      <c r="V35" s="19">
        <f t="shared" si="12"/>
        <v>0</v>
      </c>
      <c r="W35" s="2"/>
      <c r="X35" s="2">
        <f t="shared" si="13"/>
        <v>0</v>
      </c>
      <c r="Y35" s="2"/>
      <c r="Z35" s="19">
        <f t="shared" si="14"/>
        <v>0</v>
      </c>
    </row>
    <row r="36" spans="1:26" s="24" customFormat="1" hidden="1" outlineLevel="1" x14ac:dyDescent="0.25">
      <c r="A36" s="44"/>
      <c r="B36" s="11" t="str">
        <f>CONCATENATE("          ", "5025", " - ", "PURCHASES @ COST-TEST FORMS")</f>
        <v xml:space="preserve">          5025 - PURCHASES @ COST-TEST FORMS</v>
      </c>
      <c r="C36" s="11"/>
      <c r="D36" s="2"/>
      <c r="E36" s="2"/>
      <c r="F36" s="19">
        <f t="shared" si="7"/>
        <v>0</v>
      </c>
      <c r="G36" s="2"/>
      <c r="H36" s="2">
        <v>840.94</v>
      </c>
      <c r="I36" s="2"/>
      <c r="J36" s="19">
        <f t="shared" si="8"/>
        <v>9.8058855836200901E-3</v>
      </c>
      <c r="K36" s="2"/>
      <c r="L36" s="2">
        <f t="shared" si="9"/>
        <v>-840.94</v>
      </c>
      <c r="M36" s="2"/>
      <c r="N36" s="19">
        <f t="shared" si="10"/>
        <v>-1</v>
      </c>
      <c r="O36" s="11"/>
      <c r="P36" s="2"/>
      <c r="Q36" s="2"/>
      <c r="R36" s="19">
        <f t="shared" si="11"/>
        <v>0</v>
      </c>
      <c r="S36" s="2"/>
      <c r="T36" s="2">
        <v>22466.969999999998</v>
      </c>
      <c r="U36" s="2"/>
      <c r="V36" s="19">
        <f t="shared" si="12"/>
        <v>6.7490285360193913E-2</v>
      </c>
      <c r="W36" s="2"/>
      <c r="X36" s="2">
        <f t="shared" si="13"/>
        <v>-22466.969999999998</v>
      </c>
      <c r="Y36" s="2"/>
      <c r="Z36" s="19">
        <f t="shared" si="14"/>
        <v>-1</v>
      </c>
    </row>
    <row r="37" spans="1:26" s="24" customFormat="1" hidden="1" outlineLevel="1" x14ac:dyDescent="0.25">
      <c r="A37" s="44"/>
      <c r="B37" s="11" t="str">
        <f>CONCATENATE("          ", "5026", " - ", "PURCHASES @ COST-WRITING INSTR")</f>
        <v xml:space="preserve">          5026 - PURCHASES @ COST-WRITING INSTR</v>
      </c>
      <c r="C37" s="11"/>
      <c r="D37" s="2"/>
      <c r="E37" s="2"/>
      <c r="F37" s="19">
        <f t="shared" si="7"/>
        <v>0</v>
      </c>
      <c r="G37" s="2"/>
      <c r="H37" s="2">
        <v>6662.4</v>
      </c>
      <c r="I37" s="2"/>
      <c r="J37" s="19">
        <f t="shared" si="8"/>
        <v>7.7687744800236019E-2</v>
      </c>
      <c r="K37" s="2"/>
      <c r="L37" s="2">
        <f t="shared" si="9"/>
        <v>-6662.4</v>
      </c>
      <c r="M37" s="2"/>
      <c r="N37" s="19">
        <f t="shared" si="10"/>
        <v>-1</v>
      </c>
      <c r="O37" s="11"/>
      <c r="P37" s="2"/>
      <c r="Q37" s="2"/>
      <c r="R37" s="19">
        <f t="shared" si="11"/>
        <v>0</v>
      </c>
      <c r="S37" s="2"/>
      <c r="T37" s="2">
        <v>38390.22</v>
      </c>
      <c r="U37" s="2"/>
      <c r="V37" s="19">
        <f t="shared" si="12"/>
        <v>0.11532337929149432</v>
      </c>
      <c r="W37" s="2"/>
      <c r="X37" s="2">
        <f t="shared" si="13"/>
        <v>-38390.22</v>
      </c>
      <c r="Y37" s="2"/>
      <c r="Z37" s="19">
        <f t="shared" si="14"/>
        <v>-1</v>
      </c>
    </row>
    <row r="38" spans="1:26" s="24" customFormat="1" hidden="1" outlineLevel="1" x14ac:dyDescent="0.25">
      <c r="A38" s="44"/>
      <c r="B38" s="11" t="str">
        <f>CONCATENATE("          ", "5027", " - ", "PURCHASES @ COST-SCHOOL SUPPLI")</f>
        <v xml:space="preserve">          5027 - PURCHASES @ COST-SCHOOL SUPPLI</v>
      </c>
      <c r="C38" s="11"/>
      <c r="D38" s="2"/>
      <c r="E38" s="2"/>
      <c r="F38" s="19">
        <f t="shared" si="7"/>
        <v>0</v>
      </c>
      <c r="G38" s="2"/>
      <c r="H38" s="2">
        <v>41449.379999999997</v>
      </c>
      <c r="I38" s="2"/>
      <c r="J38" s="19">
        <f t="shared" si="8"/>
        <v>0.48332565675552458</v>
      </c>
      <c r="K38" s="2"/>
      <c r="L38" s="2">
        <f t="shared" si="9"/>
        <v>-41449.379999999997</v>
      </c>
      <c r="M38" s="2"/>
      <c r="N38" s="19">
        <f t="shared" si="10"/>
        <v>-1</v>
      </c>
      <c r="O38" s="11"/>
      <c r="P38" s="2"/>
      <c r="Q38" s="2"/>
      <c r="R38" s="19">
        <f t="shared" si="11"/>
        <v>0</v>
      </c>
      <c r="S38" s="2"/>
      <c r="T38" s="2">
        <v>117456.15000000001</v>
      </c>
      <c r="U38" s="2"/>
      <c r="V38" s="19">
        <f t="shared" si="12"/>
        <v>0.35283569973208412</v>
      </c>
      <c r="W38" s="2"/>
      <c r="X38" s="2">
        <f t="shared" si="13"/>
        <v>-117456.15000000001</v>
      </c>
      <c r="Y38" s="2"/>
      <c r="Z38" s="19">
        <f t="shared" si="14"/>
        <v>-1</v>
      </c>
    </row>
    <row r="39" spans="1:26" s="24" customFormat="1" hidden="1" outlineLevel="1" x14ac:dyDescent="0.25">
      <c r="A39" s="44"/>
      <c r="B39" s="11" t="str">
        <f>CONCATENATE("          ", "5028", " - ", "PURCHASES @ COST-ART/TECH")</f>
        <v xml:space="preserve">          5028 - PURCHASES @ COST-ART/TECH</v>
      </c>
      <c r="C39" s="11"/>
      <c r="D39" s="2"/>
      <c r="E39" s="2"/>
      <c r="F39" s="19">
        <f t="shared" si="7"/>
        <v>0</v>
      </c>
      <c r="G39" s="2"/>
      <c r="H39" s="2">
        <v>1487.45</v>
      </c>
      <c r="I39" s="2"/>
      <c r="J39" s="19">
        <f t="shared" si="8"/>
        <v>1.7344595941869458E-2</v>
      </c>
      <c r="K39" s="2"/>
      <c r="L39" s="2">
        <f t="shared" si="9"/>
        <v>-1487.45</v>
      </c>
      <c r="M39" s="2"/>
      <c r="N39" s="19">
        <f t="shared" si="10"/>
        <v>-1</v>
      </c>
      <c r="O39" s="11"/>
      <c r="P39" s="2"/>
      <c r="Q39" s="2"/>
      <c r="R39" s="19">
        <f t="shared" si="11"/>
        <v>0</v>
      </c>
      <c r="S39" s="2"/>
      <c r="T39" s="2">
        <v>4997.4399999999996</v>
      </c>
      <c r="U39" s="2"/>
      <c r="V39" s="19">
        <f t="shared" si="12"/>
        <v>1.5012200206367281E-2</v>
      </c>
      <c r="W39" s="2"/>
      <c r="X39" s="2">
        <f t="shared" si="13"/>
        <v>-4997.4399999999996</v>
      </c>
      <c r="Y39" s="2"/>
      <c r="Z39" s="19">
        <f t="shared" si="14"/>
        <v>-1</v>
      </c>
    </row>
    <row r="40" spans="1:26" s="24" customFormat="1" hidden="1" outlineLevel="1" x14ac:dyDescent="0.25">
      <c r="A40" s="44"/>
      <c r="B40" s="11" t="str">
        <f>CONCATENATE("          ", "5031", " - ", "PURCHASES @ COST-FOOD")</f>
        <v xml:space="preserve">          5031 - PURCHASES @ COST-FOOD</v>
      </c>
      <c r="C40" s="11"/>
      <c r="D40" s="2"/>
      <c r="E40" s="2"/>
      <c r="F40" s="19">
        <f t="shared" si="7"/>
        <v>0</v>
      </c>
      <c r="G40" s="2"/>
      <c r="H40" s="2">
        <v>124.92</v>
      </c>
      <c r="I40" s="2"/>
      <c r="J40" s="19">
        <f t="shared" si="8"/>
        <v>1.4566452150044256E-3</v>
      </c>
      <c r="K40" s="2"/>
      <c r="L40" s="2">
        <f t="shared" si="9"/>
        <v>-124.92</v>
      </c>
      <c r="M40" s="2"/>
      <c r="N40" s="19">
        <f t="shared" si="10"/>
        <v>-1</v>
      </c>
      <c r="O40" s="11"/>
      <c r="P40" s="2"/>
      <c r="Q40" s="2"/>
      <c r="R40" s="19">
        <f t="shared" si="11"/>
        <v>0</v>
      </c>
      <c r="S40" s="2"/>
      <c r="T40" s="2">
        <v>393.09</v>
      </c>
      <c r="U40" s="2"/>
      <c r="V40" s="19">
        <f t="shared" si="12"/>
        <v>1.1808337427004455E-3</v>
      </c>
      <c r="W40" s="2"/>
      <c r="X40" s="2">
        <f t="shared" si="13"/>
        <v>-393.09</v>
      </c>
      <c r="Y40" s="2"/>
      <c r="Z40" s="19">
        <f t="shared" si="14"/>
        <v>-1</v>
      </c>
    </row>
    <row r="41" spans="1:26" s="24" customFormat="1" hidden="1" outlineLevel="1" x14ac:dyDescent="0.25">
      <c r="A41" s="44"/>
      <c r="B41" s="11" t="str">
        <f>CONCATENATE("          ", "5033", " - ", "PURCHASES @ COST-CANDY")</f>
        <v xml:space="preserve">          5033 - PURCHASES @ COST-CANDY</v>
      </c>
      <c r="C41" s="11"/>
      <c r="D41" s="2"/>
      <c r="E41" s="2"/>
      <c r="F41" s="19">
        <f t="shared" si="7"/>
        <v>0</v>
      </c>
      <c r="G41" s="2"/>
      <c r="H41" s="2">
        <v>121.62</v>
      </c>
      <c r="I41" s="2"/>
      <c r="J41" s="19">
        <f t="shared" si="8"/>
        <v>1.418165154089323E-3</v>
      </c>
      <c r="K41" s="2"/>
      <c r="L41" s="2">
        <f t="shared" si="9"/>
        <v>-121.62</v>
      </c>
      <c r="M41" s="2"/>
      <c r="N41" s="19">
        <f t="shared" si="10"/>
        <v>-1</v>
      </c>
      <c r="O41" s="11"/>
      <c r="P41" s="2"/>
      <c r="Q41" s="2"/>
      <c r="R41" s="19">
        <f t="shared" si="11"/>
        <v>0</v>
      </c>
      <c r="S41" s="2"/>
      <c r="T41" s="2">
        <v>411.22</v>
      </c>
      <c r="U41" s="2"/>
      <c r="V41" s="19">
        <f t="shared" si="12"/>
        <v>1.2352958652554816E-3</v>
      </c>
      <c r="W41" s="2"/>
      <c r="X41" s="2">
        <f t="shared" si="13"/>
        <v>-411.22</v>
      </c>
      <c r="Y41" s="2"/>
      <c r="Z41" s="19">
        <f t="shared" si="14"/>
        <v>-1</v>
      </c>
    </row>
    <row r="42" spans="1:26" s="24" customFormat="1" hidden="1" outlineLevel="1" x14ac:dyDescent="0.25">
      <c r="A42" s="44"/>
      <c r="B42" s="11" t="str">
        <f>CONCATENATE("          ", "5035", " - ", "PURCHASES @ COST-HEALTH &amp; BEAU")</f>
        <v xml:space="preserve">          5035 - PURCHASES @ COST-HEALTH &amp; BEAU</v>
      </c>
      <c r="C42" s="11"/>
      <c r="D42" s="2"/>
      <c r="E42" s="2"/>
      <c r="F42" s="19">
        <f t="shared" si="7"/>
        <v>0</v>
      </c>
      <c r="G42" s="2"/>
      <c r="H42" s="2"/>
      <c r="I42" s="2"/>
      <c r="J42" s="19">
        <f t="shared" si="8"/>
        <v>0</v>
      </c>
      <c r="K42" s="2"/>
      <c r="L42" s="2">
        <f t="shared" si="9"/>
        <v>0</v>
      </c>
      <c r="M42" s="2"/>
      <c r="N42" s="19">
        <f t="shared" si="10"/>
        <v>0</v>
      </c>
      <c r="O42" s="11"/>
      <c r="P42" s="2"/>
      <c r="Q42" s="2"/>
      <c r="R42" s="19">
        <f t="shared" si="11"/>
        <v>0</v>
      </c>
      <c r="S42" s="2"/>
      <c r="T42" s="2">
        <v>36.25</v>
      </c>
      <c r="U42" s="2"/>
      <c r="V42" s="19">
        <f t="shared" si="12"/>
        <v>1.0889420532929139E-4</v>
      </c>
      <c r="W42" s="2"/>
      <c r="X42" s="2">
        <f t="shared" si="13"/>
        <v>-36.25</v>
      </c>
      <c r="Y42" s="2"/>
      <c r="Z42" s="19">
        <f t="shared" si="14"/>
        <v>-1</v>
      </c>
    </row>
    <row r="43" spans="1:26" s="24" customFormat="1" hidden="1" outlineLevel="1" x14ac:dyDescent="0.25">
      <c r="A43" s="44"/>
      <c r="B43" s="11" t="str">
        <f>CONCATENATE("          ", "5200", " - ", "PURCHASES OFFSET")</f>
        <v xml:space="preserve">          5200 - PURCHASES OFFSET</v>
      </c>
      <c r="C43" s="11"/>
      <c r="D43" s="2"/>
      <c r="E43" s="2"/>
      <c r="F43" s="19">
        <f t="shared" si="7"/>
        <v>0</v>
      </c>
      <c r="G43" s="2"/>
      <c r="H43" s="2">
        <v>-50759</v>
      </c>
      <c r="I43" s="2"/>
      <c r="J43" s="19">
        <f t="shared" si="8"/>
        <v>-0.59188163999687504</v>
      </c>
      <c r="K43" s="2"/>
      <c r="L43" s="2">
        <f t="shared" si="9"/>
        <v>50759</v>
      </c>
      <c r="M43" s="2"/>
      <c r="N43" s="19">
        <f t="shared" si="10"/>
        <v>-1</v>
      </c>
      <c r="O43" s="11"/>
      <c r="P43" s="2"/>
      <c r="Q43" s="2"/>
      <c r="R43" s="19">
        <f t="shared" si="11"/>
        <v>0</v>
      </c>
      <c r="S43" s="2"/>
      <c r="T43" s="2">
        <v>-186049</v>
      </c>
      <c r="U43" s="2"/>
      <c r="V43" s="19">
        <f t="shared" si="12"/>
        <v>-0.55888711744301611</v>
      </c>
      <c r="W43" s="2"/>
      <c r="X43" s="2">
        <f t="shared" si="13"/>
        <v>186049</v>
      </c>
      <c r="Y43" s="2"/>
      <c r="Z43" s="19">
        <f t="shared" si="14"/>
        <v>-1</v>
      </c>
    </row>
    <row r="44" spans="1:26" s="24" customFormat="1" hidden="1" outlineLevel="1" x14ac:dyDescent="0.25">
      <c r="A44" s="44"/>
      <c r="B44" s="11" t="str">
        <f>CONCATENATE("          ", "5300", " - ", "COG$ OFFSET")</f>
        <v xml:space="preserve">          5300 - COG$ OFFSET</v>
      </c>
      <c r="C44" s="11"/>
      <c r="D44" s="2"/>
      <c r="E44" s="2"/>
      <c r="F44" s="19">
        <f t="shared" si="7"/>
        <v>0</v>
      </c>
      <c r="G44" s="2"/>
      <c r="H44" s="2">
        <v>42576</v>
      </c>
      <c r="I44" s="2"/>
      <c r="J44" s="19">
        <f t="shared" si="8"/>
        <v>0.49646274955194059</v>
      </c>
      <c r="K44" s="2"/>
      <c r="L44" s="2">
        <f t="shared" si="9"/>
        <v>-42576</v>
      </c>
      <c r="M44" s="2"/>
      <c r="N44" s="19">
        <f t="shared" si="10"/>
        <v>-1</v>
      </c>
      <c r="O44" s="11"/>
      <c r="P44" s="2"/>
      <c r="Q44" s="2"/>
      <c r="R44" s="19">
        <f t="shared" si="11"/>
        <v>0</v>
      </c>
      <c r="S44" s="2"/>
      <c r="T44" s="2">
        <v>157976</v>
      </c>
      <c r="U44" s="2"/>
      <c r="V44" s="19">
        <f t="shared" si="12"/>
        <v>0.4745564408579348</v>
      </c>
      <c r="W44" s="2"/>
      <c r="X44" s="2">
        <f t="shared" si="13"/>
        <v>-157976</v>
      </c>
      <c r="Y44" s="2"/>
      <c r="Z44" s="19">
        <f t="shared" si="14"/>
        <v>-1</v>
      </c>
    </row>
    <row r="45" spans="1:26" s="24" customFormat="1" hidden="1" outlineLevel="1" x14ac:dyDescent="0.25">
      <c r="A45" s="44"/>
      <c r="B45" s="11" t="str">
        <f>CONCATENATE("          ", "5500", " - ", "FREIGHT-IN")</f>
        <v xml:space="preserve">          5500 - FREIGHT-IN</v>
      </c>
      <c r="C45" s="11"/>
      <c r="D45" s="2"/>
      <c r="E45" s="2"/>
      <c r="F45" s="19">
        <f t="shared" si="7"/>
        <v>0</v>
      </c>
      <c r="G45" s="2"/>
      <c r="H45" s="2"/>
      <c r="I45" s="2"/>
      <c r="J45" s="19">
        <f t="shared" si="8"/>
        <v>0</v>
      </c>
      <c r="K45" s="2"/>
      <c r="L45" s="2">
        <f t="shared" si="9"/>
        <v>0</v>
      </c>
      <c r="M45" s="2"/>
      <c r="N45" s="19">
        <f t="shared" si="10"/>
        <v>0</v>
      </c>
      <c r="O45" s="11"/>
      <c r="P45" s="2"/>
      <c r="Q45" s="2"/>
      <c r="R45" s="19">
        <f t="shared" si="11"/>
        <v>0</v>
      </c>
      <c r="S45" s="2"/>
      <c r="T45" s="2">
        <v>6</v>
      </c>
      <c r="U45" s="2"/>
      <c r="V45" s="19">
        <f t="shared" si="12"/>
        <v>1.8023868468296505E-5</v>
      </c>
      <c r="W45" s="2"/>
      <c r="X45" s="2">
        <f t="shared" si="13"/>
        <v>-6</v>
      </c>
      <c r="Y45" s="2"/>
      <c r="Z45" s="19">
        <f t="shared" si="14"/>
        <v>-1</v>
      </c>
    </row>
    <row r="46" spans="1:26" s="24" customFormat="1" hidden="1" outlineLevel="1" x14ac:dyDescent="0.25">
      <c r="A46" s="44"/>
      <c r="B46" s="11" t="str">
        <f>CONCATENATE("          ", "5525", " - ", "FREIGHT-IN-TEST FORMS")</f>
        <v xml:space="preserve">          5525 - FREIGHT-IN-TEST FORMS</v>
      </c>
      <c r="C46" s="11"/>
      <c r="D46" s="2"/>
      <c r="E46" s="2"/>
      <c r="F46" s="19">
        <f t="shared" si="7"/>
        <v>0</v>
      </c>
      <c r="G46" s="2"/>
      <c r="H46" s="2"/>
      <c r="I46" s="2"/>
      <c r="J46" s="19">
        <f t="shared" si="8"/>
        <v>0</v>
      </c>
      <c r="K46" s="2"/>
      <c r="L46" s="2">
        <f t="shared" si="9"/>
        <v>0</v>
      </c>
      <c r="M46" s="2"/>
      <c r="N46" s="19">
        <f t="shared" si="10"/>
        <v>0</v>
      </c>
      <c r="O46" s="11"/>
      <c r="P46" s="2"/>
      <c r="Q46" s="2"/>
      <c r="R46" s="19">
        <f t="shared" si="11"/>
        <v>0</v>
      </c>
      <c r="S46" s="2"/>
      <c r="T46" s="2">
        <v>622.41</v>
      </c>
      <c r="U46" s="2"/>
      <c r="V46" s="19">
        <f t="shared" si="12"/>
        <v>1.869705995558738E-3</v>
      </c>
      <c r="W46" s="2"/>
      <c r="X46" s="2">
        <f t="shared" si="13"/>
        <v>-622.41</v>
      </c>
      <c r="Y46" s="2"/>
      <c r="Z46" s="19">
        <f t="shared" si="14"/>
        <v>-1</v>
      </c>
    </row>
    <row r="47" spans="1:26" s="24" customFormat="1" hidden="1" outlineLevel="1" x14ac:dyDescent="0.25">
      <c r="A47" s="44"/>
      <c r="B47" s="11" t="str">
        <f>CONCATENATE("          ", "5526", " - ", "FREIGHT-IN-WRITING INSTRUMENTS")</f>
        <v xml:space="preserve">          5526 - FREIGHT-IN-WRITING INSTRUMENTS</v>
      </c>
      <c r="C47" s="11"/>
      <c r="D47" s="2"/>
      <c r="E47" s="2"/>
      <c r="F47" s="19">
        <f t="shared" si="7"/>
        <v>0</v>
      </c>
      <c r="G47" s="2"/>
      <c r="H47" s="2"/>
      <c r="I47" s="2"/>
      <c r="J47" s="19">
        <f t="shared" si="8"/>
        <v>0</v>
      </c>
      <c r="K47" s="2"/>
      <c r="L47" s="2">
        <f t="shared" si="9"/>
        <v>0</v>
      </c>
      <c r="M47" s="2"/>
      <c r="N47" s="19">
        <f t="shared" si="10"/>
        <v>0</v>
      </c>
      <c r="O47" s="11"/>
      <c r="P47" s="2"/>
      <c r="Q47" s="2"/>
      <c r="R47" s="19">
        <f t="shared" si="11"/>
        <v>0</v>
      </c>
      <c r="S47" s="2"/>
      <c r="T47" s="2">
        <v>260.35000000000002</v>
      </c>
      <c r="U47" s="2"/>
      <c r="V47" s="19">
        <f t="shared" si="12"/>
        <v>7.8208569262016594E-4</v>
      </c>
      <c r="W47" s="2"/>
      <c r="X47" s="2">
        <f t="shared" si="13"/>
        <v>-260.35000000000002</v>
      </c>
      <c r="Y47" s="2"/>
      <c r="Z47" s="19">
        <f t="shared" si="14"/>
        <v>-1</v>
      </c>
    </row>
    <row r="48" spans="1:26" s="24" customFormat="1" hidden="1" outlineLevel="1" x14ac:dyDescent="0.25">
      <c r="A48" s="44"/>
      <c r="B48" s="11" t="str">
        <f>CONCATENATE("          ", "5527", " - ", "FREIGHT-IN-SCHOOL SUPPLIES")</f>
        <v xml:space="preserve">          5527 - FREIGHT-IN-SCHOOL SUPPLIES</v>
      </c>
      <c r="C48" s="11"/>
      <c r="D48" s="2"/>
      <c r="E48" s="2"/>
      <c r="F48" s="19">
        <f t="shared" si="7"/>
        <v>0</v>
      </c>
      <c r="G48" s="2"/>
      <c r="H48" s="2">
        <v>72.91</v>
      </c>
      <c r="I48" s="2"/>
      <c r="J48" s="19">
        <f t="shared" si="8"/>
        <v>8.5017613373337064E-4</v>
      </c>
      <c r="K48" s="2"/>
      <c r="L48" s="2">
        <f t="shared" si="9"/>
        <v>-72.91</v>
      </c>
      <c r="M48" s="2"/>
      <c r="N48" s="19">
        <f t="shared" si="10"/>
        <v>-1</v>
      </c>
      <c r="O48" s="11"/>
      <c r="P48" s="2"/>
      <c r="Q48" s="2"/>
      <c r="R48" s="19">
        <f t="shared" si="11"/>
        <v>0</v>
      </c>
      <c r="S48" s="2"/>
      <c r="T48" s="2">
        <v>958.31</v>
      </c>
      <c r="U48" s="2"/>
      <c r="V48" s="19">
        <f t="shared" si="12"/>
        <v>2.8787422319755374E-3</v>
      </c>
      <c r="W48" s="2"/>
      <c r="X48" s="2">
        <f t="shared" si="13"/>
        <v>-958.31</v>
      </c>
      <c r="Y48" s="2"/>
      <c r="Z48" s="19">
        <f t="shared" si="14"/>
        <v>-1</v>
      </c>
    </row>
    <row r="49" spans="1:26" s="24" customFormat="1" hidden="1" outlineLevel="1" x14ac:dyDescent="0.25">
      <c r="A49" s="44"/>
      <c r="B49" s="11" t="str">
        <f>CONCATENATE("          ", "5528", " - ", "FREIGHT-IN-ART/TECH")</f>
        <v xml:space="preserve">          5528 - FREIGHT-IN-ART/TECH</v>
      </c>
      <c r="C49" s="11"/>
      <c r="D49" s="2"/>
      <c r="E49" s="2"/>
      <c r="F49" s="19">
        <f t="shared" si="7"/>
        <v>0</v>
      </c>
      <c r="G49" s="2"/>
      <c r="H49" s="2"/>
      <c r="I49" s="2"/>
      <c r="J49" s="19">
        <f t="shared" si="8"/>
        <v>0</v>
      </c>
      <c r="K49" s="2"/>
      <c r="L49" s="2">
        <f t="shared" si="9"/>
        <v>0</v>
      </c>
      <c r="M49" s="2"/>
      <c r="N49" s="19">
        <f t="shared" si="10"/>
        <v>0</v>
      </c>
      <c r="O49" s="11"/>
      <c r="P49" s="2"/>
      <c r="Q49" s="2"/>
      <c r="R49" s="19">
        <f t="shared" si="11"/>
        <v>0</v>
      </c>
      <c r="S49" s="2"/>
      <c r="T49" s="2">
        <v>56.91</v>
      </c>
      <c r="U49" s="2"/>
      <c r="V49" s="19">
        <f t="shared" si="12"/>
        <v>1.7095639242179235E-4</v>
      </c>
      <c r="W49" s="2"/>
      <c r="X49" s="2">
        <f t="shared" si="13"/>
        <v>-56.91</v>
      </c>
      <c r="Y49" s="2"/>
      <c r="Z49" s="19">
        <f t="shared" si="14"/>
        <v>-1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8" t="s">
        <v>6</v>
      </c>
      <c r="C51" s="28"/>
      <c r="D51" s="20">
        <f>D12-D34</f>
        <v>0</v>
      </c>
      <c r="E51" s="14"/>
      <c r="F51" s="22">
        <f>IF(D$12=0,0,D51/D$12)</f>
        <v>0</v>
      </c>
      <c r="G51" s="14"/>
      <c r="H51" s="20">
        <f>H12-H34</f>
        <v>43182.07999999998</v>
      </c>
      <c r="I51" s="14"/>
      <c r="J51" s="22">
        <f>IF(H$12=0,0,H51/H$12)</f>
        <v>0.50353002086085719</v>
      </c>
      <c r="K51" s="15"/>
      <c r="L51" s="20">
        <f>+D51-H51</f>
        <v>-43182.07999999998</v>
      </c>
      <c r="M51" s="15"/>
      <c r="N51" s="22">
        <f>IF(H51=0,0,L51/H51)</f>
        <v>-1</v>
      </c>
      <c r="O51" s="29"/>
      <c r="P51" s="20">
        <f>P12-P34</f>
        <v>0</v>
      </c>
      <c r="Q51" s="14"/>
      <c r="R51" s="22">
        <f>IF(P$12=0,0,P51/P$12)</f>
        <v>0</v>
      </c>
      <c r="S51" s="14"/>
      <c r="T51" s="20">
        <f>T12-T34</f>
        <v>174909.59000000005</v>
      </c>
      <c r="U51" s="14"/>
      <c r="V51" s="22">
        <f>IF(T$12=0,0,T51/T$12)</f>
        <v>0.52542457400061182</v>
      </c>
      <c r="W51" s="15"/>
      <c r="X51" s="20">
        <f>+P51-T51</f>
        <v>-174909.59000000005</v>
      </c>
      <c r="Y51" s="15"/>
      <c r="Z51" s="22">
        <f>IF(T51=0,0,X51/T51)</f>
        <v>-1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9" t="s">
        <v>9</v>
      </c>
      <c r="C53" s="10"/>
      <c r="D53" s="21">
        <f>SUM(OSRRefD22x_0)</f>
        <v>0</v>
      </c>
      <c r="E53" s="21"/>
      <c r="F53" s="35">
        <f t="shared" ref="F53:F62" si="15">IF(D$12=0,0,D53/D$12)</f>
        <v>0</v>
      </c>
      <c r="G53" s="21"/>
      <c r="H53" s="21">
        <f>SUM(OSRRefH22x_0)</f>
        <v>13444.84</v>
      </c>
      <c r="I53" s="21"/>
      <c r="J53" s="35">
        <f t="shared" ref="J53:J62" si="16">IF(H$12=0,0,H53/H$12)</f>
        <v>0.1567752309678202</v>
      </c>
      <c r="K53" s="4"/>
      <c r="L53" s="21">
        <f t="shared" ref="L53:L62" si="17">+D53-H53</f>
        <v>-13444.84</v>
      </c>
      <c r="M53" s="4"/>
      <c r="N53" s="35">
        <f t="shared" ref="N53:N62" si="18">IF(H53=0,0,L53/H53)</f>
        <v>-1</v>
      </c>
      <c r="O53" s="10"/>
      <c r="P53" s="21">
        <f>SUM(OSRRefP22x_0)</f>
        <v>0</v>
      </c>
      <c r="Q53" s="21"/>
      <c r="R53" s="35">
        <f t="shared" ref="R53:R62" si="19">IF(P$12=0,0,P53/P$12)</f>
        <v>0</v>
      </c>
      <c r="S53" s="21"/>
      <c r="T53" s="21">
        <f>SUM(OSRRefT22x_0)</f>
        <v>73024.660000000018</v>
      </c>
      <c r="U53" s="21"/>
      <c r="V53" s="35">
        <f t="shared" ref="V53:V62" si="20">IF(T$12=0,0,T53/T$12)</f>
        <v>0.21936447779701224</v>
      </c>
      <c r="W53" s="4"/>
      <c r="X53" s="21">
        <f t="shared" ref="X53:X62" si="21">+P53-T53</f>
        <v>-73024.660000000018</v>
      </c>
      <c r="Y53" s="4"/>
      <c r="Z53" s="35">
        <f t="shared" ref="Z53:Z62" si="22">IF(T53=0,0,X53/T53)</f>
        <v>-1</v>
      </c>
    </row>
    <row r="54" spans="1:26" s="26" customFormat="1" outlineLevel="1" collapsed="1" x14ac:dyDescent="0.25">
      <c r="A54" s="27"/>
      <c r="B54" s="13" t="str">
        <f>CONCATENATE("     ","*Benefits                                         ")</f>
        <v xml:space="preserve">     *Benefits                                         </v>
      </c>
      <c r="C54" s="13"/>
      <c r="D54" s="1">
        <f>SUM(OSRRefD22_0x_0)</f>
        <v>0</v>
      </c>
      <c r="E54" s="1"/>
      <c r="F54" s="5">
        <f t="shared" si="15"/>
        <v>0</v>
      </c>
      <c r="G54" s="1"/>
      <c r="H54" s="1">
        <f>SUM(OSRRefH22_0x_0)</f>
        <v>2466.5499999999997</v>
      </c>
      <c r="I54" s="1"/>
      <c r="J54" s="5">
        <f t="shared" si="16"/>
        <v>2.8761513409135169E-2</v>
      </c>
      <c r="K54" s="1"/>
      <c r="L54" s="1">
        <f t="shared" si="17"/>
        <v>-2466.5499999999997</v>
      </c>
      <c r="M54" s="1"/>
      <c r="N54" s="5">
        <f t="shared" si="18"/>
        <v>-1</v>
      </c>
      <c r="O54" s="13"/>
      <c r="P54" s="1">
        <f>SUM(OSRRefP22_0x_0)</f>
        <v>0</v>
      </c>
      <c r="Q54" s="1"/>
      <c r="R54" s="5">
        <f t="shared" si="19"/>
        <v>0</v>
      </c>
      <c r="S54" s="1"/>
      <c r="T54" s="1">
        <f>SUM(OSRRefT22_0x_0)</f>
        <v>13106.08</v>
      </c>
      <c r="U54" s="1"/>
      <c r="V54" s="5">
        <f t="shared" si="20"/>
        <v>3.9370377009161912E-2</v>
      </c>
      <c r="W54" s="1"/>
      <c r="X54" s="1">
        <f t="shared" si="21"/>
        <v>-13106.08</v>
      </c>
      <c r="Y54" s="1"/>
      <c r="Z54" s="5">
        <f t="shared" si="22"/>
        <v>-1</v>
      </c>
    </row>
    <row r="55" spans="1:26" s="24" customFormat="1" hidden="1" outlineLevel="2" x14ac:dyDescent="0.25">
      <c r="A55" s="25"/>
      <c r="B55" s="11" t="str">
        <f>CONCATENATE("          ", "6111", " - ", "F.I.C.A.")</f>
        <v xml:space="preserve">          6111 - F.I.C.A.</v>
      </c>
      <c r="C55" s="11"/>
      <c r="D55" s="6"/>
      <c r="E55" s="2"/>
      <c r="F55" s="7">
        <f t="shared" si="15"/>
        <v>0</v>
      </c>
      <c r="G55" s="2"/>
      <c r="H55" s="6">
        <v>266.95999999999998</v>
      </c>
      <c r="I55" s="2"/>
      <c r="J55" s="7">
        <f t="shared" si="16"/>
        <v>3.1129203217865947E-3</v>
      </c>
      <c r="K55" s="2"/>
      <c r="L55" s="6">
        <f t="shared" si="17"/>
        <v>-266.95999999999998</v>
      </c>
      <c r="M55" s="2"/>
      <c r="N55" s="7">
        <f t="shared" si="18"/>
        <v>-1</v>
      </c>
      <c r="O55" s="11"/>
      <c r="P55" s="6"/>
      <c r="Q55" s="2"/>
      <c r="R55" s="7">
        <f t="shared" si="19"/>
        <v>0</v>
      </c>
      <c r="S55" s="2"/>
      <c r="T55" s="6">
        <v>1936.63</v>
      </c>
      <c r="U55" s="2"/>
      <c r="V55" s="7">
        <f t="shared" si="20"/>
        <v>5.8175940652928438E-3</v>
      </c>
      <c r="W55" s="2"/>
      <c r="X55" s="6">
        <f t="shared" si="21"/>
        <v>-1936.63</v>
      </c>
      <c r="Y55" s="2"/>
      <c r="Z55" s="7">
        <f t="shared" si="22"/>
        <v>-1</v>
      </c>
    </row>
    <row r="56" spans="1:26" s="24" customFormat="1" hidden="1" outlineLevel="2" x14ac:dyDescent="0.25">
      <c r="A56" s="25"/>
      <c r="B56" s="11" t="str">
        <f>CONCATENATE("          ", "6112", " - ", "COMPENSATION INSURANCE")</f>
        <v xml:space="preserve">          6112 - COMPENSATION INSURANCE</v>
      </c>
      <c r="C56" s="11"/>
      <c r="D56" s="6"/>
      <c r="E56" s="2"/>
      <c r="F56" s="7">
        <f t="shared" si="15"/>
        <v>0</v>
      </c>
      <c r="G56" s="2"/>
      <c r="H56" s="6">
        <v>133.63</v>
      </c>
      <c r="I56" s="2"/>
      <c r="J56" s="7">
        <f t="shared" si="16"/>
        <v>1.5582092545712565E-3</v>
      </c>
      <c r="K56" s="2"/>
      <c r="L56" s="6">
        <f t="shared" si="17"/>
        <v>-133.63</v>
      </c>
      <c r="M56" s="2"/>
      <c r="N56" s="7">
        <f t="shared" si="18"/>
        <v>-1</v>
      </c>
      <c r="O56" s="11"/>
      <c r="P56" s="6"/>
      <c r="Q56" s="2"/>
      <c r="R56" s="7">
        <f t="shared" si="19"/>
        <v>0</v>
      </c>
      <c r="S56" s="2"/>
      <c r="T56" s="6">
        <v>838.01</v>
      </c>
      <c r="U56" s="2"/>
      <c r="V56" s="7">
        <f t="shared" si="20"/>
        <v>2.5173636691861925E-3</v>
      </c>
      <c r="W56" s="2"/>
      <c r="X56" s="6">
        <f t="shared" si="21"/>
        <v>-838.01</v>
      </c>
      <c r="Y56" s="2"/>
      <c r="Z56" s="7">
        <f t="shared" si="22"/>
        <v>-1</v>
      </c>
    </row>
    <row r="57" spans="1:26" s="24" customFormat="1" hidden="1" outlineLevel="2" x14ac:dyDescent="0.25">
      <c r="A57" s="25"/>
      <c r="B57" s="11" t="str">
        <f>CONCATENATE("          ", "6113", " - ", "GROUP INSURANCE")</f>
        <v xml:space="preserve">          6113 - GROUP INSURANCE</v>
      </c>
      <c r="C57" s="11"/>
      <c r="D57" s="6"/>
      <c r="E57" s="2"/>
      <c r="F57" s="7">
        <f t="shared" si="15"/>
        <v>0</v>
      </c>
      <c r="G57" s="2"/>
      <c r="H57" s="6">
        <v>1216.43</v>
      </c>
      <c r="I57" s="2"/>
      <c r="J57" s="7">
        <f t="shared" si="16"/>
        <v>1.4184333484532768E-2</v>
      </c>
      <c r="K57" s="2"/>
      <c r="L57" s="6">
        <f t="shared" si="17"/>
        <v>-1216.43</v>
      </c>
      <c r="M57" s="2"/>
      <c r="N57" s="7">
        <f t="shared" si="18"/>
        <v>-1</v>
      </c>
      <c r="O57" s="11"/>
      <c r="P57" s="6"/>
      <c r="Q57" s="2"/>
      <c r="R57" s="7">
        <f t="shared" si="19"/>
        <v>0</v>
      </c>
      <c r="S57" s="2"/>
      <c r="T57" s="6">
        <v>6235.19</v>
      </c>
      <c r="U57" s="2"/>
      <c r="V57" s="7">
        <f t="shared" si="20"/>
        <v>1.8730374072472949E-2</v>
      </c>
      <c r="W57" s="2"/>
      <c r="X57" s="6">
        <f t="shared" si="21"/>
        <v>-6235.19</v>
      </c>
      <c r="Y57" s="2"/>
      <c r="Z57" s="7">
        <f t="shared" si="22"/>
        <v>-1</v>
      </c>
    </row>
    <row r="58" spans="1:26" s="24" customFormat="1" hidden="1" outlineLevel="2" x14ac:dyDescent="0.25">
      <c r="A58" s="25"/>
      <c r="B58" s="11" t="str">
        <f>CONCATENATE("          ", "6114", " - ", "STATE UNEMPLOYMENT INSURANCE")</f>
        <v xml:space="preserve">          6114 - STATE UNEMPLOYMENT INSURANCE</v>
      </c>
      <c r="C58" s="11"/>
      <c r="D58" s="6"/>
      <c r="E58" s="2"/>
      <c r="F58" s="7">
        <f t="shared" si="15"/>
        <v>0</v>
      </c>
      <c r="G58" s="2"/>
      <c r="H58" s="6">
        <v>18.29</v>
      </c>
      <c r="I58" s="2"/>
      <c r="J58" s="7">
        <f t="shared" si="16"/>
        <v>2.1327282246582567E-4</v>
      </c>
      <c r="K58" s="2"/>
      <c r="L58" s="6">
        <f t="shared" si="17"/>
        <v>-18.29</v>
      </c>
      <c r="M58" s="2"/>
      <c r="N58" s="7">
        <f t="shared" si="18"/>
        <v>-1</v>
      </c>
      <c r="O58" s="11"/>
      <c r="P58" s="6"/>
      <c r="Q58" s="2"/>
      <c r="R58" s="7">
        <f t="shared" si="19"/>
        <v>0</v>
      </c>
      <c r="S58" s="2"/>
      <c r="T58" s="6">
        <v>134.25</v>
      </c>
      <c r="U58" s="2"/>
      <c r="V58" s="7">
        <f t="shared" si="20"/>
        <v>4.032840569781343E-4</v>
      </c>
      <c r="W58" s="2"/>
      <c r="X58" s="6">
        <f t="shared" si="21"/>
        <v>-134.25</v>
      </c>
      <c r="Y58" s="2"/>
      <c r="Z58" s="7">
        <f t="shared" si="22"/>
        <v>-1</v>
      </c>
    </row>
    <row r="59" spans="1:26" s="24" customFormat="1" hidden="1" outlineLevel="2" x14ac:dyDescent="0.25">
      <c r="A59" s="25"/>
      <c r="B59" s="11" t="str">
        <f>CONCATENATE("          ", "6115", " - ", "P.E.R.S.")</f>
        <v xml:space="preserve">          6115 - P.E.R.S.</v>
      </c>
      <c r="C59" s="11"/>
      <c r="D59" s="6"/>
      <c r="E59" s="2"/>
      <c r="F59" s="7">
        <f t="shared" si="15"/>
        <v>0</v>
      </c>
      <c r="G59" s="2"/>
      <c r="H59" s="6">
        <v>359.53</v>
      </c>
      <c r="I59" s="2"/>
      <c r="J59" s="7">
        <f t="shared" si="16"/>
        <v>4.1923443335778179E-3</v>
      </c>
      <c r="K59" s="2"/>
      <c r="L59" s="6">
        <f t="shared" si="17"/>
        <v>-359.53</v>
      </c>
      <c r="M59" s="2"/>
      <c r="N59" s="7">
        <f t="shared" si="18"/>
        <v>-1</v>
      </c>
      <c r="O59" s="11"/>
      <c r="P59" s="6"/>
      <c r="Q59" s="2"/>
      <c r="R59" s="7">
        <f t="shared" si="19"/>
        <v>0</v>
      </c>
      <c r="S59" s="2"/>
      <c r="T59" s="6">
        <v>1387.05</v>
      </c>
      <c r="U59" s="2"/>
      <c r="V59" s="7">
        <f t="shared" si="20"/>
        <v>4.1666677931584449E-3</v>
      </c>
      <c r="W59" s="2"/>
      <c r="X59" s="6">
        <f t="shared" si="21"/>
        <v>-1387.05</v>
      </c>
      <c r="Y59" s="2"/>
      <c r="Z59" s="7">
        <f t="shared" si="22"/>
        <v>-1</v>
      </c>
    </row>
    <row r="60" spans="1:26" s="24" customFormat="1" hidden="1" outlineLevel="2" x14ac:dyDescent="0.25">
      <c r="A60" s="25"/>
      <c r="B60" s="11" t="str">
        <f>CONCATENATE("          ", "6118", " - ", "VACATION")</f>
        <v xml:space="preserve">          6118 - VACATION</v>
      </c>
      <c r="C60" s="11"/>
      <c r="D60" s="6"/>
      <c r="E60" s="2"/>
      <c r="F60" s="7">
        <f t="shared" si="15"/>
        <v>0</v>
      </c>
      <c r="G60" s="2"/>
      <c r="H60" s="6">
        <v>135.97999999999999</v>
      </c>
      <c r="I60" s="2"/>
      <c r="J60" s="7">
        <f t="shared" si="16"/>
        <v>1.5856117221926173E-3</v>
      </c>
      <c r="K60" s="2"/>
      <c r="L60" s="6">
        <f t="shared" si="17"/>
        <v>-135.97999999999999</v>
      </c>
      <c r="M60" s="2"/>
      <c r="N60" s="7">
        <f t="shared" si="18"/>
        <v>-1</v>
      </c>
      <c r="O60" s="11"/>
      <c r="P60" s="6"/>
      <c r="Q60" s="2"/>
      <c r="R60" s="7">
        <f t="shared" si="19"/>
        <v>0</v>
      </c>
      <c r="S60" s="2"/>
      <c r="T60" s="6">
        <v>1133.8399999999999</v>
      </c>
      <c r="U60" s="2"/>
      <c r="V60" s="7">
        <f t="shared" si="20"/>
        <v>3.4060305040155515E-3</v>
      </c>
      <c r="W60" s="2"/>
      <c r="X60" s="6">
        <f t="shared" si="21"/>
        <v>-1133.8399999999999</v>
      </c>
      <c r="Y60" s="2"/>
      <c r="Z60" s="7">
        <f t="shared" si="22"/>
        <v>-1</v>
      </c>
    </row>
    <row r="61" spans="1:26" s="24" customFormat="1" hidden="1" outlineLevel="2" x14ac:dyDescent="0.25">
      <c r="A61" s="25"/>
      <c r="B61" s="11" t="str">
        <f>CONCATENATE("          ", "6119", " - ", "SICK LEAVE")</f>
        <v xml:space="preserve">          6119 - SICK LEAVE</v>
      </c>
      <c r="C61" s="11"/>
      <c r="D61" s="6"/>
      <c r="E61" s="2"/>
      <c r="F61" s="7">
        <f t="shared" si="15"/>
        <v>0</v>
      </c>
      <c r="G61" s="2"/>
      <c r="H61" s="6">
        <v>160.72999999999999</v>
      </c>
      <c r="I61" s="2"/>
      <c r="J61" s="7">
        <f t="shared" si="16"/>
        <v>1.8742121790558861E-3</v>
      </c>
      <c r="K61" s="2"/>
      <c r="L61" s="6">
        <f t="shared" si="17"/>
        <v>-160.72999999999999</v>
      </c>
      <c r="M61" s="2"/>
      <c r="N61" s="7">
        <f t="shared" si="18"/>
        <v>-1</v>
      </c>
      <c r="O61" s="11"/>
      <c r="P61" s="6"/>
      <c r="Q61" s="2"/>
      <c r="R61" s="7">
        <f t="shared" si="19"/>
        <v>0</v>
      </c>
      <c r="S61" s="2"/>
      <c r="T61" s="6">
        <v>1266.1099999999999</v>
      </c>
      <c r="U61" s="2"/>
      <c r="V61" s="7">
        <f t="shared" si="20"/>
        <v>3.8033666843991479E-3</v>
      </c>
      <c r="W61" s="2"/>
      <c r="X61" s="6">
        <f t="shared" si="21"/>
        <v>-1266.1099999999999</v>
      </c>
      <c r="Y61" s="2"/>
      <c r="Z61" s="7">
        <f t="shared" si="22"/>
        <v>-1</v>
      </c>
    </row>
    <row r="62" spans="1:26" s="24" customFormat="1" hidden="1" outlineLevel="2" x14ac:dyDescent="0.25">
      <c r="A62" s="25"/>
      <c r="B62" s="11" t="str">
        <f>CONCATENATE("          ", "6156", " - ", "EMPLOYEE MEALS")</f>
        <v xml:space="preserve">          6156 - EMPLOYEE MEALS</v>
      </c>
      <c r="C62" s="11"/>
      <c r="D62" s="6"/>
      <c r="E62" s="2"/>
      <c r="F62" s="7">
        <f t="shared" si="15"/>
        <v>0</v>
      </c>
      <c r="G62" s="2"/>
      <c r="H62" s="6">
        <v>175</v>
      </c>
      <c r="I62" s="2"/>
      <c r="J62" s="7">
        <f t="shared" si="16"/>
        <v>2.040609290952405E-3</v>
      </c>
      <c r="K62" s="2"/>
      <c r="L62" s="6">
        <f t="shared" si="17"/>
        <v>-175</v>
      </c>
      <c r="M62" s="2"/>
      <c r="N62" s="7">
        <f t="shared" si="18"/>
        <v>-1</v>
      </c>
      <c r="O62" s="11"/>
      <c r="P62" s="6"/>
      <c r="Q62" s="2"/>
      <c r="R62" s="7">
        <f t="shared" si="19"/>
        <v>0</v>
      </c>
      <c r="S62" s="2"/>
      <c r="T62" s="6">
        <v>175</v>
      </c>
      <c r="U62" s="2"/>
      <c r="V62" s="7">
        <f t="shared" si="20"/>
        <v>5.2569616365864813E-4</v>
      </c>
      <c r="W62" s="2"/>
      <c r="X62" s="6">
        <f t="shared" si="21"/>
        <v>-175</v>
      </c>
      <c r="Y62" s="2"/>
      <c r="Z62" s="7">
        <f t="shared" si="22"/>
        <v>-1</v>
      </c>
    </row>
    <row r="63" spans="1:26" s="26" customFormat="1" outlineLevel="1" collapsed="1" x14ac:dyDescent="0.25">
      <c r="A63" s="27"/>
      <c r="B63" s="13" t="str">
        <f>CONCATENATE("     ","*Payroll                                          ")</f>
        <v xml:space="preserve">     *Payroll                                          </v>
      </c>
      <c r="C63" s="13"/>
      <c r="D63" s="1">
        <f>SUM(OSRRefD22_1x_0)</f>
        <v>0</v>
      </c>
      <c r="E63" s="1"/>
      <c r="F63" s="5">
        <f t="shared" ref="F63:F66" si="23">IF(D$12=0,0,D63/D$12)</f>
        <v>0</v>
      </c>
      <c r="G63" s="1"/>
      <c r="H63" s="1">
        <f>SUM(OSRRefH22_1x_0)</f>
        <v>9281.48</v>
      </c>
      <c r="I63" s="1"/>
      <c r="J63" s="5">
        <f t="shared" ref="J63:J66" si="24">IF(H$12=0,0,H63/H$12)</f>
        <v>0.10822785326736531</v>
      </c>
      <c r="K63" s="1"/>
      <c r="L63" s="1">
        <f t="shared" ref="L63:L66" si="25">+D63-H63</f>
        <v>-9281.48</v>
      </c>
      <c r="M63" s="1"/>
      <c r="N63" s="5">
        <f t="shared" ref="N63:N66" si="26">IF(H63=0,0,L63/H63)</f>
        <v>-1</v>
      </c>
      <c r="O63" s="13"/>
      <c r="P63" s="1">
        <f>SUM(OSRRefP22_1x_0)</f>
        <v>0</v>
      </c>
      <c r="Q63" s="1"/>
      <c r="R63" s="5">
        <f t="shared" ref="R63:R66" si="27">IF(P$12=0,0,P63/P$12)</f>
        <v>0</v>
      </c>
      <c r="S63" s="1"/>
      <c r="T63" s="1">
        <f>SUM(OSRRefT22_1x_0)</f>
        <v>51189.43</v>
      </c>
      <c r="U63" s="1"/>
      <c r="V63" s="5">
        <f t="shared" ref="V63:V66" si="28">IF(T$12=0,0,T63/T$12)</f>
        <v>0.15377192554784522</v>
      </c>
      <c r="W63" s="1"/>
      <c r="X63" s="1">
        <f t="shared" ref="X63:X66" si="29">+P63-T63</f>
        <v>-51189.43</v>
      </c>
      <c r="Y63" s="1"/>
      <c r="Z63" s="5">
        <f t="shared" ref="Z63:Z66" si="30">IF(T63=0,0,X63/T63)</f>
        <v>-1</v>
      </c>
    </row>
    <row r="64" spans="1:26" s="24" customFormat="1" hidden="1" outlineLevel="2" x14ac:dyDescent="0.25">
      <c r="A64" s="25"/>
      <c r="B64" s="11" t="str">
        <f>CONCATENATE("          ", "6002", " - ", "STAFF SALARIES")</f>
        <v xml:space="preserve">          6002 - STAFF SALARIES</v>
      </c>
      <c r="C64" s="11"/>
      <c r="D64" s="6"/>
      <c r="E64" s="2"/>
      <c r="F64" s="7">
        <f t="shared" si="23"/>
        <v>0</v>
      </c>
      <c r="G64" s="2"/>
      <c r="H64" s="6">
        <v>4251.8</v>
      </c>
      <c r="I64" s="2"/>
      <c r="J64" s="7">
        <f t="shared" si="24"/>
        <v>4.9578643332979642E-2</v>
      </c>
      <c r="K64" s="2"/>
      <c r="L64" s="6">
        <f t="shared" si="25"/>
        <v>-4251.8</v>
      </c>
      <c r="M64" s="2"/>
      <c r="N64" s="7">
        <f t="shared" si="26"/>
        <v>-1</v>
      </c>
      <c r="O64" s="11"/>
      <c r="P64" s="6"/>
      <c r="Q64" s="2"/>
      <c r="R64" s="7">
        <f t="shared" si="27"/>
        <v>0</v>
      </c>
      <c r="S64" s="2"/>
      <c r="T64" s="6">
        <v>18477.510000000002</v>
      </c>
      <c r="U64" s="2"/>
      <c r="V64" s="7">
        <f t="shared" si="28"/>
        <v>5.5506034976938901E-2</v>
      </c>
      <c r="W64" s="2"/>
      <c r="X64" s="6">
        <f t="shared" si="29"/>
        <v>-18477.510000000002</v>
      </c>
      <c r="Y64" s="2"/>
      <c r="Z64" s="7">
        <f t="shared" si="30"/>
        <v>-1</v>
      </c>
    </row>
    <row r="65" spans="1:26" s="24" customFormat="1" hidden="1" outlineLevel="2" x14ac:dyDescent="0.25">
      <c r="A65" s="25"/>
      <c r="B65" s="11" t="str">
        <f>CONCATENATE("          ", "6004", " - ", "STAFF HOURLY")</f>
        <v xml:space="preserve">          6004 - STAFF HOURLY</v>
      </c>
      <c r="C65" s="11"/>
      <c r="D65" s="6"/>
      <c r="E65" s="2"/>
      <c r="F65" s="7">
        <f t="shared" si="23"/>
        <v>0</v>
      </c>
      <c r="G65" s="2"/>
      <c r="H65" s="6"/>
      <c r="I65" s="2"/>
      <c r="J65" s="7">
        <f t="shared" si="24"/>
        <v>0</v>
      </c>
      <c r="K65" s="2"/>
      <c r="L65" s="6">
        <f t="shared" si="25"/>
        <v>0</v>
      </c>
      <c r="M65" s="2"/>
      <c r="N65" s="7">
        <f t="shared" si="26"/>
        <v>0</v>
      </c>
      <c r="O65" s="11"/>
      <c r="P65" s="6"/>
      <c r="Q65" s="2"/>
      <c r="R65" s="7">
        <f t="shared" si="27"/>
        <v>0</v>
      </c>
      <c r="S65" s="2"/>
      <c r="T65" s="6">
        <v>-48</v>
      </c>
      <c r="U65" s="2"/>
      <c r="V65" s="7">
        <f t="shared" si="28"/>
        <v>-1.4419094774637204E-4</v>
      </c>
      <c r="W65" s="2"/>
      <c r="X65" s="6">
        <f t="shared" si="29"/>
        <v>48</v>
      </c>
      <c r="Y65" s="2"/>
      <c r="Z65" s="7">
        <f t="shared" si="30"/>
        <v>-1</v>
      </c>
    </row>
    <row r="66" spans="1:26" s="24" customFormat="1" hidden="1" outlineLevel="2" x14ac:dyDescent="0.25">
      <c r="A66" s="25"/>
      <c r="B66" s="11" t="str">
        <f>CONCATENATE("          ", "6007", " - ", "STUDENT HOURLY")</f>
        <v xml:space="preserve">          6007 - STUDENT HOURLY</v>
      </c>
      <c r="C66" s="11"/>
      <c r="D66" s="6"/>
      <c r="E66" s="2"/>
      <c r="F66" s="7">
        <f t="shared" si="23"/>
        <v>0</v>
      </c>
      <c r="G66" s="2"/>
      <c r="H66" s="6">
        <v>5029.68</v>
      </c>
      <c r="I66" s="2"/>
      <c r="J66" s="7">
        <f t="shared" si="24"/>
        <v>5.8649209934385681E-2</v>
      </c>
      <c r="K66" s="2"/>
      <c r="L66" s="6">
        <f t="shared" si="25"/>
        <v>-5029.68</v>
      </c>
      <c r="M66" s="2"/>
      <c r="N66" s="7">
        <f t="shared" si="26"/>
        <v>-1</v>
      </c>
      <c r="O66" s="11"/>
      <c r="P66" s="6"/>
      <c r="Q66" s="2"/>
      <c r="R66" s="7">
        <f t="shared" si="27"/>
        <v>0</v>
      </c>
      <c r="S66" s="2"/>
      <c r="T66" s="6">
        <v>32759.919999999998</v>
      </c>
      <c r="U66" s="2"/>
      <c r="V66" s="7">
        <f t="shared" si="28"/>
        <v>9.8410081518652673E-2</v>
      </c>
      <c r="W66" s="2"/>
      <c r="X66" s="6">
        <f t="shared" si="29"/>
        <v>-32759.919999999998</v>
      </c>
      <c r="Y66" s="2"/>
      <c r="Z66" s="7">
        <f t="shared" si="30"/>
        <v>-1</v>
      </c>
    </row>
    <row r="67" spans="1:26" s="26" customFormat="1" outlineLevel="1" collapsed="1" x14ac:dyDescent="0.25">
      <c r="A67" s="27"/>
      <c r="B67" s="13" t="str">
        <f>CONCATENATE("     ","Advertising/Promo                                 ")</f>
        <v xml:space="preserve">     Advertising/Promo                                 </v>
      </c>
      <c r="C67" s="13"/>
      <c r="D67" s="1">
        <f>SUM(OSRRefD22_2x_0)</f>
        <v>0</v>
      </c>
      <c r="E67" s="1"/>
      <c r="F67" s="5">
        <f t="shared" ref="F67:F71" si="31">IF(D$12=0,0,D67/D$12)</f>
        <v>0</v>
      </c>
      <c r="G67" s="1"/>
      <c r="H67" s="1">
        <f>SUM(OSRRefH22_2x_0)</f>
        <v>30.64</v>
      </c>
      <c r="I67" s="1"/>
      <c r="J67" s="5">
        <f t="shared" ref="J67:J71" si="32">IF(H$12=0,0,H67/H$12)</f>
        <v>3.5728153528446685E-4</v>
      </c>
      <c r="K67" s="1"/>
      <c r="L67" s="1">
        <f t="shared" ref="L67:L71" si="33">+D67-H67</f>
        <v>-30.64</v>
      </c>
      <c r="M67" s="1"/>
      <c r="N67" s="5">
        <f t="shared" ref="N67:N71" si="34">IF(H67=0,0,L67/H67)</f>
        <v>-1</v>
      </c>
      <c r="O67" s="13"/>
      <c r="P67" s="1">
        <f>SUM(OSRRefP22_2x_0)</f>
        <v>0</v>
      </c>
      <c r="Q67" s="1"/>
      <c r="R67" s="5">
        <f t="shared" ref="R67:R71" si="35">IF(P$12=0,0,P67/P$12)</f>
        <v>0</v>
      </c>
      <c r="S67" s="1"/>
      <c r="T67" s="1">
        <f>SUM(OSRRefT22_2x_0)</f>
        <v>1171.01</v>
      </c>
      <c r="U67" s="1"/>
      <c r="V67" s="5">
        <f t="shared" ref="V67:V71" si="36">IF(T$12=0,0,T67/T$12)</f>
        <v>3.5176883691766486E-3</v>
      </c>
      <c r="W67" s="1"/>
      <c r="X67" s="1">
        <f t="shared" ref="X67:X71" si="37">+P67-T67</f>
        <v>-1171.01</v>
      </c>
      <c r="Y67" s="1"/>
      <c r="Z67" s="5">
        <f t="shared" ref="Z67:Z71" si="38">IF(T67=0,0,X67/T67)</f>
        <v>-1</v>
      </c>
    </row>
    <row r="68" spans="1:26" s="24" customFormat="1" hidden="1" outlineLevel="2" x14ac:dyDescent="0.25">
      <c r="A68" s="25"/>
      <c r="B68" s="11" t="str">
        <f>CONCATENATE("          ", "6362", " - ", "ADVERTISING EXPENSE")</f>
        <v xml:space="preserve">          6362 - ADVERTISING EXPENSE</v>
      </c>
      <c r="C68" s="11"/>
      <c r="D68" s="6"/>
      <c r="E68" s="2"/>
      <c r="F68" s="7">
        <f t="shared" si="31"/>
        <v>0</v>
      </c>
      <c r="G68" s="2"/>
      <c r="H68" s="6">
        <v>30.64</v>
      </c>
      <c r="I68" s="2"/>
      <c r="J68" s="7">
        <f t="shared" si="32"/>
        <v>3.5728153528446685E-4</v>
      </c>
      <c r="K68" s="2"/>
      <c r="L68" s="6">
        <f t="shared" si="33"/>
        <v>-30.64</v>
      </c>
      <c r="M68" s="2"/>
      <c r="N68" s="7">
        <f t="shared" si="34"/>
        <v>-1</v>
      </c>
      <c r="O68" s="11"/>
      <c r="P68" s="6"/>
      <c r="Q68" s="2"/>
      <c r="R68" s="7">
        <f t="shared" si="35"/>
        <v>0</v>
      </c>
      <c r="S68" s="2"/>
      <c r="T68" s="6">
        <v>1171.01</v>
      </c>
      <c r="U68" s="2"/>
      <c r="V68" s="7">
        <f t="shared" si="36"/>
        <v>3.5176883691766486E-3</v>
      </c>
      <c r="W68" s="2"/>
      <c r="X68" s="6">
        <f t="shared" si="37"/>
        <v>-1171.01</v>
      </c>
      <c r="Y68" s="2"/>
      <c r="Z68" s="7">
        <f t="shared" si="38"/>
        <v>-1</v>
      </c>
    </row>
    <row r="69" spans="1:26" s="26" customFormat="1" outlineLevel="1" collapsed="1" x14ac:dyDescent="0.25">
      <c r="A69" s="27"/>
      <c r="B69" s="13" t="str">
        <f>CONCATENATE("     ","Discounts and Markdowns                           ")</f>
        <v xml:space="preserve">     Discounts and Markdowns                           </v>
      </c>
      <c r="C69" s="13"/>
      <c r="D69" s="1">
        <f>SUM(OSRRefD22_3x_0)</f>
        <v>0</v>
      </c>
      <c r="E69" s="1"/>
      <c r="F69" s="5">
        <f t="shared" si="31"/>
        <v>0</v>
      </c>
      <c r="G69" s="1"/>
      <c r="H69" s="1">
        <f>SUM(OSRRefH22_3x_0)</f>
        <v>1661.77</v>
      </c>
      <c r="I69" s="1"/>
      <c r="J69" s="5">
        <f t="shared" si="32"/>
        <v>1.9377276008148449E-2</v>
      </c>
      <c r="K69" s="1"/>
      <c r="L69" s="1">
        <f t="shared" si="33"/>
        <v>-1661.77</v>
      </c>
      <c r="M69" s="1"/>
      <c r="N69" s="5">
        <f t="shared" si="34"/>
        <v>-1</v>
      </c>
      <c r="O69" s="13"/>
      <c r="P69" s="1">
        <f>SUM(OSRRefP22_3x_0)</f>
        <v>0</v>
      </c>
      <c r="Q69" s="1"/>
      <c r="R69" s="5">
        <f t="shared" si="35"/>
        <v>0</v>
      </c>
      <c r="S69" s="1"/>
      <c r="T69" s="1">
        <f>SUM(OSRRefT22_3x_0)</f>
        <v>7499.1</v>
      </c>
      <c r="U69" s="1"/>
      <c r="V69" s="5">
        <f t="shared" si="36"/>
        <v>2.2527132005100391E-2</v>
      </c>
      <c r="W69" s="1"/>
      <c r="X69" s="1">
        <f t="shared" si="37"/>
        <v>-7499.1</v>
      </c>
      <c r="Y69" s="1"/>
      <c r="Z69" s="5">
        <f t="shared" si="38"/>
        <v>-1</v>
      </c>
    </row>
    <row r="70" spans="1:26" s="24" customFormat="1" hidden="1" outlineLevel="2" x14ac:dyDescent="0.25">
      <c r="A70" s="25"/>
      <c r="B70" s="11" t="str">
        <f>CONCATENATE("          ", "6382", " - ", "DISCOUNTS/MARK DOWNS")</f>
        <v xml:space="preserve">          6382 - DISCOUNTS/MARK DOWNS</v>
      </c>
      <c r="C70" s="11"/>
      <c r="D70" s="6"/>
      <c r="E70" s="2"/>
      <c r="F70" s="7">
        <f t="shared" si="31"/>
        <v>0</v>
      </c>
      <c r="G70" s="2"/>
      <c r="H70" s="6">
        <v>1695.6</v>
      </c>
      <c r="I70" s="2"/>
      <c r="J70" s="7">
        <f t="shared" si="32"/>
        <v>1.9771754935650847E-2</v>
      </c>
      <c r="K70" s="2"/>
      <c r="L70" s="6">
        <f t="shared" si="33"/>
        <v>-1695.6</v>
      </c>
      <c r="M70" s="2"/>
      <c r="N70" s="7">
        <f t="shared" si="34"/>
        <v>-1</v>
      </c>
      <c r="O70" s="11"/>
      <c r="P70" s="6"/>
      <c r="Q70" s="2"/>
      <c r="R70" s="7">
        <f t="shared" si="35"/>
        <v>0</v>
      </c>
      <c r="S70" s="2"/>
      <c r="T70" s="6">
        <v>7532.93</v>
      </c>
      <c r="U70" s="2"/>
      <c r="V70" s="7">
        <f t="shared" si="36"/>
        <v>2.2628756583480802E-2</v>
      </c>
      <c r="W70" s="2"/>
      <c r="X70" s="6">
        <f t="shared" si="37"/>
        <v>-7532.93</v>
      </c>
      <c r="Y70" s="2"/>
      <c r="Z70" s="7">
        <f t="shared" si="38"/>
        <v>-1</v>
      </c>
    </row>
    <row r="71" spans="1:26" s="24" customFormat="1" hidden="1" outlineLevel="2" x14ac:dyDescent="0.25">
      <c r="A71" s="25"/>
      <c r="B71" s="11" t="str">
        <f>CONCATENATE("          ", "9175", " - ", "EARNED DISCOUNTS")</f>
        <v xml:space="preserve">          9175 - EARNED DISCOUNTS</v>
      </c>
      <c r="C71" s="11"/>
      <c r="D71" s="6"/>
      <c r="E71" s="2"/>
      <c r="F71" s="7">
        <f t="shared" si="31"/>
        <v>0</v>
      </c>
      <c r="G71" s="2"/>
      <c r="H71" s="6">
        <v>-33.83</v>
      </c>
      <c r="I71" s="2"/>
      <c r="J71" s="7">
        <f t="shared" si="32"/>
        <v>-3.9447892750239924E-4</v>
      </c>
      <c r="K71" s="2"/>
      <c r="L71" s="6">
        <f t="shared" si="33"/>
        <v>33.83</v>
      </c>
      <c r="M71" s="2"/>
      <c r="N71" s="7">
        <f t="shared" si="34"/>
        <v>-1</v>
      </c>
      <c r="O71" s="11"/>
      <c r="P71" s="6"/>
      <c r="Q71" s="2"/>
      <c r="R71" s="7">
        <f t="shared" si="35"/>
        <v>0</v>
      </c>
      <c r="S71" s="2"/>
      <c r="T71" s="6">
        <v>-33.83</v>
      </c>
      <c r="U71" s="2"/>
      <c r="V71" s="7">
        <f t="shared" si="36"/>
        <v>-1.0162457838041179E-4</v>
      </c>
      <c r="W71" s="2"/>
      <c r="X71" s="6">
        <f t="shared" si="37"/>
        <v>33.83</v>
      </c>
      <c r="Y71" s="2"/>
      <c r="Z71" s="7">
        <f t="shared" si="38"/>
        <v>-1</v>
      </c>
    </row>
    <row r="72" spans="1:26" s="26" customFormat="1" outlineLevel="1" collapsed="1" x14ac:dyDescent="0.25">
      <c r="A72" s="27"/>
      <c r="B72" s="13" t="str">
        <f>CONCATENATE("     ","Freight out/Postage                               ")</f>
        <v xml:space="preserve">     Freight out/Postage                               </v>
      </c>
      <c r="C72" s="13"/>
      <c r="D72" s="1">
        <f>SUM(OSRRefD22_4x_0)</f>
        <v>0</v>
      </c>
      <c r="E72" s="1"/>
      <c r="F72" s="5">
        <f t="shared" ref="F72:F79" si="39">IF(D$12=0,0,D72/D$12)</f>
        <v>0</v>
      </c>
      <c r="G72" s="1"/>
      <c r="H72" s="1">
        <f>SUM(OSRRefH22_4x_0)</f>
        <v>0</v>
      </c>
      <c r="I72" s="1"/>
      <c r="J72" s="5">
        <f t="shared" ref="J72:J79" si="40">IF(H$12=0,0,H72/H$12)</f>
        <v>0</v>
      </c>
      <c r="K72" s="1"/>
      <c r="L72" s="1">
        <f t="shared" ref="L72:L79" si="41">+D72-H72</f>
        <v>0</v>
      </c>
      <c r="M72" s="1"/>
      <c r="N72" s="5">
        <f t="shared" ref="N72:N79" si="42">IF(H72=0,0,L72/H72)</f>
        <v>0</v>
      </c>
      <c r="O72" s="13"/>
      <c r="P72" s="1">
        <f>SUM(OSRRefP22_4x_0)</f>
        <v>0</v>
      </c>
      <c r="Q72" s="1"/>
      <c r="R72" s="5">
        <f t="shared" ref="R72:R79" si="43">IF(P$12=0,0,P72/P$12)</f>
        <v>0</v>
      </c>
      <c r="S72" s="1"/>
      <c r="T72" s="1">
        <f>SUM(OSRRefT22_4x_0)</f>
        <v>15.81</v>
      </c>
      <c r="U72" s="1"/>
      <c r="V72" s="5">
        <f t="shared" ref="V72:V79" si="44">IF(T$12=0,0,T72/T$12)</f>
        <v>4.7492893413961293E-5</v>
      </c>
      <c r="W72" s="1"/>
      <c r="X72" s="1">
        <f t="shared" ref="X72:X79" si="45">+P72-T72</f>
        <v>-15.81</v>
      </c>
      <c r="Y72" s="1"/>
      <c r="Z72" s="5">
        <f t="shared" ref="Z72:Z79" si="46">IF(T72=0,0,X72/T72)</f>
        <v>-1</v>
      </c>
    </row>
    <row r="73" spans="1:26" s="24" customFormat="1" hidden="1" outlineLevel="2" x14ac:dyDescent="0.25">
      <c r="A73" s="25"/>
      <c r="B73" s="11" t="str">
        <f>CONCATENATE("          ", "6305", " - ", "FREIGHT OUT")</f>
        <v xml:space="preserve">          6305 - FREIGHT OUT</v>
      </c>
      <c r="C73" s="11"/>
      <c r="D73" s="6"/>
      <c r="E73" s="2"/>
      <c r="F73" s="7">
        <f t="shared" si="39"/>
        <v>0</v>
      </c>
      <c r="G73" s="2"/>
      <c r="H73" s="6"/>
      <c r="I73" s="2"/>
      <c r="J73" s="7">
        <f t="shared" si="40"/>
        <v>0</v>
      </c>
      <c r="K73" s="2"/>
      <c r="L73" s="6">
        <f t="shared" si="41"/>
        <v>0</v>
      </c>
      <c r="M73" s="2"/>
      <c r="N73" s="7">
        <f t="shared" si="42"/>
        <v>0</v>
      </c>
      <c r="O73" s="11"/>
      <c r="P73" s="6"/>
      <c r="Q73" s="2"/>
      <c r="R73" s="7">
        <f t="shared" si="43"/>
        <v>0</v>
      </c>
      <c r="S73" s="2"/>
      <c r="T73" s="6">
        <v>15.81</v>
      </c>
      <c r="U73" s="2"/>
      <c r="V73" s="7">
        <f t="shared" si="44"/>
        <v>4.7492893413961293E-5</v>
      </c>
      <c r="W73" s="2"/>
      <c r="X73" s="6">
        <f t="shared" si="45"/>
        <v>-15.81</v>
      </c>
      <c r="Y73" s="2"/>
      <c r="Z73" s="7">
        <f t="shared" si="46"/>
        <v>-1</v>
      </c>
    </row>
    <row r="74" spans="1:26" s="26" customFormat="1" outlineLevel="1" collapsed="1" x14ac:dyDescent="0.25">
      <c r="A74" s="27"/>
      <c r="B74" s="13" t="str">
        <f>CONCATENATE("     ","Subscriptions &amp; Dues                              ")</f>
        <v xml:space="preserve">     Subscriptions &amp; Dues                              </v>
      </c>
      <c r="C74" s="13"/>
      <c r="D74" s="1">
        <f>SUM(OSRRefD22_5x_0)</f>
        <v>0</v>
      </c>
      <c r="E74" s="1"/>
      <c r="F74" s="5">
        <f t="shared" si="39"/>
        <v>0</v>
      </c>
      <c r="G74" s="1"/>
      <c r="H74" s="1">
        <f>SUM(OSRRefH22_5x_0)</f>
        <v>0</v>
      </c>
      <c r="I74" s="1"/>
      <c r="J74" s="5">
        <f t="shared" si="40"/>
        <v>0</v>
      </c>
      <c r="K74" s="1"/>
      <c r="L74" s="1">
        <f t="shared" si="41"/>
        <v>0</v>
      </c>
      <c r="M74" s="1"/>
      <c r="N74" s="5">
        <f t="shared" si="42"/>
        <v>0</v>
      </c>
      <c r="O74" s="13"/>
      <c r="P74" s="1">
        <f>SUM(OSRRefP22_5x_0)</f>
        <v>0</v>
      </c>
      <c r="Q74" s="1"/>
      <c r="R74" s="5">
        <f t="shared" si="43"/>
        <v>0</v>
      </c>
      <c r="S74" s="1"/>
      <c r="T74" s="1">
        <f>SUM(OSRRefT22_5x_0)</f>
        <v>120</v>
      </c>
      <c r="U74" s="1"/>
      <c r="V74" s="5">
        <f t="shared" si="44"/>
        <v>3.6047736936593015E-4</v>
      </c>
      <c r="W74" s="1"/>
      <c r="X74" s="1">
        <f t="shared" si="45"/>
        <v>-120</v>
      </c>
      <c r="Y74" s="1"/>
      <c r="Z74" s="5">
        <f t="shared" si="46"/>
        <v>-1</v>
      </c>
    </row>
    <row r="75" spans="1:26" s="24" customFormat="1" hidden="1" outlineLevel="2" x14ac:dyDescent="0.25">
      <c r="A75" s="25"/>
      <c r="B75" s="11" t="str">
        <f>CONCATENATE("          ", "6258", " - ", "MEMBERSHIP DUES")</f>
        <v xml:space="preserve">          6258 - MEMBERSHIP DUES</v>
      </c>
      <c r="C75" s="11"/>
      <c r="D75" s="6"/>
      <c r="E75" s="2"/>
      <c r="F75" s="7">
        <f t="shared" si="39"/>
        <v>0</v>
      </c>
      <c r="G75" s="2"/>
      <c r="H75" s="6"/>
      <c r="I75" s="2"/>
      <c r="J75" s="7">
        <f t="shared" si="40"/>
        <v>0</v>
      </c>
      <c r="K75" s="2"/>
      <c r="L75" s="6">
        <f t="shared" si="41"/>
        <v>0</v>
      </c>
      <c r="M75" s="2"/>
      <c r="N75" s="7">
        <f t="shared" si="42"/>
        <v>0</v>
      </c>
      <c r="O75" s="11"/>
      <c r="P75" s="6"/>
      <c r="Q75" s="2"/>
      <c r="R75" s="7">
        <f t="shared" si="43"/>
        <v>0</v>
      </c>
      <c r="S75" s="2"/>
      <c r="T75" s="6">
        <v>120</v>
      </c>
      <c r="U75" s="2"/>
      <c r="V75" s="7">
        <f t="shared" si="44"/>
        <v>3.6047736936593015E-4</v>
      </c>
      <c r="W75" s="2"/>
      <c r="X75" s="6">
        <f t="shared" si="45"/>
        <v>-120</v>
      </c>
      <c r="Y75" s="2"/>
      <c r="Z75" s="7">
        <f t="shared" si="46"/>
        <v>-1</v>
      </c>
    </row>
    <row r="76" spans="1:26" s="26" customFormat="1" outlineLevel="1" collapsed="1" x14ac:dyDescent="0.25">
      <c r="A76" s="27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SUM(OSRRefD22_6x_0)</f>
        <v>0</v>
      </c>
      <c r="E76" s="1"/>
      <c r="F76" s="5">
        <f t="shared" si="39"/>
        <v>0</v>
      </c>
      <c r="G76" s="1"/>
      <c r="H76" s="1">
        <f>SUM(OSRRefH22_6x_0)</f>
        <v>4.4000000000000004</v>
      </c>
      <c r="I76" s="1"/>
      <c r="J76" s="5">
        <f t="shared" si="40"/>
        <v>5.1306747886803336E-5</v>
      </c>
      <c r="K76" s="1"/>
      <c r="L76" s="1">
        <f t="shared" si="41"/>
        <v>-4.4000000000000004</v>
      </c>
      <c r="M76" s="1"/>
      <c r="N76" s="5">
        <f t="shared" si="42"/>
        <v>-1</v>
      </c>
      <c r="O76" s="13"/>
      <c r="P76" s="1">
        <f>SUM(OSRRefP22_6x_0)</f>
        <v>0</v>
      </c>
      <c r="Q76" s="1"/>
      <c r="R76" s="5">
        <f t="shared" si="43"/>
        <v>0</v>
      </c>
      <c r="S76" s="1"/>
      <c r="T76" s="1">
        <f>SUM(OSRRefT22_6x_0)</f>
        <v>246.24</v>
      </c>
      <c r="U76" s="1"/>
      <c r="V76" s="5">
        <f t="shared" si="44"/>
        <v>7.3969956193888867E-4</v>
      </c>
      <c r="W76" s="1"/>
      <c r="X76" s="1">
        <f t="shared" si="45"/>
        <v>-246.24</v>
      </c>
      <c r="Y76" s="1"/>
      <c r="Z76" s="5">
        <f t="shared" si="46"/>
        <v>-1</v>
      </c>
    </row>
    <row r="77" spans="1:26" s="24" customFormat="1" hidden="1" outlineLevel="2" x14ac:dyDescent="0.25">
      <c r="A77" s="25"/>
      <c r="B77" s="11" t="str">
        <f>CONCATENATE("          ", "6241", " - ", "OFFICE EXPENSE")</f>
        <v xml:space="preserve">          6241 - OFFICE EXPENSE</v>
      </c>
      <c r="C77" s="11"/>
      <c r="D77" s="6"/>
      <c r="E77" s="2"/>
      <c r="F77" s="7">
        <f t="shared" si="39"/>
        <v>0</v>
      </c>
      <c r="G77" s="2"/>
      <c r="H77" s="6">
        <v>4.4000000000000004</v>
      </c>
      <c r="I77" s="2"/>
      <c r="J77" s="7">
        <f t="shared" si="40"/>
        <v>5.1306747886803336E-5</v>
      </c>
      <c r="K77" s="2"/>
      <c r="L77" s="6">
        <f t="shared" si="41"/>
        <v>-4.4000000000000004</v>
      </c>
      <c r="M77" s="2"/>
      <c r="N77" s="7">
        <f t="shared" si="42"/>
        <v>-1</v>
      </c>
      <c r="O77" s="11"/>
      <c r="P77" s="6"/>
      <c r="Q77" s="2"/>
      <c r="R77" s="7">
        <f t="shared" si="43"/>
        <v>0</v>
      </c>
      <c r="S77" s="2"/>
      <c r="T77" s="6">
        <v>246.24</v>
      </c>
      <c r="U77" s="2"/>
      <c r="V77" s="7">
        <f t="shared" si="44"/>
        <v>7.3969956193888867E-4</v>
      </c>
      <c r="W77" s="2"/>
      <c r="X77" s="6">
        <f t="shared" si="45"/>
        <v>-246.24</v>
      </c>
      <c r="Y77" s="2"/>
      <c r="Z77" s="7">
        <f t="shared" si="46"/>
        <v>-1</v>
      </c>
    </row>
    <row r="78" spans="1:26" s="26" customFormat="1" outlineLevel="1" collapsed="1" x14ac:dyDescent="0.25">
      <c r="A78" s="27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SUM(OSRRefD22_7x_0)</f>
        <v>0</v>
      </c>
      <c r="E78" s="1"/>
      <c r="F78" s="5">
        <f t="shared" si="39"/>
        <v>0</v>
      </c>
      <c r="G78" s="1"/>
      <c r="H78" s="1">
        <f>SUM(OSRRefH22_7x_0)</f>
        <v>0</v>
      </c>
      <c r="I78" s="1"/>
      <c r="J78" s="5">
        <f t="shared" si="40"/>
        <v>0</v>
      </c>
      <c r="K78" s="1"/>
      <c r="L78" s="1">
        <f t="shared" si="41"/>
        <v>0</v>
      </c>
      <c r="M78" s="1"/>
      <c r="N78" s="5">
        <f t="shared" si="42"/>
        <v>0</v>
      </c>
      <c r="O78" s="13"/>
      <c r="P78" s="1">
        <f>SUM(OSRRefP22_7x_0)</f>
        <v>0</v>
      </c>
      <c r="Q78" s="1"/>
      <c r="R78" s="5">
        <f t="shared" si="43"/>
        <v>0</v>
      </c>
      <c r="S78" s="1"/>
      <c r="T78" s="1">
        <f>SUM(OSRRefT22_7x_0)</f>
        <v>-323.01</v>
      </c>
      <c r="U78" s="1"/>
      <c r="V78" s="5">
        <f t="shared" si="44"/>
        <v>-9.703149589907424E-4</v>
      </c>
      <c r="W78" s="1"/>
      <c r="X78" s="1">
        <f t="shared" si="45"/>
        <v>323.01</v>
      </c>
      <c r="Y78" s="1"/>
      <c r="Z78" s="5">
        <f t="shared" si="46"/>
        <v>-1</v>
      </c>
    </row>
    <row r="79" spans="1:26" s="24" customFormat="1" hidden="1" outlineLevel="2" x14ac:dyDescent="0.25">
      <c r="A79" s="25"/>
      <c r="B79" s="11" t="str">
        <f>CONCATENATE("          ", "6292", " - ", "TRAVEL/CONFERENCE")</f>
        <v xml:space="preserve">          6292 - TRAVEL/CONFERENCE</v>
      </c>
      <c r="C79" s="11"/>
      <c r="D79" s="6"/>
      <c r="E79" s="2"/>
      <c r="F79" s="7">
        <f t="shared" si="39"/>
        <v>0</v>
      </c>
      <c r="G79" s="2"/>
      <c r="H79" s="6"/>
      <c r="I79" s="2"/>
      <c r="J79" s="7">
        <f t="shared" si="40"/>
        <v>0</v>
      </c>
      <c r="K79" s="2"/>
      <c r="L79" s="6">
        <f t="shared" si="41"/>
        <v>0</v>
      </c>
      <c r="M79" s="2"/>
      <c r="N79" s="7">
        <f t="shared" si="42"/>
        <v>0</v>
      </c>
      <c r="O79" s="11"/>
      <c r="P79" s="6"/>
      <c r="Q79" s="2"/>
      <c r="R79" s="7">
        <f t="shared" si="43"/>
        <v>0</v>
      </c>
      <c r="S79" s="2"/>
      <c r="T79" s="6">
        <v>-323.01</v>
      </c>
      <c r="U79" s="2"/>
      <c r="V79" s="7">
        <f t="shared" si="44"/>
        <v>-9.703149589907424E-4</v>
      </c>
      <c r="W79" s="2"/>
      <c r="X79" s="6">
        <f t="shared" si="45"/>
        <v>323.01</v>
      </c>
      <c r="Y79" s="2"/>
      <c r="Z79" s="7">
        <f t="shared" si="46"/>
        <v>-1</v>
      </c>
    </row>
    <row r="80" spans="1:26" s="61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9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8" t="s">
        <v>3</v>
      </c>
      <c r="C83" s="28"/>
      <c r="D83" s="20">
        <f>+D51-D53+D81</f>
        <v>0</v>
      </c>
      <c r="E83" s="14"/>
      <c r="F83" s="22">
        <f>IF(D$12=0,0,D83/D$12)</f>
        <v>0</v>
      </c>
      <c r="G83" s="14"/>
      <c r="H83" s="20">
        <f>+H51-H53+H81</f>
        <v>29737.23999999998</v>
      </c>
      <c r="I83" s="14"/>
      <c r="J83" s="22">
        <f>IF(H$12=0,0,H83/H$12)</f>
        <v>0.34675478989303693</v>
      </c>
      <c r="K83" s="15"/>
      <c r="L83" s="20">
        <f>+D83-H83</f>
        <v>-29737.23999999998</v>
      </c>
      <c r="M83" s="15"/>
      <c r="N83" s="22">
        <f>IF(H83=0,0,L83/H83)</f>
        <v>-1</v>
      </c>
      <c r="O83" s="29"/>
      <c r="P83" s="20">
        <f>+P51-P53+P81</f>
        <v>0</v>
      </c>
      <c r="Q83" s="14"/>
      <c r="R83" s="22">
        <f>IF(P$12=0,0,P83/P$12)</f>
        <v>0</v>
      </c>
      <c r="S83" s="14"/>
      <c r="T83" s="20">
        <f>+T51-T53+T81</f>
        <v>101884.93000000004</v>
      </c>
      <c r="U83" s="14"/>
      <c r="V83" s="22">
        <f>IF(T$12=0,0,T83/T$12)</f>
        <v>0.30606009620359959</v>
      </c>
      <c r="W83" s="15"/>
      <c r="X83" s="20">
        <f>+P83-T83</f>
        <v>-101884.93000000004</v>
      </c>
      <c r="Y83" s="15"/>
      <c r="Z83" s="22">
        <f>IF(T83=0,0,X83/T83)</f>
        <v>-1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/>
      <c r="E85" s="4"/>
      <c r="F85" s="12">
        <f>IF(D$12=0,0,D85/D$12)</f>
        <v>0</v>
      </c>
      <c r="G85" s="4"/>
      <c r="H85" s="4">
        <v>8023.62</v>
      </c>
      <c r="I85" s="4"/>
      <c r="J85" s="12">
        <f>IF(H$12=0,0,H85/H$12)</f>
        <v>9.3560420108980219E-2</v>
      </c>
      <c r="K85" s="4"/>
      <c r="L85" s="4">
        <f>+D85-H85</f>
        <v>-8023.62</v>
      </c>
      <c r="M85" s="4"/>
      <c r="N85" s="12">
        <f>IF(H85=0,0,L85/H85)</f>
        <v>-1</v>
      </c>
      <c r="O85" s="10"/>
      <c r="P85" s="4"/>
      <c r="Q85" s="4"/>
      <c r="R85" s="12">
        <f>IF(P$12=0,0,P85/P$12)</f>
        <v>0</v>
      </c>
      <c r="S85" s="4"/>
      <c r="T85" s="4">
        <v>34715.910000000003</v>
      </c>
      <c r="U85" s="4"/>
      <c r="V85" s="12">
        <f>IF(T$12=0,0,T85/T$12)</f>
        <v>0.10428583259953657</v>
      </c>
      <c r="W85" s="4"/>
      <c r="X85" s="4">
        <f>+P85-T85</f>
        <v>-34715.910000000003</v>
      </c>
      <c r="Y85" s="4"/>
      <c r="Z85" s="12">
        <f>IF(T85=0,0,X85/T85)</f>
        <v>-1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4</v>
      </c>
      <c r="C87" s="28"/>
      <c r="D87" s="30">
        <f>+D83-D85</f>
        <v>0</v>
      </c>
      <c r="E87" s="14"/>
      <c r="F87" s="36">
        <f>IF(D$12=0,0,D87/D$12)</f>
        <v>0</v>
      </c>
      <c r="G87" s="14"/>
      <c r="H87" s="30">
        <f>+H83-H85</f>
        <v>21713.619999999981</v>
      </c>
      <c r="I87" s="14"/>
      <c r="J87" s="36">
        <f>IF(H$12=0,0,H87/H$12)</f>
        <v>0.25319436978405674</v>
      </c>
      <c r="K87" s="15"/>
      <c r="L87" s="30">
        <f>D87-H87</f>
        <v>-21713.619999999981</v>
      </c>
      <c r="M87" s="15"/>
      <c r="N87" s="36">
        <f>IF(H87=0,0,L87/H87)</f>
        <v>-1</v>
      </c>
      <c r="O87" s="29"/>
      <c r="P87" s="30">
        <f>+P83-P85</f>
        <v>0</v>
      </c>
      <c r="Q87" s="14"/>
      <c r="R87" s="36">
        <f>IF(P$12=0,0,P87/P$12)</f>
        <v>0</v>
      </c>
      <c r="S87" s="14"/>
      <c r="T87" s="30">
        <f>+T83-T85</f>
        <v>67169.020000000033</v>
      </c>
      <c r="U87" s="14"/>
      <c r="V87" s="36">
        <f>IF(T$12=0,0,T87/T$12)</f>
        <v>0.201774263604063</v>
      </c>
      <c r="W87" s="15"/>
      <c r="X87" s="30">
        <f>P87-T87</f>
        <v>-67169.020000000033</v>
      </c>
      <c r="Y87" s="15"/>
      <c r="Z87" s="36">
        <f>IF(T87=0,0,X87/T87)</f>
        <v>-1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5</v>
      </c>
      <c r="C90" s="28"/>
      <c r="D90" s="32">
        <f>SUM(D87:D89)</f>
        <v>0</v>
      </c>
      <c r="E90" s="14"/>
      <c r="F90" s="31">
        <f>IF(D$12=0,0,D90/D$12)</f>
        <v>0</v>
      </c>
      <c r="G90" s="14"/>
      <c r="H90" s="32">
        <f>SUM(H87:H89)</f>
        <v>21713.619999999981</v>
      </c>
      <c r="I90" s="14"/>
      <c r="J90" s="31">
        <f>IF(H$12=0,0,H90/H$12)</f>
        <v>0.25319436978405674</v>
      </c>
      <c r="K90" s="15"/>
      <c r="L90" s="32">
        <f>+D90-H90</f>
        <v>-21713.619999999981</v>
      </c>
      <c r="M90" s="15"/>
      <c r="N90" s="31">
        <f>IF(H90=0,0,L90/H90)</f>
        <v>-1</v>
      </c>
      <c r="O90" s="29"/>
      <c r="P90" s="32">
        <f>SUM(P87:P89)</f>
        <v>0</v>
      </c>
      <c r="Q90" s="14"/>
      <c r="R90" s="31">
        <f>IF(P$12=0,0,P90/P$12)</f>
        <v>0</v>
      </c>
      <c r="S90" s="14"/>
      <c r="T90" s="32">
        <f>SUM(T87:T89)</f>
        <v>67169.020000000033</v>
      </c>
      <c r="U90" s="14"/>
      <c r="V90" s="31">
        <f>IF(T$12=0,0,T90/T$12)</f>
        <v>0.201774263604063</v>
      </c>
      <c r="W90" s="15"/>
      <c r="X90" s="32">
        <f>+P90-T90</f>
        <v>-67169.020000000033</v>
      </c>
      <c r="Y90" s="15"/>
      <c r="Z90" s="31">
        <f>IF(T90=0,0,X90/T90)</f>
        <v>-1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62">
        <v>44238.496232986108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9" t="s">
        <v>313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6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988954.85000000009</v>
      </c>
      <c r="E12" s="4"/>
      <c r="F12" s="12"/>
      <c r="G12" s="4"/>
      <c r="H12" s="4">
        <f>SUM(OSRRefH13x_0)</f>
        <v>1673067.7800000003</v>
      </c>
      <c r="I12" s="4"/>
      <c r="J12" s="12"/>
      <c r="K12" s="4"/>
      <c r="L12" s="4">
        <f t="shared" ref="L12:L41" si="0">+D12-H12</f>
        <v>-684112.93000000017</v>
      </c>
      <c r="M12" s="4"/>
      <c r="N12" s="12">
        <f t="shared" ref="N12:N41" si="1">IF(H12=0,0,L12/H12)</f>
        <v>-0.40889731915105082</v>
      </c>
      <c r="O12" s="10"/>
      <c r="P12" s="4">
        <f>SUM(OSRRefP13x_0)</f>
        <v>2560907.3199999994</v>
      </c>
      <c r="Q12" s="4"/>
      <c r="R12" s="12"/>
      <c r="S12" s="4"/>
      <c r="T12" s="4">
        <f>SUM(OSRRefT13x_0)</f>
        <v>4613321.6999999983</v>
      </c>
      <c r="U12" s="4"/>
      <c r="V12" s="12"/>
      <c r="W12" s="4"/>
      <c r="X12" s="4">
        <f t="shared" ref="X12:X41" si="2">+P12-T12</f>
        <v>-2052414.379999999</v>
      </c>
      <c r="Y12" s="4"/>
      <c r="Z12" s="12">
        <f t="shared" ref="Z12:Z41" si="3">IF(T12=0,0,X12/T12)</f>
        <v>-0.44488863198072653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-835.3</f>
        <v>-835.3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-835.3</v>
      </c>
      <c r="M13" s="2"/>
      <c r="N13" s="19">
        <f t="shared" si="1"/>
        <v>0</v>
      </c>
      <c r="O13" s="11"/>
      <c r="P13" s="2">
        <f>-7761.03</f>
        <v>-7761.03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-7761.03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--459430.32</f>
        <v>459430.32</v>
      </c>
      <c r="E14" s="2"/>
      <c r="F14" s="19"/>
      <c r="G14" s="2"/>
      <c r="H14" s="2">
        <f>--745942.38</f>
        <v>745942.38</v>
      </c>
      <c r="I14" s="2"/>
      <c r="J14" s="19"/>
      <c r="K14" s="2"/>
      <c r="L14" s="2">
        <f t="shared" si="0"/>
        <v>-286512.06</v>
      </c>
      <c r="M14" s="2"/>
      <c r="N14" s="19">
        <f t="shared" si="1"/>
        <v>-0.38409409048457605</v>
      </c>
      <c r="O14" s="11"/>
      <c r="P14" s="2">
        <f>--1190096.34</f>
        <v>1190096.3400000001</v>
      </c>
      <c r="Q14" s="2"/>
      <c r="R14" s="19"/>
      <c r="S14" s="2"/>
      <c r="T14" s="2">
        <f>--2285976.76</f>
        <v>2285976.7599999998</v>
      </c>
      <c r="U14" s="2"/>
      <c r="V14" s="19"/>
      <c r="W14" s="2"/>
      <c r="X14" s="2">
        <f t="shared" si="2"/>
        <v>-1095880.4199999997</v>
      </c>
      <c r="Y14" s="2"/>
      <c r="Z14" s="19">
        <f t="shared" si="3"/>
        <v>-0.47939263389536813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--238947.44</f>
        <v>238947.44</v>
      </c>
      <c r="E15" s="2"/>
      <c r="F15" s="19"/>
      <c r="G15" s="2"/>
      <c r="H15" s="2">
        <f>--512319.44</f>
        <v>512319.44</v>
      </c>
      <c r="I15" s="2"/>
      <c r="J15" s="19"/>
      <c r="K15" s="2"/>
      <c r="L15" s="2">
        <f t="shared" si="0"/>
        <v>-273372</v>
      </c>
      <c r="M15" s="2"/>
      <c r="N15" s="19">
        <f t="shared" si="1"/>
        <v>-0.53359677313825915</v>
      </c>
      <c r="O15" s="11"/>
      <c r="P15" s="2">
        <f>--562401.5</f>
        <v>562401.5</v>
      </c>
      <c r="Q15" s="2"/>
      <c r="R15" s="19"/>
      <c r="S15" s="2"/>
      <c r="T15" s="2">
        <f>--1193414.41</f>
        <v>1193414.4099999999</v>
      </c>
      <c r="U15" s="2"/>
      <c r="V15" s="19"/>
      <c r="W15" s="2"/>
      <c r="X15" s="2">
        <f t="shared" si="2"/>
        <v>-631012.90999999992</v>
      </c>
      <c r="Y15" s="2"/>
      <c r="Z15" s="19">
        <f t="shared" si="3"/>
        <v>-0.52874584445481931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--7222.26</f>
        <v>7222.26</v>
      </c>
      <c r="E16" s="2"/>
      <c r="F16" s="19"/>
      <c r="G16" s="2"/>
      <c r="H16" s="2">
        <f>--15841.34</f>
        <v>15841.34</v>
      </c>
      <c r="I16" s="2"/>
      <c r="J16" s="19"/>
      <c r="K16" s="2"/>
      <c r="L16" s="2">
        <f t="shared" si="0"/>
        <v>-8619.08</v>
      </c>
      <c r="M16" s="2"/>
      <c r="N16" s="19">
        <f t="shared" si="1"/>
        <v>-0.54408781075338319</v>
      </c>
      <c r="O16" s="11"/>
      <c r="P16" s="2">
        <f>--17887.89</f>
        <v>17887.89</v>
      </c>
      <c r="Q16" s="2"/>
      <c r="R16" s="19"/>
      <c r="S16" s="2"/>
      <c r="T16" s="2">
        <f>--32272.01</f>
        <v>32272.01</v>
      </c>
      <c r="U16" s="2"/>
      <c r="V16" s="19"/>
      <c r="W16" s="2"/>
      <c r="X16" s="2">
        <f t="shared" si="2"/>
        <v>-14384.119999999999</v>
      </c>
      <c r="Y16" s="2"/>
      <c r="Z16" s="19">
        <f t="shared" si="3"/>
        <v>-0.44571503293411224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--200.1</f>
        <v>200.1</v>
      </c>
      <c r="E17" s="2"/>
      <c r="F17" s="19"/>
      <c r="G17" s="2"/>
      <c r="H17" s="2">
        <f>--10921.53</f>
        <v>10921.53</v>
      </c>
      <c r="I17" s="2"/>
      <c r="J17" s="19"/>
      <c r="K17" s="2"/>
      <c r="L17" s="2">
        <f t="shared" si="0"/>
        <v>-10721.43</v>
      </c>
      <c r="M17" s="2"/>
      <c r="N17" s="19">
        <f t="shared" si="1"/>
        <v>-0.98167839121441769</v>
      </c>
      <c r="O17" s="11"/>
      <c r="P17" s="2">
        <f>--2659.66</f>
        <v>2659.66</v>
      </c>
      <c r="Q17" s="2"/>
      <c r="R17" s="19"/>
      <c r="S17" s="2"/>
      <c r="T17" s="2">
        <f>--41201.41</f>
        <v>41201.410000000003</v>
      </c>
      <c r="U17" s="2"/>
      <c r="V17" s="19"/>
      <c r="W17" s="2"/>
      <c r="X17" s="2">
        <f t="shared" si="2"/>
        <v>-38541.75</v>
      </c>
      <c r="Y17" s="2"/>
      <c r="Z17" s="19">
        <f t="shared" si="3"/>
        <v>-0.93544735483567176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--13.22</f>
        <v>13.22</v>
      </c>
      <c r="U18" s="2"/>
      <c r="V18" s="19"/>
      <c r="W18" s="2"/>
      <c r="X18" s="2">
        <f t="shared" si="2"/>
        <v>-13.22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--346.55</f>
        <v>346.55</v>
      </c>
      <c r="E19" s="2"/>
      <c r="F19" s="19"/>
      <c r="G19" s="2"/>
      <c r="H19" s="2">
        <f>--229.57</f>
        <v>229.57</v>
      </c>
      <c r="I19" s="2"/>
      <c r="J19" s="19"/>
      <c r="K19" s="2"/>
      <c r="L19" s="2">
        <f t="shared" si="0"/>
        <v>116.98000000000002</v>
      </c>
      <c r="M19" s="2"/>
      <c r="N19" s="19">
        <f t="shared" si="1"/>
        <v>0.50956135383543155</v>
      </c>
      <c r="O19" s="11"/>
      <c r="P19" s="2">
        <f>--930.52</f>
        <v>930.52</v>
      </c>
      <c r="Q19" s="2"/>
      <c r="R19" s="19"/>
      <c r="S19" s="2"/>
      <c r="T19" s="2">
        <f>--1509.89</f>
        <v>1509.89</v>
      </c>
      <c r="U19" s="2"/>
      <c r="V19" s="19"/>
      <c r="W19" s="2"/>
      <c r="X19" s="2">
        <f t="shared" si="2"/>
        <v>-579.37000000000012</v>
      </c>
      <c r="Y19" s="2"/>
      <c r="Z19" s="19">
        <f t="shared" si="3"/>
        <v>-0.38371669459364594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--3.98</f>
        <v>3.98</v>
      </c>
      <c r="E20" s="2"/>
      <c r="F20" s="19"/>
      <c r="G20" s="2"/>
      <c r="H20" s="2">
        <f>--107.48</f>
        <v>107.48</v>
      </c>
      <c r="I20" s="2"/>
      <c r="J20" s="19"/>
      <c r="K20" s="2"/>
      <c r="L20" s="2">
        <f t="shared" si="0"/>
        <v>-103.5</v>
      </c>
      <c r="M20" s="2"/>
      <c r="N20" s="19">
        <f t="shared" si="1"/>
        <v>-0.96296985485671749</v>
      </c>
      <c r="O20" s="11"/>
      <c r="P20" s="2">
        <f>--380.04</f>
        <v>380.04</v>
      </c>
      <c r="Q20" s="2"/>
      <c r="R20" s="19"/>
      <c r="S20" s="2"/>
      <c r="T20" s="2">
        <f>--1100.17</f>
        <v>1100.17</v>
      </c>
      <c r="U20" s="2"/>
      <c r="V20" s="19"/>
      <c r="W20" s="2"/>
      <c r="X20" s="2">
        <f t="shared" si="2"/>
        <v>-720.13000000000011</v>
      </c>
      <c r="Y20" s="2"/>
      <c r="Z20" s="19">
        <f t="shared" si="3"/>
        <v>-0.65456247670814516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--100.3</f>
        <v>100.3</v>
      </c>
      <c r="E21" s="2"/>
      <c r="F21" s="19"/>
      <c r="G21" s="2"/>
      <c r="H21" s="2">
        <f>--737.51</f>
        <v>737.51</v>
      </c>
      <c r="I21" s="2"/>
      <c r="J21" s="19"/>
      <c r="K21" s="2"/>
      <c r="L21" s="2">
        <f t="shared" si="0"/>
        <v>-637.21</v>
      </c>
      <c r="M21" s="2"/>
      <c r="N21" s="19">
        <f t="shared" si="1"/>
        <v>-0.86400184404279268</v>
      </c>
      <c r="O21" s="11"/>
      <c r="P21" s="2">
        <f>--291.14</f>
        <v>291.14</v>
      </c>
      <c r="Q21" s="2"/>
      <c r="R21" s="19"/>
      <c r="S21" s="2"/>
      <c r="T21" s="2">
        <f>--3627.9</f>
        <v>3627.9</v>
      </c>
      <c r="U21" s="2"/>
      <c r="V21" s="19"/>
      <c r="W21" s="2"/>
      <c r="X21" s="2">
        <f t="shared" si="2"/>
        <v>-3336.76</v>
      </c>
      <c r="Y21" s="2"/>
      <c r="Z21" s="19">
        <f t="shared" si="3"/>
        <v>-0.91974971746740541</v>
      </c>
    </row>
    <row r="22" spans="1:26" s="24" customFormat="1" hidden="1" outlineLevel="1" x14ac:dyDescent="0.25">
      <c r="A22" s="44"/>
      <c r="B22" s="11" t="str">
        <f>CONCATENATE("          ", "4100", " - ", "NON-TAXABLE SALES")</f>
        <v xml:space="preserve">          4100 - NON-TAXABLE SALES</v>
      </c>
      <c r="C22" s="11"/>
      <c r="D22" s="2">
        <f>--112968.19</f>
        <v>112968.19</v>
      </c>
      <c r="E22" s="2"/>
      <c r="F22" s="19"/>
      <c r="G22" s="2"/>
      <c r="H22" s="2">
        <f>--214291.61</f>
        <v>214291.61</v>
      </c>
      <c r="I22" s="2"/>
      <c r="J22" s="19"/>
      <c r="K22" s="2"/>
      <c r="L22" s="2">
        <f t="shared" si="0"/>
        <v>-101323.41999999998</v>
      </c>
      <c r="M22" s="2"/>
      <c r="N22" s="19">
        <f t="shared" si="1"/>
        <v>-0.47282961754778918</v>
      </c>
      <c r="O22" s="11"/>
      <c r="P22" s="2">
        <f>--278555.86</f>
        <v>278555.86</v>
      </c>
      <c r="Q22" s="2"/>
      <c r="R22" s="19"/>
      <c r="S22" s="2"/>
      <c r="T22" s="2">
        <f>--550220.16</f>
        <v>550220.16</v>
      </c>
      <c r="U22" s="2"/>
      <c r="V22" s="19"/>
      <c r="W22" s="2"/>
      <c r="X22" s="2">
        <f t="shared" si="2"/>
        <v>-271664.30000000005</v>
      </c>
      <c r="Y22" s="2"/>
      <c r="Z22" s="19">
        <f t="shared" si="3"/>
        <v>-0.4937374522954594</v>
      </c>
    </row>
    <row r="23" spans="1:26" s="24" customFormat="1" hidden="1" outlineLevel="1" x14ac:dyDescent="0.25">
      <c r="A23" s="44"/>
      <c r="B23" s="11" t="str">
        <f>CONCATENATE("          ", "4101", " - ", "NON-TAXABLE SALES-NEW TEXT")</f>
        <v xml:space="preserve">          4101 - NON-TAXABLE SALES-NEW TEXT</v>
      </c>
      <c r="C23" s="11"/>
      <c r="D23" s="2">
        <f>--22084.7</f>
        <v>22084.7</v>
      </c>
      <c r="E23" s="2"/>
      <c r="F23" s="19"/>
      <c r="G23" s="2"/>
      <c r="H23" s="2">
        <f>--37117.66</f>
        <v>37117.660000000003</v>
      </c>
      <c r="I23" s="2"/>
      <c r="J23" s="19"/>
      <c r="K23" s="2"/>
      <c r="L23" s="2">
        <f t="shared" si="0"/>
        <v>-15032.960000000003</v>
      </c>
      <c r="M23" s="2"/>
      <c r="N23" s="19">
        <f t="shared" si="1"/>
        <v>-0.40500828985447901</v>
      </c>
      <c r="O23" s="11"/>
      <c r="P23" s="2">
        <f>--104225.63</f>
        <v>104225.63</v>
      </c>
      <c r="Q23" s="2"/>
      <c r="R23" s="19"/>
      <c r="S23" s="2"/>
      <c r="T23" s="2">
        <f>--132405.23</f>
        <v>132405.23000000001</v>
      </c>
      <c r="U23" s="2"/>
      <c r="V23" s="19"/>
      <c r="W23" s="2"/>
      <c r="X23" s="2">
        <f t="shared" si="2"/>
        <v>-28179.600000000006</v>
      </c>
      <c r="Y23" s="2"/>
      <c r="Z23" s="19">
        <f t="shared" si="3"/>
        <v>-0.21282845096073624</v>
      </c>
    </row>
    <row r="24" spans="1:26" s="24" customFormat="1" hidden="1" outlineLevel="1" x14ac:dyDescent="0.25">
      <c r="A24" s="44"/>
      <c r="B24" s="11" t="str">
        <f>CONCATENATE("          ", "4102", " - ", "NON-TAXABLE SALES-USED TEXT")</f>
        <v xml:space="preserve">          4102 - NON-TAXABLE SALES-USED TEXT</v>
      </c>
      <c r="C24" s="11"/>
      <c r="D24" s="2">
        <f>--9330.01</f>
        <v>9330.01</v>
      </c>
      <c r="E24" s="2"/>
      <c r="F24" s="19"/>
      <c r="G24" s="2"/>
      <c r="H24" s="2">
        <f>--28414.21</f>
        <v>28414.21</v>
      </c>
      <c r="I24" s="2"/>
      <c r="J24" s="19"/>
      <c r="K24" s="2"/>
      <c r="L24" s="2">
        <f t="shared" si="0"/>
        <v>-19084.199999999997</v>
      </c>
      <c r="M24" s="2"/>
      <c r="N24" s="19">
        <f t="shared" si="1"/>
        <v>-0.67164281533781856</v>
      </c>
      <c r="O24" s="11"/>
      <c r="P24" s="2">
        <f>--42961.32</f>
        <v>42961.32</v>
      </c>
      <c r="Q24" s="2"/>
      <c r="R24" s="19"/>
      <c r="S24" s="2"/>
      <c r="T24" s="2">
        <f>--66616.8</f>
        <v>66616.800000000003</v>
      </c>
      <c r="U24" s="2"/>
      <c r="V24" s="19"/>
      <c r="W24" s="2"/>
      <c r="X24" s="2">
        <f t="shared" si="2"/>
        <v>-23655.480000000003</v>
      </c>
      <c r="Y24" s="2"/>
      <c r="Z24" s="19">
        <f t="shared" si="3"/>
        <v>-0.35509781316424688</v>
      </c>
    </row>
    <row r="25" spans="1:26" s="24" customFormat="1" hidden="1" outlineLevel="1" x14ac:dyDescent="0.25">
      <c r="A25" s="44"/>
      <c r="B25" s="11" t="str">
        <f>CONCATENATE("          ", "4103", " - ", "NON-TAXABLE SALES-RENTAL TEXT")</f>
        <v xml:space="preserve">          4103 - NON-TAXABLE SALES-RENTAL TEXT</v>
      </c>
      <c r="C25" s="11"/>
      <c r="D25" s="2">
        <f>--853.98</f>
        <v>853.98</v>
      </c>
      <c r="E25" s="2"/>
      <c r="F25" s="19"/>
      <c r="G25" s="2"/>
      <c r="H25" s="2">
        <f>--334.99</f>
        <v>334.99</v>
      </c>
      <c r="I25" s="2"/>
      <c r="J25" s="19"/>
      <c r="K25" s="2"/>
      <c r="L25" s="2">
        <f t="shared" si="0"/>
        <v>518.99</v>
      </c>
      <c r="M25" s="2"/>
      <c r="N25" s="19">
        <f t="shared" si="1"/>
        <v>1.5492701274664915</v>
      </c>
      <c r="O25" s="11"/>
      <c r="P25" s="2">
        <f>--1138.95</f>
        <v>1138.95</v>
      </c>
      <c r="Q25" s="2"/>
      <c r="R25" s="19"/>
      <c r="S25" s="2"/>
      <c r="T25" s="2">
        <f>--664.97</f>
        <v>664.97</v>
      </c>
      <c r="U25" s="2"/>
      <c r="V25" s="19"/>
      <c r="W25" s="2"/>
      <c r="X25" s="2">
        <f t="shared" si="2"/>
        <v>473.98</v>
      </c>
      <c r="Y25" s="2"/>
      <c r="Z25" s="19">
        <f t="shared" si="3"/>
        <v>0.71278403537001667</v>
      </c>
    </row>
    <row r="26" spans="1:26" s="24" customFormat="1" hidden="1" outlineLevel="1" x14ac:dyDescent="0.25">
      <c r="A26" s="44"/>
      <c r="B26" s="11" t="str">
        <f>CONCATENATE("          ", "4104", " - ", "NON-TAXABLE SALES-DIGITAL TEXT")</f>
        <v xml:space="preserve">          4104 - NON-TAXABLE SALES-DIGITAL TEXT</v>
      </c>
      <c r="C26" s="11"/>
      <c r="D26" s="2">
        <f>--161977.12</f>
        <v>161977.12</v>
      </c>
      <c r="E26" s="2"/>
      <c r="F26" s="19"/>
      <c r="G26" s="2"/>
      <c r="H26" s="2">
        <f>--169179.13</f>
        <v>169179.13</v>
      </c>
      <c r="I26" s="2"/>
      <c r="J26" s="19"/>
      <c r="K26" s="2"/>
      <c r="L26" s="2">
        <f t="shared" si="0"/>
        <v>-7202.0100000000093</v>
      </c>
      <c r="M26" s="2"/>
      <c r="N26" s="19">
        <f t="shared" si="1"/>
        <v>-4.2570321764865499E-2</v>
      </c>
      <c r="O26" s="11"/>
      <c r="P26" s="2">
        <f>--458168.13</f>
        <v>458168.13</v>
      </c>
      <c r="Q26" s="2"/>
      <c r="R26" s="19"/>
      <c r="S26" s="2"/>
      <c r="T26" s="2">
        <f>--502067.96</f>
        <v>502067.96</v>
      </c>
      <c r="U26" s="2"/>
      <c r="V26" s="19"/>
      <c r="W26" s="2"/>
      <c r="X26" s="2">
        <f t="shared" si="2"/>
        <v>-43899.830000000016</v>
      </c>
      <c r="Y26" s="2"/>
      <c r="Z26" s="19">
        <f t="shared" si="3"/>
        <v>-8.743802333054676E-2</v>
      </c>
    </row>
    <row r="27" spans="1:26" s="24" customFormat="1" hidden="1" outlineLevel="1" x14ac:dyDescent="0.25">
      <c r="A27" s="44"/>
      <c r="B27" s="11" t="str">
        <f>CONCATENATE("          ", "4111", " - ", "NON-TAXABLE SALES-NO VALUE TEX")</f>
        <v xml:space="preserve">          4111 - NON-TAXABLE SALES-NO VALUE TEX</v>
      </c>
      <c r="C27" s="11"/>
      <c r="D27" s="2">
        <f>0</f>
        <v>0</v>
      </c>
      <c r="E27" s="2"/>
      <c r="F27" s="19"/>
      <c r="G27" s="2"/>
      <c r="H27" s="2">
        <f>--4684.53</f>
        <v>4684.53</v>
      </c>
      <c r="I27" s="2"/>
      <c r="J27" s="19"/>
      <c r="K27" s="2"/>
      <c r="L27" s="2">
        <f t="shared" si="0"/>
        <v>-4684.53</v>
      </c>
      <c r="M27" s="2"/>
      <c r="N27" s="19">
        <f t="shared" si="1"/>
        <v>-1</v>
      </c>
      <c r="O27" s="11"/>
      <c r="P27" s="2">
        <f>0</f>
        <v>0</v>
      </c>
      <c r="Q27" s="2"/>
      <c r="R27" s="19"/>
      <c r="S27" s="2"/>
      <c r="T27" s="2">
        <f>--12708.5</f>
        <v>12708.5</v>
      </c>
      <c r="U27" s="2"/>
      <c r="V27" s="19"/>
      <c r="W27" s="2"/>
      <c r="X27" s="2">
        <f t="shared" si="2"/>
        <v>-12708.5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"4113", " - ", "NON-TAXABLE SALES-TRADE BOOKS")</f>
        <v xml:space="preserve">          4113 - NON-TAXABLE SALES-TRADE BOOKS</v>
      </c>
      <c r="C28" s="11"/>
      <c r="D28" s="2">
        <f>--4661.75</f>
        <v>4661.75</v>
      </c>
      <c r="E28" s="2"/>
      <c r="F28" s="19"/>
      <c r="G28" s="2"/>
      <c r="H28" s="2">
        <f t="shared" ref="H28:H29" si="4">0</f>
        <v>0</v>
      </c>
      <c r="I28" s="2"/>
      <c r="J28" s="19"/>
      <c r="K28" s="2"/>
      <c r="L28" s="2">
        <f t="shared" si="0"/>
        <v>4661.75</v>
      </c>
      <c r="M28" s="2"/>
      <c r="N28" s="19">
        <f t="shared" si="1"/>
        <v>0</v>
      </c>
      <c r="O28" s="11"/>
      <c r="P28" s="2">
        <f>--6989.25</f>
        <v>6989.25</v>
      </c>
      <c r="Q28" s="2"/>
      <c r="R28" s="19"/>
      <c r="S28" s="2"/>
      <c r="T28" s="2">
        <f>--1146.72</f>
        <v>1146.72</v>
      </c>
      <c r="U28" s="2"/>
      <c r="V28" s="19"/>
      <c r="W28" s="2"/>
      <c r="X28" s="2">
        <f t="shared" si="2"/>
        <v>5842.53</v>
      </c>
      <c r="Y28" s="2"/>
      <c r="Z28" s="19">
        <f t="shared" si="3"/>
        <v>5.0949926747593128</v>
      </c>
    </row>
    <row r="29" spans="1:26" s="24" customFormat="1" hidden="1" outlineLevel="1" x14ac:dyDescent="0.25">
      <c r="A29" s="44"/>
      <c r="B29" s="11" t="str">
        <f>CONCATENATE("          ", "4118", " - ", "NON-TAXABLE SALES-STUDY GUIDES")</f>
        <v xml:space="preserve">          4118 - NON-TAXABLE SALES-STUDY GUIDES</v>
      </c>
      <c r="C29" s="11"/>
      <c r="D29" s="2">
        <f>--538.3</f>
        <v>538.29999999999995</v>
      </c>
      <c r="E29" s="2"/>
      <c r="F29" s="19"/>
      <c r="G29" s="2"/>
      <c r="H29" s="2">
        <f t="shared" si="4"/>
        <v>0</v>
      </c>
      <c r="I29" s="2"/>
      <c r="J29" s="19"/>
      <c r="K29" s="2"/>
      <c r="L29" s="2">
        <f t="shared" si="0"/>
        <v>538.29999999999995</v>
      </c>
      <c r="M29" s="2"/>
      <c r="N29" s="19">
        <f t="shared" si="1"/>
        <v>0</v>
      </c>
      <c r="O29" s="11"/>
      <c r="P29" s="2">
        <f>--771.73</f>
        <v>771.73</v>
      </c>
      <c r="Q29" s="2"/>
      <c r="R29" s="19"/>
      <c r="S29" s="2"/>
      <c r="T29" s="2">
        <f>--41.91</f>
        <v>41.91</v>
      </c>
      <c r="U29" s="2"/>
      <c r="V29" s="19"/>
      <c r="W29" s="2"/>
      <c r="X29" s="2">
        <f t="shared" si="2"/>
        <v>729.82</v>
      </c>
      <c r="Y29" s="2"/>
      <c r="Z29" s="19">
        <f t="shared" si="3"/>
        <v>17.413982343116203</v>
      </c>
    </row>
    <row r="30" spans="1:26" s="24" customFormat="1" hidden="1" outlineLevel="1" x14ac:dyDescent="0.25">
      <c r="A30" s="44"/>
      <c r="B30" s="11" t="str">
        <f>CONCATENATE("          ", "4201", " - ", "SALES RETURN TAXABLE-NEW TEXT")</f>
        <v xml:space="preserve">          4201 - SALES RETURN TAXABLE-NEW TEXT</v>
      </c>
      <c r="C30" s="11"/>
      <c r="D30" s="2">
        <f>-12741.9</f>
        <v>-12741.9</v>
      </c>
      <c r="E30" s="2"/>
      <c r="F30" s="19"/>
      <c r="G30" s="2"/>
      <c r="H30" s="2">
        <f>-37895.48</f>
        <v>-37895.480000000003</v>
      </c>
      <c r="I30" s="2"/>
      <c r="J30" s="19"/>
      <c r="K30" s="2"/>
      <c r="L30" s="2">
        <f t="shared" si="0"/>
        <v>25153.58</v>
      </c>
      <c r="M30" s="2"/>
      <c r="N30" s="19">
        <f t="shared" si="1"/>
        <v>-0.66376201066723528</v>
      </c>
      <c r="O30" s="11"/>
      <c r="P30" s="2">
        <f>-48517.74</f>
        <v>-48517.74</v>
      </c>
      <c r="Q30" s="2"/>
      <c r="R30" s="19"/>
      <c r="S30" s="2"/>
      <c r="T30" s="2">
        <f>-116625.85</f>
        <v>-116625.85</v>
      </c>
      <c r="U30" s="2"/>
      <c r="V30" s="19"/>
      <c r="W30" s="2"/>
      <c r="X30" s="2">
        <f t="shared" si="2"/>
        <v>68108.110000000015</v>
      </c>
      <c r="Y30" s="2"/>
      <c r="Z30" s="19">
        <f t="shared" si="3"/>
        <v>-0.58398811241247128</v>
      </c>
    </row>
    <row r="31" spans="1:26" s="24" customFormat="1" hidden="1" outlineLevel="1" x14ac:dyDescent="0.25">
      <c r="A31" s="44"/>
      <c r="B31" s="11" t="str">
        <f>CONCATENATE("          ", "4202", " - ", "SALES RETURN TAXABLE-USED TEXT")</f>
        <v xml:space="preserve">          4202 - SALES RETURN TAXABLE-USED TEXT</v>
      </c>
      <c r="C31" s="11"/>
      <c r="D31" s="2">
        <f>-4670.3</f>
        <v>-4670.3</v>
      </c>
      <c r="E31" s="2"/>
      <c r="F31" s="19"/>
      <c r="G31" s="2"/>
      <c r="H31" s="2">
        <f>-16170.8</f>
        <v>-16170.8</v>
      </c>
      <c r="I31" s="2"/>
      <c r="J31" s="19"/>
      <c r="K31" s="2"/>
      <c r="L31" s="2">
        <f t="shared" si="0"/>
        <v>11500.5</v>
      </c>
      <c r="M31" s="2"/>
      <c r="N31" s="19">
        <f t="shared" si="1"/>
        <v>-0.71118930417790094</v>
      </c>
      <c r="O31" s="11"/>
      <c r="P31" s="2">
        <f>-18536.3</f>
        <v>-18536.3</v>
      </c>
      <c r="Q31" s="2"/>
      <c r="R31" s="19"/>
      <c r="S31" s="2"/>
      <c r="T31" s="2">
        <f>-43379.15</f>
        <v>-43379.15</v>
      </c>
      <c r="U31" s="2"/>
      <c r="V31" s="19"/>
      <c r="W31" s="2"/>
      <c r="X31" s="2">
        <f t="shared" si="2"/>
        <v>24842.850000000002</v>
      </c>
      <c r="Y31" s="2"/>
      <c r="Z31" s="19">
        <f t="shared" si="3"/>
        <v>-0.57269102783249559</v>
      </c>
    </row>
    <row r="32" spans="1:26" s="24" customFormat="1" hidden="1" outlineLevel="1" x14ac:dyDescent="0.25">
      <c r="A32" s="44"/>
      <c r="B32" s="11" t="str">
        <f>CONCATENATE("          ", "4203", " - ", "SALES RETURN TAXABLE-RENTAL TE")</f>
        <v xml:space="preserve">          4203 - SALES RETURN TAXABLE-RENTAL TE</v>
      </c>
      <c r="C32" s="11"/>
      <c r="D32" s="2">
        <f t="shared" ref="D32:D36" si="5">0</f>
        <v>0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-144.99</f>
        <v>-144.99</v>
      </c>
      <c r="U32" s="2"/>
      <c r="V32" s="19"/>
      <c r="W32" s="2"/>
      <c r="X32" s="2">
        <f t="shared" si="2"/>
        <v>144.99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"4204", " - ", "SALES RETURN TAXABLE-DIGITAL T")</f>
        <v xml:space="preserve">          4204 - SALES RETURN TAXABLE-DIGITAL T</v>
      </c>
      <c r="C33" s="11"/>
      <c r="D33" s="2">
        <f t="shared" si="5"/>
        <v>0</v>
      </c>
      <c r="E33" s="2"/>
      <c r="F33" s="19"/>
      <c r="G33" s="2"/>
      <c r="H33" s="2">
        <f>-4891.98</f>
        <v>-4891.9799999999996</v>
      </c>
      <c r="I33" s="2"/>
      <c r="J33" s="19"/>
      <c r="K33" s="2"/>
      <c r="L33" s="2">
        <f t="shared" si="0"/>
        <v>4891.9799999999996</v>
      </c>
      <c r="M33" s="2"/>
      <c r="N33" s="19">
        <f t="shared" si="1"/>
        <v>-1</v>
      </c>
      <c r="O33" s="11"/>
      <c r="P33" s="2">
        <f>-1630.85</f>
        <v>-1630.85</v>
      </c>
      <c r="Q33" s="2"/>
      <c r="R33" s="19"/>
      <c r="S33" s="2"/>
      <c r="T33" s="2">
        <f>-16261.44</f>
        <v>-16261.44</v>
      </c>
      <c r="U33" s="2"/>
      <c r="V33" s="19"/>
      <c r="W33" s="2"/>
      <c r="X33" s="2">
        <f t="shared" si="2"/>
        <v>14630.59</v>
      </c>
      <c r="Y33" s="2"/>
      <c r="Z33" s="19">
        <f t="shared" si="3"/>
        <v>-0.89971060373497058</v>
      </c>
    </row>
    <row r="34" spans="1:26" s="24" customFormat="1" hidden="1" outlineLevel="1" x14ac:dyDescent="0.25">
      <c r="A34" s="44"/>
      <c r="B34" s="11" t="str">
        <f>CONCATENATE("          ", "4213", " - ", "NON-TAXABLE SALES-TRADE BOOKS")</f>
        <v xml:space="preserve">          4213 - NON-TAXABLE SALES-TRADE BOOKS</v>
      </c>
      <c r="C34" s="11"/>
      <c r="D34" s="2">
        <f t="shared" si="5"/>
        <v>0</v>
      </c>
      <c r="E34" s="2"/>
      <c r="F34" s="19"/>
      <c r="G34" s="2"/>
      <c r="H34" s="2">
        <f>-13.95</f>
        <v>-13.95</v>
      </c>
      <c r="I34" s="2"/>
      <c r="J34" s="19"/>
      <c r="K34" s="2"/>
      <c r="L34" s="2">
        <f t="shared" si="0"/>
        <v>13.95</v>
      </c>
      <c r="M34" s="2"/>
      <c r="N34" s="19">
        <f t="shared" si="1"/>
        <v>-1</v>
      </c>
      <c r="O34" s="11"/>
      <c r="P34" s="2">
        <f t="shared" ref="P34:P36" si="6">0</f>
        <v>0</v>
      </c>
      <c r="Q34" s="2"/>
      <c r="R34" s="19"/>
      <c r="S34" s="2"/>
      <c r="T34" s="2">
        <f>-116.66</f>
        <v>-116.66</v>
      </c>
      <c r="U34" s="2"/>
      <c r="V34" s="19"/>
      <c r="W34" s="2"/>
      <c r="X34" s="2">
        <f t="shared" si="2"/>
        <v>116.66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"4214", " - ", "SALES RETURN TAXABLE-REMAINDER")</f>
        <v xml:space="preserve">          4214 - SALES RETURN TAXABLE-REMAINDER</v>
      </c>
      <c r="C35" s="11"/>
      <c r="D35" s="2">
        <f t="shared" si="5"/>
        <v>0</v>
      </c>
      <c r="E35" s="2"/>
      <c r="F35" s="19"/>
      <c r="G35" s="2"/>
      <c r="H35" s="2">
        <f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 t="shared" si="6"/>
        <v>0</v>
      </c>
      <c r="Q35" s="2"/>
      <c r="R35" s="19"/>
      <c r="S35" s="2"/>
      <c r="T35" s="2">
        <f>-11.94</f>
        <v>-11.94</v>
      </c>
      <c r="U35" s="2"/>
      <c r="V35" s="19"/>
      <c r="W35" s="2"/>
      <c r="X35" s="2">
        <f t="shared" si="2"/>
        <v>11.94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"4218", " - ", "SALES RETURN TAXABLE-STUDY GUI")</f>
        <v xml:space="preserve">          4218 - SALES RETURN TAXABLE-STUDY GUI</v>
      </c>
      <c r="C36" s="11"/>
      <c r="D36" s="2">
        <f t="shared" si="5"/>
        <v>0</v>
      </c>
      <c r="E36" s="2"/>
      <c r="F36" s="19"/>
      <c r="G36" s="2"/>
      <c r="H36" s="2">
        <f>-6.5</f>
        <v>-6.5</v>
      </c>
      <c r="I36" s="2"/>
      <c r="J36" s="19"/>
      <c r="K36" s="2"/>
      <c r="L36" s="2">
        <f t="shared" si="0"/>
        <v>6.5</v>
      </c>
      <c r="M36" s="2"/>
      <c r="N36" s="19">
        <f t="shared" si="1"/>
        <v>-1</v>
      </c>
      <c r="O36" s="11"/>
      <c r="P36" s="2">
        <f t="shared" si="6"/>
        <v>0</v>
      </c>
      <c r="Q36" s="2"/>
      <c r="R36" s="19"/>
      <c r="S36" s="2"/>
      <c r="T36" s="2">
        <f>-39.25</f>
        <v>-39.25</v>
      </c>
      <c r="U36" s="2"/>
      <c r="V36" s="19"/>
      <c r="W36" s="2"/>
      <c r="X36" s="2">
        <f t="shared" si="2"/>
        <v>39.25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"4301", " - ", "SALES RETURN NON TAXABLE-NEW T")</f>
        <v xml:space="preserve">          4301 - SALES RETURN NON TAXABLE-NEW T</v>
      </c>
      <c r="C37" s="11"/>
      <c r="D37" s="2">
        <f>-256.69</f>
        <v>-256.69</v>
      </c>
      <c r="E37" s="2"/>
      <c r="F37" s="19"/>
      <c r="G37" s="2"/>
      <c r="H37" s="2">
        <f>-2910.64</f>
        <v>-2910.64</v>
      </c>
      <c r="I37" s="2"/>
      <c r="J37" s="19"/>
      <c r="K37" s="2"/>
      <c r="L37" s="2">
        <f t="shared" si="0"/>
        <v>2653.95</v>
      </c>
      <c r="M37" s="2"/>
      <c r="N37" s="19">
        <f t="shared" si="1"/>
        <v>-0.91180977379545392</v>
      </c>
      <c r="O37" s="11"/>
      <c r="P37" s="2">
        <f>-3005.79</f>
        <v>-3005.79</v>
      </c>
      <c r="Q37" s="2"/>
      <c r="R37" s="19"/>
      <c r="S37" s="2"/>
      <c r="T37" s="2">
        <f>-15221.62</f>
        <v>-15221.62</v>
      </c>
      <c r="U37" s="2"/>
      <c r="V37" s="19"/>
      <c r="W37" s="2"/>
      <c r="X37" s="2">
        <f t="shared" si="2"/>
        <v>12215.830000000002</v>
      </c>
      <c r="Y37" s="2"/>
      <c r="Z37" s="19">
        <f t="shared" si="3"/>
        <v>-0.80253153080946715</v>
      </c>
    </row>
    <row r="38" spans="1:26" s="24" customFormat="1" hidden="1" outlineLevel="1" x14ac:dyDescent="0.25">
      <c r="A38" s="44"/>
      <c r="B38" s="11" t="str">
        <f>CONCATENATE("          ", "4302", " - ", "SALES RETURN NON TAXABLE-TEXT")</f>
        <v xml:space="preserve">          4302 - SALES RETURN NON TAXABLE-TEXT</v>
      </c>
      <c r="C38" s="11"/>
      <c r="D38" s="2">
        <f>-532.96</f>
        <v>-532.96</v>
      </c>
      <c r="E38" s="2"/>
      <c r="F38" s="19"/>
      <c r="G38" s="2"/>
      <c r="H38" s="2">
        <f>-614.47</f>
        <v>-614.47</v>
      </c>
      <c r="I38" s="2"/>
      <c r="J38" s="19"/>
      <c r="K38" s="2"/>
      <c r="L38" s="2">
        <f t="shared" si="0"/>
        <v>81.509999999999991</v>
      </c>
      <c r="M38" s="2"/>
      <c r="N38" s="19">
        <f t="shared" si="1"/>
        <v>-0.13265090240369748</v>
      </c>
      <c r="O38" s="11"/>
      <c r="P38" s="2">
        <f>-2003.16</f>
        <v>-2003.16</v>
      </c>
      <c r="Q38" s="2"/>
      <c r="R38" s="19"/>
      <c r="S38" s="2"/>
      <c r="T38" s="2">
        <f>-1312.37</f>
        <v>-1312.37</v>
      </c>
      <c r="U38" s="2"/>
      <c r="V38" s="19"/>
      <c r="W38" s="2"/>
      <c r="X38" s="2">
        <f t="shared" si="2"/>
        <v>-690.79000000000019</v>
      </c>
      <c r="Y38" s="2"/>
      <c r="Z38" s="19">
        <f t="shared" si="3"/>
        <v>0.52636832600562355</v>
      </c>
    </row>
    <row r="39" spans="1:26" s="24" customFormat="1" hidden="1" outlineLevel="1" x14ac:dyDescent="0.25">
      <c r="A39" s="44"/>
      <c r="B39" s="11" t="str">
        <f>CONCATENATE("          ", "4303", " - ", "SALES RETURN NON-TAXABLE-RENTA")</f>
        <v xml:space="preserve">          4303 - SALES RETURN NON-TAXABLE-RENTA</v>
      </c>
      <c r="C39" s="11"/>
      <c r="D39" s="2">
        <f>0</f>
        <v>0</v>
      </c>
      <c r="E39" s="2"/>
      <c r="F39" s="19"/>
      <c r="G39" s="2"/>
      <c r="H39" s="2">
        <f>0</f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0</f>
        <v>0</v>
      </c>
      <c r="Q39" s="2"/>
      <c r="R39" s="19"/>
      <c r="S39" s="2"/>
      <c r="T39" s="2">
        <f>-184.99</f>
        <v>-184.99</v>
      </c>
      <c r="U39" s="2"/>
      <c r="V39" s="19"/>
      <c r="W39" s="2"/>
      <c r="X39" s="2">
        <f t="shared" si="2"/>
        <v>184.99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"4304", " - ", "SALES RETURN NON TAXABLE-DIGIT")</f>
        <v xml:space="preserve">          4304 - SALES RETURN NON TAXABLE-DIGIT</v>
      </c>
      <c r="C40" s="11"/>
      <c r="D40" s="2">
        <f>-10673</f>
        <v>-10673</v>
      </c>
      <c r="E40" s="2"/>
      <c r="F40" s="19"/>
      <c r="G40" s="2"/>
      <c r="H40" s="2">
        <f>-4312.43</f>
        <v>-4312.43</v>
      </c>
      <c r="I40" s="2"/>
      <c r="J40" s="19"/>
      <c r="K40" s="2"/>
      <c r="L40" s="2">
        <f t="shared" si="0"/>
        <v>-6360.57</v>
      </c>
      <c r="M40" s="2"/>
      <c r="N40" s="19">
        <f t="shared" si="1"/>
        <v>1.4749387236430502</v>
      </c>
      <c r="O40" s="11"/>
      <c r="P40" s="2">
        <f>-25095.77</f>
        <v>-25095.77</v>
      </c>
      <c r="Q40" s="2"/>
      <c r="R40" s="19"/>
      <c r="S40" s="2"/>
      <c r="T40" s="2">
        <f>-17742.75</f>
        <v>-17742.75</v>
      </c>
      <c r="U40" s="2"/>
      <c r="V40" s="19"/>
      <c r="W40" s="2"/>
      <c r="X40" s="2">
        <f t="shared" si="2"/>
        <v>-7353.02</v>
      </c>
      <c r="Y40" s="2"/>
      <c r="Z40" s="19">
        <f t="shared" si="3"/>
        <v>0.41442391962914432</v>
      </c>
    </row>
    <row r="41" spans="1:26" s="24" customFormat="1" hidden="1" outlineLevel="1" x14ac:dyDescent="0.25">
      <c r="A41" s="44"/>
      <c r="B41" s="11" t="str">
        <f>CONCATENATE("          ", "4311", " - ", "SALES RETURN NON TAXABLE-NO VA")</f>
        <v xml:space="preserve">          4311 - SALES RETURN NON TAXABLE-NO VA</v>
      </c>
      <c r="C41" s="11"/>
      <c r="D41" s="2">
        <f>0</f>
        <v>0</v>
      </c>
      <c r="E41" s="2"/>
      <c r="F41" s="19"/>
      <c r="G41" s="2"/>
      <c r="H41" s="2">
        <f>-237.35</f>
        <v>-237.35</v>
      </c>
      <c r="I41" s="2"/>
      <c r="J41" s="19"/>
      <c r="K41" s="2"/>
      <c r="L41" s="2">
        <f t="shared" si="0"/>
        <v>237.35</v>
      </c>
      <c r="M41" s="2"/>
      <c r="N41" s="19">
        <f t="shared" si="1"/>
        <v>-1</v>
      </c>
      <c r="O41" s="11"/>
      <c r="P41" s="2">
        <f>0</f>
        <v>0</v>
      </c>
      <c r="Q41" s="2"/>
      <c r="R41" s="19"/>
      <c r="S41" s="2"/>
      <c r="T41" s="2">
        <f>-625.31</f>
        <v>-625.30999999999995</v>
      </c>
      <c r="U41" s="2"/>
      <c r="V41" s="19"/>
      <c r="W41" s="2"/>
      <c r="X41" s="2">
        <f t="shared" si="2"/>
        <v>625.30999999999995</v>
      </c>
      <c r="Y41" s="2"/>
      <c r="Z41" s="19">
        <f t="shared" si="3"/>
        <v>-1</v>
      </c>
    </row>
    <row r="42" spans="1:26" x14ac:dyDescent="0.25">
      <c r="A42" s="9"/>
      <c r="B42" s="10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collapsed="1" x14ac:dyDescent="0.25">
      <c r="A43" s="10"/>
      <c r="B43" s="29" t="s">
        <v>8</v>
      </c>
      <c r="C43" s="10"/>
      <c r="D43" s="4">
        <f>SUM(OSRRefD16x_0)</f>
        <v>686871.82000000007</v>
      </c>
      <c r="E43" s="4"/>
      <c r="F43" s="12">
        <f t="shared" ref="F43:F59" si="7">IF(D$12=0,0,D43/D$12)</f>
        <v>0.69454315330977956</v>
      </c>
      <c r="G43" s="4"/>
      <c r="H43" s="4">
        <f>SUM(OSRRefH16x_0)</f>
        <v>1004140.13</v>
      </c>
      <c r="I43" s="4"/>
      <c r="J43" s="12">
        <f t="shared" ref="J43:J59" si="8">IF(H$12=0,0,H43/H$12)</f>
        <v>0.60017898975975725</v>
      </c>
      <c r="K43" s="4"/>
      <c r="L43" s="4">
        <f t="shared" ref="L43:L59" si="9">+D43-H43</f>
        <v>-317268.30999999994</v>
      </c>
      <c r="M43" s="4"/>
      <c r="N43" s="12">
        <f t="shared" ref="N43:N59" si="10">IF(H43=0,0,L43/H43)</f>
        <v>-0.31596019372316086</v>
      </c>
      <c r="O43" s="10"/>
      <c r="P43" s="4">
        <f>SUM(OSRRefP16x_0)</f>
        <v>1809575.97</v>
      </c>
      <c r="Q43" s="4"/>
      <c r="R43" s="12">
        <f t="shared" ref="R43:R59" si="11">IF(P$12=0,0,P43/P$12)</f>
        <v>0.70661517340658797</v>
      </c>
      <c r="S43" s="4"/>
      <c r="T43" s="4">
        <f>SUM(OSRRefT16x_0)</f>
        <v>3158655.9800000004</v>
      </c>
      <c r="U43" s="4"/>
      <c r="V43" s="12">
        <f t="shared" ref="V43:V59" si="12">IF(T$12=0,0,T43/T$12)</f>
        <v>0.68468149099595665</v>
      </c>
      <c r="W43" s="4"/>
      <c r="X43" s="4">
        <f t="shared" ref="X43:X59" si="13">+P43-T43</f>
        <v>-1349080.0100000005</v>
      </c>
      <c r="Y43" s="4"/>
      <c r="Z43" s="12">
        <f t="shared" ref="Z43:Z59" si="14">IF(T43=0,0,X43/T43)</f>
        <v>-0.42710571158812943</v>
      </c>
    </row>
    <row r="44" spans="1:26" s="24" customFormat="1" hidden="1" outlineLevel="1" x14ac:dyDescent="0.25">
      <c r="A44" s="44"/>
      <c r="B44" s="11" t="str">
        <f>CONCATENATE("          ", "5001", " - ", "PURCHASES @ COST-NEW TEXT")</f>
        <v xml:space="preserve">          5001 - PURCHASES @ COST-NEW TEXT</v>
      </c>
      <c r="C44" s="11"/>
      <c r="D44" s="2">
        <v>381096.17</v>
      </c>
      <c r="E44" s="2"/>
      <c r="F44" s="19">
        <f t="shared" si="7"/>
        <v>0.38535244556412251</v>
      </c>
      <c r="G44" s="2"/>
      <c r="H44" s="2">
        <v>890224.90999999992</v>
      </c>
      <c r="I44" s="2"/>
      <c r="J44" s="19">
        <f t="shared" si="8"/>
        <v>0.53209135974156396</v>
      </c>
      <c r="K44" s="2"/>
      <c r="L44" s="2">
        <f t="shared" si="9"/>
        <v>-509128.73999999993</v>
      </c>
      <c r="M44" s="2"/>
      <c r="N44" s="19">
        <f t="shared" si="10"/>
        <v>-0.57191023782967387</v>
      </c>
      <c r="O44" s="11"/>
      <c r="P44" s="2">
        <v>1659009.21</v>
      </c>
      <c r="Q44" s="2"/>
      <c r="R44" s="19">
        <f t="shared" si="11"/>
        <v>0.6478208707685682</v>
      </c>
      <c r="S44" s="2"/>
      <c r="T44" s="2">
        <v>2627294.66</v>
      </c>
      <c r="U44" s="2"/>
      <c r="V44" s="19">
        <f t="shared" si="12"/>
        <v>0.56950172367125429</v>
      </c>
      <c r="W44" s="2"/>
      <c r="X44" s="2">
        <f t="shared" si="13"/>
        <v>-968285.45000000019</v>
      </c>
      <c r="Y44" s="2"/>
      <c r="Z44" s="19">
        <f t="shared" si="14"/>
        <v>-0.36854847868491469</v>
      </c>
    </row>
    <row r="45" spans="1:26" s="24" customFormat="1" hidden="1" outlineLevel="1" x14ac:dyDescent="0.25">
      <c r="A45" s="44"/>
      <c r="B45" s="11" t="str">
        <f>CONCATENATE("          ", "5002", " - ", "PURCHASES @ COST-USED TEXT")</f>
        <v xml:space="preserve">          5002 - PURCHASES @ COST-USED TEXT</v>
      </c>
      <c r="C45" s="11"/>
      <c r="D45" s="2">
        <v>95863.360000000001</v>
      </c>
      <c r="E45" s="2"/>
      <c r="F45" s="19">
        <f t="shared" si="7"/>
        <v>9.6934010688152231E-2</v>
      </c>
      <c r="G45" s="2"/>
      <c r="H45" s="2">
        <v>260084.68000000002</v>
      </c>
      <c r="I45" s="2"/>
      <c r="J45" s="19">
        <f t="shared" si="8"/>
        <v>0.15545376171191341</v>
      </c>
      <c r="K45" s="2"/>
      <c r="L45" s="2">
        <f t="shared" si="9"/>
        <v>-164221.32</v>
      </c>
      <c r="M45" s="2"/>
      <c r="N45" s="19">
        <f t="shared" si="10"/>
        <v>-0.63141481459038651</v>
      </c>
      <c r="O45" s="11"/>
      <c r="P45" s="2">
        <v>260336.28</v>
      </c>
      <c r="Q45" s="2"/>
      <c r="R45" s="19">
        <f t="shared" si="11"/>
        <v>0.10165782961641895</v>
      </c>
      <c r="S45" s="2"/>
      <c r="T45" s="2">
        <v>512607.53</v>
      </c>
      <c r="U45" s="2"/>
      <c r="V45" s="19">
        <f t="shared" si="12"/>
        <v>0.11111462918356642</v>
      </c>
      <c r="W45" s="2"/>
      <c r="X45" s="2">
        <f t="shared" si="13"/>
        <v>-252271.25000000003</v>
      </c>
      <c r="Y45" s="2"/>
      <c r="Z45" s="19">
        <f t="shared" si="14"/>
        <v>-0.492133328591564</v>
      </c>
    </row>
    <row r="46" spans="1:26" s="24" customFormat="1" hidden="1" outlineLevel="1" x14ac:dyDescent="0.25">
      <c r="A46" s="44"/>
      <c r="B46" s="11" t="str">
        <f>CONCATENATE("          ", "5003", " - ", "PURCHASES @ COST-RENTAL TEXT")</f>
        <v xml:space="preserve">          5003 - PURCHASES @ COST-RENTAL TEXT</v>
      </c>
      <c r="C46" s="11"/>
      <c r="D46" s="2"/>
      <c r="E46" s="2"/>
      <c r="F46" s="19">
        <f t="shared" si="7"/>
        <v>0</v>
      </c>
      <c r="G46" s="2"/>
      <c r="H46" s="2"/>
      <c r="I46" s="2"/>
      <c r="J46" s="19">
        <f t="shared" si="8"/>
        <v>0</v>
      </c>
      <c r="K46" s="2"/>
      <c r="L46" s="2">
        <f t="shared" si="9"/>
        <v>0</v>
      </c>
      <c r="M46" s="2"/>
      <c r="N46" s="19">
        <f t="shared" si="10"/>
        <v>0</v>
      </c>
      <c r="O46" s="11"/>
      <c r="P46" s="2">
        <v>32.520000000000003</v>
      </c>
      <c r="Q46" s="2"/>
      <c r="R46" s="19">
        <f t="shared" si="11"/>
        <v>1.2698624329755132E-5</v>
      </c>
      <c r="S46" s="2"/>
      <c r="T46" s="2">
        <v>-78.400000000000006</v>
      </c>
      <c r="U46" s="2"/>
      <c r="V46" s="19">
        <f t="shared" si="12"/>
        <v>-1.6994262507208208E-5</v>
      </c>
      <c r="W46" s="2"/>
      <c r="X46" s="2">
        <f t="shared" si="13"/>
        <v>110.92000000000002</v>
      </c>
      <c r="Y46" s="2"/>
      <c r="Z46" s="19">
        <f t="shared" si="14"/>
        <v>-1.4147959183673471</v>
      </c>
    </row>
    <row r="47" spans="1:26" s="24" customFormat="1" hidden="1" outlineLevel="1" x14ac:dyDescent="0.25">
      <c r="A47" s="44"/>
      <c r="B47" s="11" t="str">
        <f>CONCATENATE("          ", "5004", " - ", "PURCHASES @ COST-DIGITAL TEXT")</f>
        <v xml:space="preserve">          5004 - PURCHASES @ COST-DIGITAL TEXT</v>
      </c>
      <c r="C47" s="11"/>
      <c r="D47" s="2">
        <v>18888.449999999997</v>
      </c>
      <c r="E47" s="2"/>
      <c r="F47" s="19">
        <f t="shared" si="7"/>
        <v>1.9099405801993888E-2</v>
      </c>
      <c r="G47" s="2"/>
      <c r="H47" s="2">
        <v>119541.49999999999</v>
      </c>
      <c r="I47" s="2"/>
      <c r="J47" s="19">
        <f t="shared" si="8"/>
        <v>7.1450482418590339E-2</v>
      </c>
      <c r="K47" s="2"/>
      <c r="L47" s="2">
        <f t="shared" si="9"/>
        <v>-100653.04999999999</v>
      </c>
      <c r="M47" s="2"/>
      <c r="N47" s="19">
        <f t="shared" si="10"/>
        <v>-0.84199252979090944</v>
      </c>
      <c r="O47" s="11"/>
      <c r="P47" s="2">
        <v>216726.56</v>
      </c>
      <c r="Q47" s="2"/>
      <c r="R47" s="19">
        <f t="shared" si="11"/>
        <v>8.4628818195576105E-2</v>
      </c>
      <c r="S47" s="2"/>
      <c r="T47" s="2">
        <v>473893.77</v>
      </c>
      <c r="U47" s="2"/>
      <c r="V47" s="19">
        <f t="shared" si="12"/>
        <v>0.10272289703967538</v>
      </c>
      <c r="W47" s="2"/>
      <c r="X47" s="2">
        <f t="shared" si="13"/>
        <v>-257167.21000000002</v>
      </c>
      <c r="Y47" s="2"/>
      <c r="Z47" s="19">
        <f t="shared" si="14"/>
        <v>-0.5426684761017222</v>
      </c>
    </row>
    <row r="48" spans="1:26" s="24" customFormat="1" hidden="1" outlineLevel="1" x14ac:dyDescent="0.25">
      <c r="A48" s="44"/>
      <c r="B48" s="11" t="str">
        <f>CONCATENATE("          ", "5011", " - ", "PURCHASES @ COST-NO VALUE TEXT")</f>
        <v xml:space="preserve">          5011 - PURCHASES @ COST-NO VALUE TEXT</v>
      </c>
      <c r="C48" s="11"/>
      <c r="D48" s="2"/>
      <c r="E48" s="2"/>
      <c r="F48" s="19">
        <f t="shared" si="7"/>
        <v>0</v>
      </c>
      <c r="G48" s="2"/>
      <c r="H48" s="2">
        <v>573</v>
      </c>
      <c r="I48" s="2"/>
      <c r="J48" s="19">
        <f t="shared" si="8"/>
        <v>3.4248463024014479E-4</v>
      </c>
      <c r="K48" s="2"/>
      <c r="L48" s="2">
        <f t="shared" si="9"/>
        <v>-573</v>
      </c>
      <c r="M48" s="2"/>
      <c r="N48" s="19">
        <f t="shared" si="10"/>
        <v>-1</v>
      </c>
      <c r="O48" s="11"/>
      <c r="P48" s="2">
        <v>67.17</v>
      </c>
      <c r="Q48" s="2"/>
      <c r="R48" s="19">
        <f t="shared" si="11"/>
        <v>2.6228985123913044E-5</v>
      </c>
      <c r="S48" s="2"/>
      <c r="T48" s="2">
        <v>5475</v>
      </c>
      <c r="U48" s="2"/>
      <c r="V48" s="19">
        <f t="shared" si="12"/>
        <v>1.1867804493235323E-3</v>
      </c>
      <c r="W48" s="2"/>
      <c r="X48" s="2">
        <f t="shared" si="13"/>
        <v>-5407.83</v>
      </c>
      <c r="Y48" s="2"/>
      <c r="Z48" s="19">
        <f t="shared" si="14"/>
        <v>-0.9877315068493151</v>
      </c>
    </row>
    <row r="49" spans="1:26" s="24" customFormat="1" hidden="1" outlineLevel="1" x14ac:dyDescent="0.25">
      <c r="A49" s="44"/>
      <c r="B49" s="11" t="str">
        <f>CONCATENATE("          ", "5013", " - ", "PURCHASES @ COST-TRADE BOOKS")</f>
        <v xml:space="preserve">          5013 - PURCHASES @ COST-TRADE BOOKS</v>
      </c>
      <c r="C49" s="11"/>
      <c r="D49" s="2">
        <v>3531.13</v>
      </c>
      <c r="E49" s="2"/>
      <c r="F49" s="19">
        <f t="shared" si="7"/>
        <v>3.5705674531046586E-3</v>
      </c>
      <c r="G49" s="2"/>
      <c r="H49" s="2">
        <v>-276.85000000000002</v>
      </c>
      <c r="I49" s="2"/>
      <c r="J49" s="19">
        <f t="shared" si="8"/>
        <v>-1.6547446750782565E-4</v>
      </c>
      <c r="K49" s="2"/>
      <c r="L49" s="2">
        <f t="shared" si="9"/>
        <v>3807.98</v>
      </c>
      <c r="M49" s="2"/>
      <c r="N49" s="19">
        <f t="shared" si="10"/>
        <v>-13.754668593100956</v>
      </c>
      <c r="O49" s="11"/>
      <c r="P49" s="2">
        <v>5656.98</v>
      </c>
      <c r="Q49" s="2"/>
      <c r="R49" s="19">
        <f t="shared" si="11"/>
        <v>2.2089749034728836E-3</v>
      </c>
      <c r="S49" s="2"/>
      <c r="T49" s="2">
        <v>458.46</v>
      </c>
      <c r="U49" s="2"/>
      <c r="V49" s="19">
        <f t="shared" si="12"/>
        <v>9.9377418227738188E-5</v>
      </c>
      <c r="W49" s="2"/>
      <c r="X49" s="2">
        <f t="shared" si="13"/>
        <v>5198.5199999999995</v>
      </c>
      <c r="Y49" s="2"/>
      <c r="Z49" s="19">
        <f t="shared" si="14"/>
        <v>11.339091741918596</v>
      </c>
    </row>
    <row r="50" spans="1:26" s="24" customFormat="1" hidden="1" outlineLevel="1" x14ac:dyDescent="0.25">
      <c r="A50" s="44"/>
      <c r="B50" s="11" t="str">
        <f>CONCATENATE("          ", "5014", " - ", "PURCHASES @ COST-REMAINDERS")</f>
        <v xml:space="preserve">          5014 - PURCHASES @ COST-REMAINDERS</v>
      </c>
      <c r="C50" s="11"/>
      <c r="D50" s="2"/>
      <c r="E50" s="2"/>
      <c r="F50" s="19">
        <f t="shared" si="7"/>
        <v>0</v>
      </c>
      <c r="G50" s="2"/>
      <c r="H50" s="2">
        <v>69.599999999999994</v>
      </c>
      <c r="I50" s="2"/>
      <c r="J50" s="19">
        <f t="shared" si="8"/>
        <v>4.160022733806994E-5</v>
      </c>
      <c r="K50" s="2"/>
      <c r="L50" s="2">
        <f t="shared" si="9"/>
        <v>-69.599999999999994</v>
      </c>
      <c r="M50" s="2"/>
      <c r="N50" s="19">
        <f t="shared" si="10"/>
        <v>-1</v>
      </c>
      <c r="O50" s="11"/>
      <c r="P50" s="2">
        <v>90.41</v>
      </c>
      <c r="Q50" s="2"/>
      <c r="R50" s="19">
        <f t="shared" si="11"/>
        <v>3.5303893777772486E-5</v>
      </c>
      <c r="S50" s="2"/>
      <c r="T50" s="2">
        <v>568.92999999999995</v>
      </c>
      <c r="U50" s="2"/>
      <c r="V50" s="19">
        <f t="shared" si="12"/>
        <v>1.2332328786002507E-4</v>
      </c>
      <c r="W50" s="2"/>
      <c r="X50" s="2">
        <f t="shared" si="13"/>
        <v>-478.52</v>
      </c>
      <c r="Y50" s="2"/>
      <c r="Z50" s="19">
        <f t="shared" si="14"/>
        <v>-0.84108765577487565</v>
      </c>
    </row>
    <row r="51" spans="1:26" s="24" customFormat="1" hidden="1" outlineLevel="1" x14ac:dyDescent="0.25">
      <c r="A51" s="44"/>
      <c r="B51" s="11" t="str">
        <f>CONCATENATE("          ", "5018", " - ", "PURCHASES @ COST-STUDY GUIDES")</f>
        <v xml:space="preserve">          5018 - PURCHASES @ COST-STUDY GUIDES</v>
      </c>
      <c r="C51" s="11"/>
      <c r="D51" s="2">
        <v>416</v>
      </c>
      <c r="E51" s="2"/>
      <c r="F51" s="19">
        <f t="shared" si="7"/>
        <v>4.2064609926327777E-4</v>
      </c>
      <c r="G51" s="2"/>
      <c r="H51" s="2">
        <v>1032.75</v>
      </c>
      <c r="I51" s="2"/>
      <c r="J51" s="19">
        <f t="shared" si="8"/>
        <v>6.1727923539355945E-4</v>
      </c>
      <c r="K51" s="2"/>
      <c r="L51" s="2">
        <f t="shared" si="9"/>
        <v>-616.75</v>
      </c>
      <c r="M51" s="2"/>
      <c r="N51" s="19">
        <f t="shared" si="10"/>
        <v>-0.59719196320503509</v>
      </c>
      <c r="O51" s="11"/>
      <c r="P51" s="2">
        <v>522.34</v>
      </c>
      <c r="Q51" s="2"/>
      <c r="R51" s="19">
        <f t="shared" si="11"/>
        <v>2.0396677221415423E-4</v>
      </c>
      <c r="S51" s="2"/>
      <c r="T51" s="2">
        <v>2031.15</v>
      </c>
      <c r="U51" s="2"/>
      <c r="V51" s="19">
        <f t="shared" si="12"/>
        <v>4.4027928943260144E-4</v>
      </c>
      <c r="W51" s="2"/>
      <c r="X51" s="2">
        <f t="shared" si="13"/>
        <v>-1508.81</v>
      </c>
      <c r="Y51" s="2"/>
      <c r="Z51" s="19">
        <f t="shared" si="14"/>
        <v>-0.74283533958594883</v>
      </c>
    </row>
    <row r="52" spans="1:26" s="24" customFormat="1" hidden="1" outlineLevel="1" x14ac:dyDescent="0.25">
      <c r="A52" s="44"/>
      <c r="B52" s="11" t="str">
        <f>CONCATENATE("          ", "5200", " - ", "PURCHASES OFFSET")</f>
        <v xml:space="preserve">          5200 - PURCHASES OFFSET</v>
      </c>
      <c r="C52" s="11"/>
      <c r="D52" s="2">
        <v>-321969.30000000005</v>
      </c>
      <c r="E52" s="2"/>
      <c r="F52" s="19">
        <f t="shared" si="7"/>
        <v>-0.32556521665271171</v>
      </c>
      <c r="G52" s="2"/>
      <c r="H52" s="2">
        <v>-846175</v>
      </c>
      <c r="I52" s="2"/>
      <c r="J52" s="19">
        <f t="shared" si="8"/>
        <v>-0.50576253401999038</v>
      </c>
      <c r="K52" s="2"/>
      <c r="L52" s="2">
        <f t="shared" si="9"/>
        <v>524205.69999999995</v>
      </c>
      <c r="M52" s="2"/>
      <c r="N52" s="19">
        <f t="shared" si="10"/>
        <v>-0.61950033976423313</v>
      </c>
      <c r="O52" s="11"/>
      <c r="P52" s="2">
        <v>-1672643.0999999999</v>
      </c>
      <c r="Q52" s="2"/>
      <c r="R52" s="19">
        <f t="shared" si="11"/>
        <v>-0.65314472216042563</v>
      </c>
      <c r="S52" s="2"/>
      <c r="T52" s="2">
        <v>-2574540</v>
      </c>
      <c r="U52" s="2"/>
      <c r="V52" s="19">
        <f t="shared" si="12"/>
        <v>-0.55806643616464058</v>
      </c>
      <c r="W52" s="2"/>
      <c r="X52" s="2">
        <f t="shared" si="13"/>
        <v>901896.90000000014</v>
      </c>
      <c r="Y52" s="2"/>
      <c r="Z52" s="19">
        <f t="shared" si="14"/>
        <v>-0.35031380363093995</v>
      </c>
    </row>
    <row r="53" spans="1:26" s="24" customFormat="1" hidden="1" outlineLevel="1" x14ac:dyDescent="0.25">
      <c r="A53" s="44"/>
      <c r="B53" s="11" t="str">
        <f>CONCATENATE("          ", "5300", " - ", "COG$ OFFSET")</f>
        <v xml:space="preserve">          5300 - COG$ OFFSET</v>
      </c>
      <c r="C53" s="11"/>
      <c r="D53" s="2">
        <v>499754.00000000006</v>
      </c>
      <c r="E53" s="2"/>
      <c r="F53" s="19">
        <f t="shared" si="7"/>
        <v>0.50533550646927916</v>
      </c>
      <c r="G53" s="2"/>
      <c r="H53" s="2">
        <v>571526</v>
      </c>
      <c r="I53" s="2"/>
      <c r="J53" s="19">
        <f t="shared" si="8"/>
        <v>0.34160361393128968</v>
      </c>
      <c r="K53" s="2"/>
      <c r="L53" s="2">
        <f t="shared" si="9"/>
        <v>-71771.999999999942</v>
      </c>
      <c r="M53" s="2"/>
      <c r="N53" s="19">
        <f t="shared" si="10"/>
        <v>-0.12557958868012994</v>
      </c>
      <c r="O53" s="11"/>
      <c r="P53" s="2">
        <v>1279451</v>
      </c>
      <c r="Q53" s="2"/>
      <c r="R53" s="19">
        <f t="shared" si="11"/>
        <v>0.49960847470263015</v>
      </c>
      <c r="S53" s="2"/>
      <c r="T53" s="2">
        <v>2056933.4699999997</v>
      </c>
      <c r="U53" s="2"/>
      <c r="V53" s="19">
        <f t="shared" si="12"/>
        <v>0.44586820598268717</v>
      </c>
      <c r="W53" s="2"/>
      <c r="X53" s="2">
        <f t="shared" si="13"/>
        <v>-777482.46999999974</v>
      </c>
      <c r="Y53" s="2"/>
      <c r="Z53" s="19">
        <f t="shared" si="14"/>
        <v>-0.37798134034933073</v>
      </c>
    </row>
    <row r="54" spans="1:26" s="24" customFormat="1" hidden="1" outlineLevel="1" x14ac:dyDescent="0.25">
      <c r="A54" s="44"/>
      <c r="B54" s="11" t="str">
        <f>CONCATENATE("          ", "5500", " - ", "FREIGHT-IN")</f>
        <v xml:space="preserve">          5500 - FREIGHT-IN</v>
      </c>
      <c r="C54" s="11"/>
      <c r="D54" s="2"/>
      <c r="E54" s="2"/>
      <c r="F54" s="19">
        <f t="shared" si="7"/>
        <v>0</v>
      </c>
      <c r="G54" s="2"/>
      <c r="H54" s="2">
        <v>7.3</v>
      </c>
      <c r="I54" s="2"/>
      <c r="J54" s="19">
        <f t="shared" si="8"/>
        <v>4.3632422351711286E-6</v>
      </c>
      <c r="K54" s="2"/>
      <c r="L54" s="2">
        <f t="shared" si="9"/>
        <v>-7.3</v>
      </c>
      <c r="M54" s="2"/>
      <c r="N54" s="19">
        <f t="shared" si="10"/>
        <v>-1</v>
      </c>
      <c r="O54" s="11"/>
      <c r="P54" s="2"/>
      <c r="Q54" s="2"/>
      <c r="R54" s="19">
        <f t="shared" si="11"/>
        <v>0</v>
      </c>
      <c r="S54" s="2"/>
      <c r="T54" s="2">
        <v>7.3</v>
      </c>
      <c r="U54" s="2"/>
      <c r="V54" s="19">
        <f t="shared" si="12"/>
        <v>1.5823739324313765E-6</v>
      </c>
      <c r="W54" s="2"/>
      <c r="X54" s="2">
        <f t="shared" si="13"/>
        <v>-7.3</v>
      </c>
      <c r="Y54" s="2"/>
      <c r="Z54" s="19">
        <f t="shared" si="14"/>
        <v>-1</v>
      </c>
    </row>
    <row r="55" spans="1:26" s="24" customFormat="1" hidden="1" outlineLevel="1" x14ac:dyDescent="0.25">
      <c r="A55" s="44"/>
      <c r="B55" s="11" t="str">
        <f>CONCATENATE("          ", "5501", " - ", "FREIGHT-IN-NEW TEXT")</f>
        <v xml:space="preserve">          5501 - FREIGHT-IN-NEW TEXT</v>
      </c>
      <c r="C55" s="11"/>
      <c r="D55" s="2">
        <v>7155.21</v>
      </c>
      <c r="E55" s="2"/>
      <c r="F55" s="19">
        <f t="shared" si="7"/>
        <v>7.2351230190134562E-3</v>
      </c>
      <c r="G55" s="2"/>
      <c r="H55" s="2">
        <v>3407.43</v>
      </c>
      <c r="I55" s="2"/>
      <c r="J55" s="19">
        <f t="shared" si="8"/>
        <v>2.03663595745057E-3</v>
      </c>
      <c r="K55" s="2"/>
      <c r="L55" s="2">
        <f t="shared" si="9"/>
        <v>3747.78</v>
      </c>
      <c r="M55" s="2"/>
      <c r="N55" s="19">
        <f t="shared" si="10"/>
        <v>1.0998846638082074</v>
      </c>
      <c r="O55" s="11"/>
      <c r="P55" s="2">
        <v>44618.79</v>
      </c>
      <c r="Q55" s="2"/>
      <c r="R55" s="19">
        <f t="shared" si="11"/>
        <v>1.7423039737338098E-2</v>
      </c>
      <c r="S55" s="2"/>
      <c r="T55" s="2">
        <v>42077.369999999995</v>
      </c>
      <c r="U55" s="2"/>
      <c r="V55" s="19">
        <f t="shared" si="12"/>
        <v>9.1208401963383586E-3</v>
      </c>
      <c r="W55" s="2"/>
      <c r="X55" s="2">
        <f t="shared" si="13"/>
        <v>2541.4200000000055</v>
      </c>
      <c r="Y55" s="2"/>
      <c r="Z55" s="19">
        <f t="shared" si="14"/>
        <v>6.0398736898242593E-2</v>
      </c>
    </row>
    <row r="56" spans="1:26" s="24" customFormat="1" hidden="1" outlineLevel="1" x14ac:dyDescent="0.25">
      <c r="A56" s="44"/>
      <c r="B56" s="11" t="str">
        <f>CONCATENATE("          ", "5502", " - ", "FREIGHT-IN-USED TEXT")</f>
        <v xml:space="preserve">          5502 - FREIGHT-IN-USED TEXT</v>
      </c>
      <c r="C56" s="11"/>
      <c r="D56" s="2">
        <v>2129.7399999999998</v>
      </c>
      <c r="E56" s="2"/>
      <c r="F56" s="19">
        <f t="shared" si="7"/>
        <v>2.1535260178965699E-3</v>
      </c>
      <c r="G56" s="2"/>
      <c r="H56" s="2">
        <v>4124.8100000000004</v>
      </c>
      <c r="I56" s="2"/>
      <c r="J56" s="19">
        <f t="shared" si="8"/>
        <v>2.4654171512405792E-3</v>
      </c>
      <c r="K56" s="2"/>
      <c r="L56" s="2">
        <f t="shared" si="9"/>
        <v>-1995.0700000000006</v>
      </c>
      <c r="M56" s="2"/>
      <c r="N56" s="19">
        <f t="shared" si="10"/>
        <v>-0.48367561172514623</v>
      </c>
      <c r="O56" s="11"/>
      <c r="P56" s="2">
        <v>15652.310000000001</v>
      </c>
      <c r="Q56" s="2"/>
      <c r="R56" s="19">
        <f t="shared" si="11"/>
        <v>6.1120173610968494E-3</v>
      </c>
      <c r="S56" s="2"/>
      <c r="T56" s="2">
        <v>11778.23</v>
      </c>
      <c r="U56" s="2"/>
      <c r="V56" s="19">
        <f t="shared" si="12"/>
        <v>2.5530909756412618E-3</v>
      </c>
      <c r="W56" s="2"/>
      <c r="X56" s="2">
        <f t="shared" si="13"/>
        <v>3874.0800000000017</v>
      </c>
      <c r="Y56" s="2"/>
      <c r="Z56" s="19">
        <f t="shared" si="14"/>
        <v>0.32891869151816544</v>
      </c>
    </row>
    <row r="57" spans="1:26" s="24" customFormat="1" hidden="1" outlineLevel="1" x14ac:dyDescent="0.25">
      <c r="A57" s="44"/>
      <c r="B57" s="11" t="str">
        <f>CONCATENATE("          ", "5504", " - ", "FREIGHT-IN-DIGITAL TEXT")</f>
        <v xml:space="preserve">          5504 - FREIGHT-IN-DIGITAL TEXT</v>
      </c>
      <c r="C57" s="11"/>
      <c r="D57" s="2"/>
      <c r="E57" s="2"/>
      <c r="F57" s="19">
        <f t="shared" si="7"/>
        <v>0</v>
      </c>
      <c r="G57" s="2"/>
      <c r="H57" s="2"/>
      <c r="I57" s="2"/>
      <c r="J57" s="19">
        <f t="shared" si="8"/>
        <v>0</v>
      </c>
      <c r="K57" s="2"/>
      <c r="L57" s="2">
        <f t="shared" si="9"/>
        <v>0</v>
      </c>
      <c r="M57" s="2"/>
      <c r="N57" s="19">
        <f t="shared" si="10"/>
        <v>0</v>
      </c>
      <c r="O57" s="11"/>
      <c r="P57" s="2">
        <v>21.98</v>
      </c>
      <c r="Q57" s="2"/>
      <c r="R57" s="19">
        <f t="shared" si="11"/>
        <v>8.5828955340718882E-6</v>
      </c>
      <c r="S57" s="2"/>
      <c r="T57" s="2">
        <v>105.97</v>
      </c>
      <c r="U57" s="2"/>
      <c r="V57" s="19">
        <f t="shared" si="12"/>
        <v>2.2970433646541502E-5</v>
      </c>
      <c r="W57" s="2"/>
      <c r="X57" s="2">
        <f t="shared" si="13"/>
        <v>-83.99</v>
      </c>
      <c r="Y57" s="2"/>
      <c r="Z57" s="19">
        <f t="shared" si="14"/>
        <v>-0.79258280645465695</v>
      </c>
    </row>
    <row r="58" spans="1:26" s="24" customFormat="1" hidden="1" outlineLevel="1" x14ac:dyDescent="0.25">
      <c r="A58" s="44"/>
      <c r="B58" s="11" t="str">
        <f>CONCATENATE("          ", "5513", " - ", "FREIGHT-IN-TRADE BOOKS")</f>
        <v xml:space="preserve">          5513 - FREIGHT-IN-TRADE BOOKS</v>
      </c>
      <c r="C58" s="11"/>
      <c r="D58" s="2">
        <v>7.06</v>
      </c>
      <c r="E58" s="2"/>
      <c r="F58" s="19">
        <f t="shared" si="7"/>
        <v>7.1388496653815886E-6</v>
      </c>
      <c r="G58" s="2"/>
      <c r="H58" s="2"/>
      <c r="I58" s="2"/>
      <c r="J58" s="19">
        <f t="shared" si="8"/>
        <v>0</v>
      </c>
      <c r="K58" s="2"/>
      <c r="L58" s="2">
        <f t="shared" si="9"/>
        <v>7.06</v>
      </c>
      <c r="M58" s="2"/>
      <c r="N58" s="19">
        <f t="shared" si="10"/>
        <v>0</v>
      </c>
      <c r="O58" s="11"/>
      <c r="P58" s="2">
        <v>33.520000000000003</v>
      </c>
      <c r="Q58" s="2"/>
      <c r="R58" s="19">
        <f t="shared" si="11"/>
        <v>1.3089110932761132E-5</v>
      </c>
      <c r="S58" s="2"/>
      <c r="T58" s="2">
        <v>21.41</v>
      </c>
      <c r="U58" s="2"/>
      <c r="V58" s="19">
        <f t="shared" si="12"/>
        <v>4.6409076566240783E-6</v>
      </c>
      <c r="W58" s="2"/>
      <c r="X58" s="2">
        <f t="shared" si="13"/>
        <v>12.110000000000003</v>
      </c>
      <c r="Y58" s="2"/>
      <c r="Z58" s="19">
        <f t="shared" si="14"/>
        <v>0.56562354040168161</v>
      </c>
    </row>
    <row r="59" spans="1:26" s="24" customFormat="1" hidden="1" outlineLevel="1" x14ac:dyDescent="0.25">
      <c r="A59" s="44"/>
      <c r="B59" s="11" t="str">
        <f>CONCATENATE("          ", "5518", " - ", "FREIGHT-IN-STUDY GUIDES")</f>
        <v xml:space="preserve">          5518 - FREIGHT-IN-STUDY GUIDES</v>
      </c>
      <c r="C59" s="11"/>
      <c r="D59" s="2"/>
      <c r="E59" s="2"/>
      <c r="F59" s="19">
        <f t="shared" si="7"/>
        <v>0</v>
      </c>
      <c r="G59" s="2"/>
      <c r="H59" s="2"/>
      <c r="I59" s="2"/>
      <c r="J59" s="19">
        <f t="shared" si="8"/>
        <v>0</v>
      </c>
      <c r="K59" s="2"/>
      <c r="L59" s="2">
        <f t="shared" si="9"/>
        <v>0</v>
      </c>
      <c r="M59" s="2"/>
      <c r="N59" s="19">
        <f t="shared" si="10"/>
        <v>0</v>
      </c>
      <c r="O59" s="11"/>
      <c r="P59" s="2"/>
      <c r="Q59" s="2"/>
      <c r="R59" s="19">
        <f t="shared" si="11"/>
        <v>0</v>
      </c>
      <c r="S59" s="2"/>
      <c r="T59" s="2">
        <v>21.13</v>
      </c>
      <c r="U59" s="2"/>
      <c r="V59" s="19">
        <f t="shared" si="12"/>
        <v>4.5802138619554769E-6</v>
      </c>
      <c r="W59" s="2"/>
      <c r="X59" s="2">
        <f t="shared" si="13"/>
        <v>-21.13</v>
      </c>
      <c r="Y59" s="2"/>
      <c r="Z59" s="19">
        <f t="shared" si="14"/>
        <v>-1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8" t="s">
        <v>6</v>
      </c>
      <c r="C61" s="28"/>
      <c r="D61" s="20">
        <f>D12-D43</f>
        <v>302083.03000000003</v>
      </c>
      <c r="E61" s="14"/>
      <c r="F61" s="22">
        <f>IF(D$12=0,0,D61/D$12)</f>
        <v>0.3054568466902205</v>
      </c>
      <c r="G61" s="14"/>
      <c r="H61" s="20">
        <f>H12-H43</f>
        <v>668927.65000000026</v>
      </c>
      <c r="I61" s="14"/>
      <c r="J61" s="22">
        <f>IF(H$12=0,0,H61/H$12)</f>
        <v>0.39982101024024269</v>
      </c>
      <c r="K61" s="15"/>
      <c r="L61" s="20">
        <f>+D61-H61</f>
        <v>-366844.62000000023</v>
      </c>
      <c r="M61" s="15"/>
      <c r="N61" s="22">
        <f>IF(H61=0,0,L61/H61)</f>
        <v>-0.54840702129744534</v>
      </c>
      <c r="O61" s="29"/>
      <c r="P61" s="20">
        <f>P12-P43</f>
        <v>751331.34999999939</v>
      </c>
      <c r="Q61" s="14"/>
      <c r="R61" s="22">
        <f>IF(P$12=0,0,P61/P$12)</f>
        <v>0.29338482659341203</v>
      </c>
      <c r="S61" s="14"/>
      <c r="T61" s="20">
        <f>T12-T43</f>
        <v>1454665.7199999979</v>
      </c>
      <c r="U61" s="14"/>
      <c r="V61" s="22">
        <f>IF(T$12=0,0,T61/T$12)</f>
        <v>0.31531850900404329</v>
      </c>
      <c r="W61" s="15"/>
      <c r="X61" s="20">
        <f>+P61-T61</f>
        <v>-703334.36999999848</v>
      </c>
      <c r="Y61" s="15"/>
      <c r="Z61" s="22">
        <f>IF(T61=0,0,X61/T61)</f>
        <v>-0.4835024021876308</v>
      </c>
    </row>
    <row r="62" spans="1:26" x14ac:dyDescent="0.25">
      <c r="A62" s="9"/>
      <c r="B62" s="10"/>
      <c r="C62" s="9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9" t="s">
        <v>9</v>
      </c>
      <c r="C63" s="10"/>
      <c r="D63" s="21">
        <f>SUM(OSRRefD22x_0)</f>
        <v>58886.079999999994</v>
      </c>
      <c r="E63" s="21"/>
      <c r="F63" s="35">
        <f t="shared" ref="F63:F73" si="15">IF(D$12=0,0,D63/D$12)</f>
        <v>5.9543749646407004E-2</v>
      </c>
      <c r="G63" s="21"/>
      <c r="H63" s="21">
        <f>SUM(OSRRefH22x_0)</f>
        <v>51001.53</v>
      </c>
      <c r="I63" s="21"/>
      <c r="J63" s="35">
        <f t="shared" ref="J63:J73" si="16">IF(H$12=0,0,H63/H$12)</f>
        <v>3.0483839692376356E-2</v>
      </c>
      <c r="K63" s="4"/>
      <c r="L63" s="21">
        <f t="shared" ref="L63:L73" si="17">+D63-H63</f>
        <v>7884.5499999999956</v>
      </c>
      <c r="M63" s="4"/>
      <c r="N63" s="35">
        <f t="shared" ref="N63:N73" si="18">IF(H63=0,0,L63/H63)</f>
        <v>0.15459438177638976</v>
      </c>
      <c r="O63" s="10"/>
      <c r="P63" s="21">
        <f>SUM(OSRRefP22x_0)</f>
        <v>322990.58999999991</v>
      </c>
      <c r="Q63" s="21"/>
      <c r="R63" s="35">
        <f t="shared" ref="R63:R73" si="19">IF(P$12=0,0,P63/P$12)</f>
        <v>0.12612349829200378</v>
      </c>
      <c r="S63" s="21"/>
      <c r="T63" s="21">
        <f>SUM(OSRRefT22x_0)</f>
        <v>306588.51999999996</v>
      </c>
      <c r="U63" s="21"/>
      <c r="V63" s="35">
        <f t="shared" ref="V63:V73" si="20">IF(T$12=0,0,T63/T$12)</f>
        <v>6.6457216716536385E-2</v>
      </c>
      <c r="W63" s="4"/>
      <c r="X63" s="21">
        <f t="shared" ref="X63:X73" si="21">+P63-T63</f>
        <v>16402.069999999949</v>
      </c>
      <c r="Y63" s="4"/>
      <c r="Z63" s="35">
        <f t="shared" ref="Z63:Z73" si="22">IF(T63=0,0,X63/T63)</f>
        <v>5.3498643719601606E-2</v>
      </c>
    </row>
    <row r="64" spans="1:26" s="26" customFormat="1" outlineLevel="1" collapsed="1" x14ac:dyDescent="0.25">
      <c r="A64" s="27"/>
      <c r="B64" s="13" t="str">
        <f>CONCATENATE("     ","*Benefits                                         ")</f>
        <v xml:space="preserve">     *Benefits                                         </v>
      </c>
      <c r="C64" s="13"/>
      <c r="D64" s="1">
        <f>SUM(OSRRefD22_0x_0)</f>
        <v>13034.259999999998</v>
      </c>
      <c r="E64" s="1"/>
      <c r="F64" s="5">
        <f t="shared" si="15"/>
        <v>1.3179833235056178E-2</v>
      </c>
      <c r="G64" s="1"/>
      <c r="H64" s="1">
        <f>SUM(OSRRefH22_0x_0)</f>
        <v>10868.34</v>
      </c>
      <c r="I64" s="1"/>
      <c r="J64" s="5">
        <f t="shared" si="16"/>
        <v>6.4960548101643551E-3</v>
      </c>
      <c r="K64" s="1"/>
      <c r="L64" s="1">
        <f t="shared" si="17"/>
        <v>2165.9199999999983</v>
      </c>
      <c r="M64" s="1"/>
      <c r="N64" s="5">
        <f t="shared" si="18"/>
        <v>0.19928710364232241</v>
      </c>
      <c r="O64" s="13"/>
      <c r="P64" s="1">
        <f>SUM(OSRRefP22_0x_0)</f>
        <v>81797.209999999992</v>
      </c>
      <c r="Q64" s="1"/>
      <c r="R64" s="5">
        <f t="shared" si="19"/>
        <v>3.1940714668268436E-2</v>
      </c>
      <c r="S64" s="1"/>
      <c r="T64" s="1">
        <f>SUM(OSRRefT22_0x_0)</f>
        <v>71759.13</v>
      </c>
      <c r="U64" s="1"/>
      <c r="V64" s="5">
        <f t="shared" si="20"/>
        <v>1.5554763935062242E-2</v>
      </c>
      <c r="W64" s="1"/>
      <c r="X64" s="1">
        <f t="shared" si="21"/>
        <v>10038.079999999987</v>
      </c>
      <c r="Y64" s="1"/>
      <c r="Z64" s="5">
        <f t="shared" si="22"/>
        <v>0.13988575391033847</v>
      </c>
    </row>
    <row r="65" spans="1:26" s="24" customFormat="1" hidden="1" outlineLevel="2" x14ac:dyDescent="0.25">
      <c r="A65" s="25"/>
      <c r="B65" s="11" t="str">
        <f>CONCATENATE("          ", "6111", " - ", "F.I.C.A.")</f>
        <v xml:space="preserve">          6111 - F.I.C.A.</v>
      </c>
      <c r="C65" s="11"/>
      <c r="D65" s="6">
        <v>2182.61</v>
      </c>
      <c r="E65" s="2"/>
      <c r="F65" s="7">
        <f t="shared" si="15"/>
        <v>2.2069864969063045E-3</v>
      </c>
      <c r="G65" s="2"/>
      <c r="H65" s="6">
        <v>1676.57</v>
      </c>
      <c r="I65" s="2"/>
      <c r="J65" s="7">
        <f t="shared" si="16"/>
        <v>1.0020932923590219E-3</v>
      </c>
      <c r="K65" s="2"/>
      <c r="L65" s="6">
        <f t="shared" si="17"/>
        <v>506.04000000000019</v>
      </c>
      <c r="M65" s="2"/>
      <c r="N65" s="7">
        <f t="shared" si="18"/>
        <v>0.30183052303214314</v>
      </c>
      <c r="O65" s="11"/>
      <c r="P65" s="6">
        <v>15125.609999999999</v>
      </c>
      <c r="Q65" s="2"/>
      <c r="R65" s="7">
        <f t="shared" si="19"/>
        <v>5.9063480672935879E-3</v>
      </c>
      <c r="S65" s="2"/>
      <c r="T65" s="6">
        <v>12311.48</v>
      </c>
      <c r="U65" s="2"/>
      <c r="V65" s="7">
        <f t="shared" si="20"/>
        <v>2.6686801399520878E-3</v>
      </c>
      <c r="W65" s="2"/>
      <c r="X65" s="6">
        <f t="shared" si="21"/>
        <v>2814.1299999999992</v>
      </c>
      <c r="Y65" s="2"/>
      <c r="Z65" s="7">
        <f t="shared" si="22"/>
        <v>0.22857771770737551</v>
      </c>
    </row>
    <row r="66" spans="1:26" s="24" customFormat="1" hidden="1" outlineLevel="2" x14ac:dyDescent="0.25">
      <c r="A66" s="25"/>
      <c r="B66" s="11" t="str">
        <f>CONCATENATE("          ", "6112", " - ", "COMPENSATION INSURANCE")</f>
        <v xml:space="preserve">          6112 - COMPENSATION INSURANCE</v>
      </c>
      <c r="C66" s="11"/>
      <c r="D66" s="6">
        <v>-125.07</v>
      </c>
      <c r="E66" s="2"/>
      <c r="F66" s="7">
        <f t="shared" si="15"/>
        <v>-1.264668452761013E-4</v>
      </c>
      <c r="G66" s="2"/>
      <c r="H66" s="6">
        <v>89.99</v>
      </c>
      <c r="I66" s="2"/>
      <c r="J66" s="7">
        <f t="shared" si="16"/>
        <v>5.3787420375760255E-5</v>
      </c>
      <c r="K66" s="2"/>
      <c r="L66" s="6">
        <f t="shared" si="17"/>
        <v>-215.06</v>
      </c>
      <c r="M66" s="2"/>
      <c r="N66" s="7">
        <f t="shared" si="18"/>
        <v>-2.3898210912323594</v>
      </c>
      <c r="O66" s="11"/>
      <c r="P66" s="6">
        <v>856.97</v>
      </c>
      <c r="Q66" s="2"/>
      <c r="R66" s="7">
        <f t="shared" si="19"/>
        <v>3.3463530417805211E-4</v>
      </c>
      <c r="S66" s="2"/>
      <c r="T66" s="6">
        <v>473.32</v>
      </c>
      <c r="U66" s="2"/>
      <c r="V66" s="7">
        <f t="shared" si="20"/>
        <v>1.025985246162218E-4</v>
      </c>
      <c r="W66" s="2"/>
      <c r="X66" s="6">
        <f t="shared" si="21"/>
        <v>383.65000000000003</v>
      </c>
      <c r="Y66" s="2"/>
      <c r="Z66" s="7">
        <f t="shared" si="22"/>
        <v>0.81055100143666026</v>
      </c>
    </row>
    <row r="67" spans="1:26" s="24" customFormat="1" hidden="1" outlineLevel="2" x14ac:dyDescent="0.25">
      <c r="A67" s="25"/>
      <c r="B67" s="11" t="str">
        <f>CONCATENATE("          ", "6113", " - ", "GROUP INSURANCE")</f>
        <v xml:space="preserve">          6113 - GROUP INSURANCE</v>
      </c>
      <c r="C67" s="11"/>
      <c r="D67" s="6">
        <v>4943.91</v>
      </c>
      <c r="E67" s="2"/>
      <c r="F67" s="7">
        <f t="shared" si="15"/>
        <v>4.9991260976170945E-3</v>
      </c>
      <c r="G67" s="2"/>
      <c r="H67" s="6">
        <v>4248.21</v>
      </c>
      <c r="I67" s="2"/>
      <c r="J67" s="7">
        <f t="shared" si="16"/>
        <v>2.5391738761474441E-3</v>
      </c>
      <c r="K67" s="2"/>
      <c r="L67" s="6">
        <f t="shared" si="17"/>
        <v>695.69999999999982</v>
      </c>
      <c r="M67" s="2"/>
      <c r="N67" s="7">
        <f t="shared" si="18"/>
        <v>0.16376309080765777</v>
      </c>
      <c r="O67" s="11"/>
      <c r="P67" s="6">
        <v>30332.129999999997</v>
      </c>
      <c r="Q67" s="2"/>
      <c r="R67" s="7">
        <f t="shared" si="19"/>
        <v>1.1844290405636391E-2</v>
      </c>
      <c r="S67" s="2"/>
      <c r="T67" s="6">
        <v>29259.63</v>
      </c>
      <c r="U67" s="2"/>
      <c r="V67" s="7">
        <f t="shared" si="20"/>
        <v>6.342421340354394E-3</v>
      </c>
      <c r="W67" s="2"/>
      <c r="X67" s="6">
        <f t="shared" si="21"/>
        <v>1072.4999999999964</v>
      </c>
      <c r="Y67" s="2"/>
      <c r="Z67" s="7">
        <f t="shared" si="22"/>
        <v>3.6654598844892992E-2</v>
      </c>
    </row>
    <row r="68" spans="1:26" s="24" customFormat="1" hidden="1" outlineLevel="2" x14ac:dyDescent="0.25">
      <c r="A68" s="25"/>
      <c r="B68" s="11" t="str">
        <f>CONCATENATE("          ", "6114", " - ", "STATE UNEMPLOYMENT INSURANCE")</f>
        <v xml:space="preserve">          6114 - STATE UNEMPLOYMENT INSURANCE</v>
      </c>
      <c r="C68" s="11"/>
      <c r="D68" s="6">
        <v>149.4</v>
      </c>
      <c r="E68" s="2"/>
      <c r="F68" s="7">
        <f t="shared" si="15"/>
        <v>1.5106857507195601E-4</v>
      </c>
      <c r="G68" s="2"/>
      <c r="H68" s="6">
        <v>68.81</v>
      </c>
      <c r="I68" s="2"/>
      <c r="J68" s="7">
        <f t="shared" si="16"/>
        <v>4.1128040849606219E-5</v>
      </c>
      <c r="K68" s="2"/>
      <c r="L68" s="6">
        <f t="shared" si="17"/>
        <v>80.59</v>
      </c>
      <c r="M68" s="2"/>
      <c r="N68" s="7">
        <f t="shared" si="18"/>
        <v>1.1711960470861793</v>
      </c>
      <c r="O68" s="11"/>
      <c r="P68" s="6">
        <v>532.15</v>
      </c>
      <c r="Q68" s="2"/>
      <c r="R68" s="7">
        <f t="shared" si="19"/>
        <v>2.0779744578964306E-4</v>
      </c>
      <c r="S68" s="2"/>
      <c r="T68" s="6">
        <v>460.4</v>
      </c>
      <c r="U68" s="2"/>
      <c r="V68" s="7">
        <f t="shared" si="20"/>
        <v>9.9797939519370634E-5</v>
      </c>
      <c r="W68" s="2"/>
      <c r="X68" s="6">
        <f t="shared" si="21"/>
        <v>71.75</v>
      </c>
      <c r="Y68" s="2"/>
      <c r="Z68" s="7">
        <f t="shared" si="22"/>
        <v>0.15584274543874893</v>
      </c>
    </row>
    <row r="69" spans="1:26" s="24" customFormat="1" hidden="1" outlineLevel="2" x14ac:dyDescent="0.25">
      <c r="A69" s="25"/>
      <c r="B69" s="11" t="str">
        <f>CONCATENATE("          ", "6115", " - ", "P.E.R.S.")</f>
        <v xml:space="preserve">          6115 - P.E.R.S.</v>
      </c>
      <c r="C69" s="11"/>
      <c r="D69" s="6">
        <v>2689.05</v>
      </c>
      <c r="E69" s="2"/>
      <c r="F69" s="7">
        <f t="shared" si="15"/>
        <v>2.7190826760190314E-3</v>
      </c>
      <c r="G69" s="2"/>
      <c r="H69" s="6">
        <v>1997.27</v>
      </c>
      <c r="I69" s="2"/>
      <c r="J69" s="7">
        <f t="shared" si="16"/>
        <v>1.193777098498663E-3</v>
      </c>
      <c r="K69" s="2"/>
      <c r="L69" s="6">
        <f t="shared" si="17"/>
        <v>691.7800000000002</v>
      </c>
      <c r="M69" s="2"/>
      <c r="N69" s="7">
        <f t="shared" si="18"/>
        <v>0.34636278520180058</v>
      </c>
      <c r="O69" s="11"/>
      <c r="P69" s="6">
        <v>13175.29</v>
      </c>
      <c r="Q69" s="2"/>
      <c r="R69" s="7">
        <f t="shared" si="19"/>
        <v>5.1447742357189265E-3</v>
      </c>
      <c r="S69" s="2"/>
      <c r="T69" s="6">
        <v>10429.67</v>
      </c>
      <c r="U69" s="2"/>
      <c r="V69" s="7">
        <f t="shared" si="20"/>
        <v>2.2607723194330897E-3</v>
      </c>
      <c r="W69" s="2"/>
      <c r="X69" s="6">
        <f t="shared" si="21"/>
        <v>2745.6200000000008</v>
      </c>
      <c r="Y69" s="2"/>
      <c r="Z69" s="7">
        <f t="shared" si="22"/>
        <v>0.26325089863821205</v>
      </c>
    </row>
    <row r="70" spans="1:26" s="24" customFormat="1" hidden="1" outlineLevel="2" x14ac:dyDescent="0.25">
      <c r="A70" s="25"/>
      <c r="B70" s="11" t="str">
        <f>CONCATENATE("          ", "6117", " - ", "RETIREMENT STAFF HOURLY")</f>
        <v xml:space="preserve">          6117 - RETIREMENT STAFF HOURLY</v>
      </c>
      <c r="C70" s="11"/>
      <c r="D70" s="6">
        <v>297.92</v>
      </c>
      <c r="E70" s="2"/>
      <c r="F70" s="7">
        <f t="shared" si="15"/>
        <v>3.0124732185700891E-4</v>
      </c>
      <c r="G70" s="2"/>
      <c r="H70" s="6">
        <v>213.49</v>
      </c>
      <c r="I70" s="2"/>
      <c r="J70" s="7">
        <f t="shared" si="16"/>
        <v>1.2760391572420334E-4</v>
      </c>
      <c r="K70" s="2"/>
      <c r="L70" s="6">
        <f t="shared" si="17"/>
        <v>84.43</v>
      </c>
      <c r="M70" s="2"/>
      <c r="N70" s="7">
        <f t="shared" si="18"/>
        <v>0.39547519790154106</v>
      </c>
      <c r="O70" s="11"/>
      <c r="P70" s="6">
        <v>1842.08</v>
      </c>
      <c r="Q70" s="2"/>
      <c r="R70" s="7">
        <f t="shared" si="19"/>
        <v>7.1930756166529303E-4</v>
      </c>
      <c r="S70" s="2"/>
      <c r="T70" s="6">
        <v>952.23</v>
      </c>
      <c r="U70" s="2"/>
      <c r="V70" s="7">
        <f t="shared" si="20"/>
        <v>2.0640875749029173E-4</v>
      </c>
      <c r="W70" s="2"/>
      <c r="X70" s="6">
        <f t="shared" si="21"/>
        <v>889.84999999999991</v>
      </c>
      <c r="Y70" s="2"/>
      <c r="Z70" s="7">
        <f t="shared" si="22"/>
        <v>0.9344906167627568</v>
      </c>
    </row>
    <row r="71" spans="1:26" s="24" customFormat="1" hidden="1" outlineLevel="2" x14ac:dyDescent="0.25">
      <c r="A71" s="25"/>
      <c r="B71" s="11" t="str">
        <f>CONCATENATE("          ", "6118", " - ", "VACATION")</f>
        <v xml:space="preserve">          6118 - VACATION</v>
      </c>
      <c r="C71" s="11"/>
      <c r="D71" s="6">
        <v>1526.05</v>
      </c>
      <c r="E71" s="2"/>
      <c r="F71" s="7">
        <f t="shared" si="15"/>
        <v>1.5430937013959736E-3</v>
      </c>
      <c r="G71" s="2"/>
      <c r="H71" s="6">
        <v>781.18</v>
      </c>
      <c r="I71" s="2"/>
      <c r="J71" s="7">
        <f t="shared" si="16"/>
        <v>4.6691473551657291E-4</v>
      </c>
      <c r="K71" s="2"/>
      <c r="L71" s="6">
        <f t="shared" si="17"/>
        <v>744.87</v>
      </c>
      <c r="M71" s="2"/>
      <c r="N71" s="7">
        <f t="shared" si="18"/>
        <v>0.95351903530556348</v>
      </c>
      <c r="O71" s="11"/>
      <c r="P71" s="6">
        <v>9302.7000000000007</v>
      </c>
      <c r="Q71" s="2"/>
      <c r="R71" s="7">
        <f t="shared" si="19"/>
        <v>3.6325797217839195E-3</v>
      </c>
      <c r="S71" s="2"/>
      <c r="T71" s="6">
        <v>6417.64</v>
      </c>
      <c r="U71" s="2"/>
      <c r="V71" s="7">
        <f t="shared" si="20"/>
        <v>1.3911104443464245E-3</v>
      </c>
      <c r="W71" s="2"/>
      <c r="X71" s="6">
        <f t="shared" si="21"/>
        <v>2885.0600000000004</v>
      </c>
      <c r="Y71" s="2"/>
      <c r="Z71" s="7">
        <f t="shared" si="22"/>
        <v>0.44955154854432472</v>
      </c>
    </row>
    <row r="72" spans="1:26" s="24" customFormat="1" hidden="1" outlineLevel="2" x14ac:dyDescent="0.25">
      <c r="A72" s="25"/>
      <c r="B72" s="11" t="str">
        <f>CONCATENATE("          ", "6119", " - ", "SICK LEAVE")</f>
        <v xml:space="preserve">          6119 - SICK LEAVE</v>
      </c>
      <c r="C72" s="11"/>
      <c r="D72" s="6">
        <v>1147.56</v>
      </c>
      <c r="E72" s="2"/>
      <c r="F72" s="7">
        <f t="shared" si="15"/>
        <v>1.16037653286194E-3</v>
      </c>
      <c r="G72" s="2"/>
      <c r="H72" s="6">
        <v>925.42</v>
      </c>
      <c r="I72" s="2"/>
      <c r="J72" s="7">
        <f t="shared" si="16"/>
        <v>5.5312762044822821E-4</v>
      </c>
      <c r="K72" s="2"/>
      <c r="L72" s="6">
        <f t="shared" si="17"/>
        <v>222.14</v>
      </c>
      <c r="M72" s="2"/>
      <c r="N72" s="7">
        <f t="shared" si="18"/>
        <v>0.24004235914503685</v>
      </c>
      <c r="O72" s="11"/>
      <c r="P72" s="6">
        <v>7591.9</v>
      </c>
      <c r="Q72" s="2"/>
      <c r="R72" s="7">
        <f t="shared" si="19"/>
        <v>2.9645352413612538E-3</v>
      </c>
      <c r="S72" s="2"/>
      <c r="T72" s="6">
        <v>7045.53</v>
      </c>
      <c r="U72" s="2"/>
      <c r="V72" s="7">
        <f t="shared" si="20"/>
        <v>1.5272141112552377E-3</v>
      </c>
      <c r="W72" s="2"/>
      <c r="X72" s="6">
        <f t="shared" si="21"/>
        <v>546.36999999999989</v>
      </c>
      <c r="Y72" s="2"/>
      <c r="Z72" s="7">
        <f t="shared" si="22"/>
        <v>7.7548459803591763E-2</v>
      </c>
    </row>
    <row r="73" spans="1:26" s="24" customFormat="1" hidden="1" outlineLevel="2" x14ac:dyDescent="0.25">
      <c r="A73" s="25"/>
      <c r="B73" s="11" t="str">
        <f>CONCATENATE("          ", "6156", " - ", "EMPLOYEE MEALS")</f>
        <v xml:space="preserve">          6156 - EMPLOYEE MEALS</v>
      </c>
      <c r="C73" s="11"/>
      <c r="D73" s="6">
        <v>222.83</v>
      </c>
      <c r="E73" s="2"/>
      <c r="F73" s="7">
        <f t="shared" si="15"/>
        <v>2.253186786029716E-4</v>
      </c>
      <c r="G73" s="2"/>
      <c r="H73" s="6">
        <v>867.4</v>
      </c>
      <c r="I73" s="2"/>
      <c r="J73" s="7">
        <f t="shared" si="16"/>
        <v>5.1844881024485441E-4</v>
      </c>
      <c r="K73" s="2"/>
      <c r="L73" s="6">
        <f t="shared" si="17"/>
        <v>-644.56999999999994</v>
      </c>
      <c r="M73" s="2"/>
      <c r="N73" s="7">
        <f t="shared" si="18"/>
        <v>-0.74310583352547843</v>
      </c>
      <c r="O73" s="11"/>
      <c r="P73" s="6">
        <v>3038.38</v>
      </c>
      <c r="Q73" s="2"/>
      <c r="R73" s="7">
        <f t="shared" si="19"/>
        <v>1.1864466848413714E-3</v>
      </c>
      <c r="S73" s="2"/>
      <c r="T73" s="6">
        <v>4409.2299999999996</v>
      </c>
      <c r="U73" s="2"/>
      <c r="V73" s="7">
        <f t="shared" si="20"/>
        <v>9.5576035809512294E-4</v>
      </c>
      <c r="W73" s="2"/>
      <c r="X73" s="6">
        <f t="shared" si="21"/>
        <v>-1370.8499999999995</v>
      </c>
      <c r="Y73" s="2"/>
      <c r="Z73" s="7">
        <f t="shared" si="22"/>
        <v>-0.31090462507059047</v>
      </c>
    </row>
    <row r="74" spans="1:26" s="26" customFormat="1" outlineLevel="1" collapsed="1" x14ac:dyDescent="0.25">
      <c r="A74" s="27"/>
      <c r="B74" s="13" t="str">
        <f>CONCATENATE("     ","*Payroll                                          ")</f>
        <v xml:space="preserve">     *Payroll                                          </v>
      </c>
      <c r="C74" s="13"/>
      <c r="D74" s="1">
        <f>SUM(OSRRefD22_1x_0)</f>
        <v>38361.300000000003</v>
      </c>
      <c r="E74" s="1"/>
      <c r="F74" s="5">
        <f t="shared" ref="F74:F81" si="23">IF(D$12=0,0,D74/D$12)</f>
        <v>3.8789738479972059E-2</v>
      </c>
      <c r="G74" s="1"/>
      <c r="H74" s="1">
        <f>SUM(OSRRefH22_1x_0)</f>
        <v>34667.289999999994</v>
      </c>
      <c r="I74" s="1"/>
      <c r="J74" s="5">
        <f t="shared" ref="J74:J81" si="24">IF(H$12=0,0,H74/H$12)</f>
        <v>2.0720792316017221E-2</v>
      </c>
      <c r="K74" s="1"/>
      <c r="L74" s="1">
        <f t="shared" ref="L74:L81" si="25">+D74-H74</f>
        <v>3694.0100000000093</v>
      </c>
      <c r="M74" s="1"/>
      <c r="N74" s="5">
        <f t="shared" ref="N74:N81" si="26">IF(H74=0,0,L74/H74)</f>
        <v>0.10655606480921959</v>
      </c>
      <c r="O74" s="13"/>
      <c r="P74" s="1">
        <f>SUM(OSRRefP22_1x_0)</f>
        <v>203768.37</v>
      </c>
      <c r="Q74" s="1"/>
      <c r="R74" s="5">
        <f t="shared" ref="R74:R81" si="27">IF(P$12=0,0,P74/P$12)</f>
        <v>7.9568818601369787E-2</v>
      </c>
      <c r="S74" s="1"/>
      <c r="T74" s="1">
        <f>SUM(OSRRefT22_1x_0)</f>
        <v>177685.43</v>
      </c>
      <c r="U74" s="1"/>
      <c r="V74" s="5">
        <f t="shared" ref="V74:V81" si="28">IF(T$12=0,0,T74/T$12)</f>
        <v>3.8515725014364392E-2</v>
      </c>
      <c r="W74" s="1"/>
      <c r="X74" s="1">
        <f t="shared" ref="X74:X81" si="29">+P74-T74</f>
        <v>26082.940000000002</v>
      </c>
      <c r="Y74" s="1"/>
      <c r="Z74" s="5">
        <f t="shared" ref="Z74:Z81" si="30">IF(T74=0,0,X74/T74)</f>
        <v>0.14679278993218522</v>
      </c>
    </row>
    <row r="75" spans="1:26" s="24" customFormat="1" hidden="1" outlineLevel="2" x14ac:dyDescent="0.25">
      <c r="A75" s="25"/>
      <c r="B75" s="11" t="str">
        <f>CONCATENATE("          ", "6001", " - ", "ADMINISTRATIVE SALARIES")</f>
        <v xml:space="preserve">          6001 - ADMINISTRATIVE SALARIES</v>
      </c>
      <c r="C75" s="11"/>
      <c r="D75" s="6"/>
      <c r="E75" s="2"/>
      <c r="F75" s="7">
        <f t="shared" si="23"/>
        <v>0</v>
      </c>
      <c r="G75" s="2"/>
      <c r="H75" s="6"/>
      <c r="I75" s="2"/>
      <c r="J75" s="7">
        <f t="shared" si="24"/>
        <v>0</v>
      </c>
      <c r="K75" s="2"/>
      <c r="L75" s="6">
        <f t="shared" si="25"/>
        <v>0</v>
      </c>
      <c r="M75" s="2"/>
      <c r="N75" s="7">
        <f t="shared" si="26"/>
        <v>0</v>
      </c>
      <c r="O75" s="11"/>
      <c r="P75" s="6">
        <v>-311.32</v>
      </c>
      <c r="Q75" s="2"/>
      <c r="R75" s="7">
        <f t="shared" si="27"/>
        <v>-1.2156628924782802E-4</v>
      </c>
      <c r="S75" s="2"/>
      <c r="T75" s="6"/>
      <c r="U75" s="2"/>
      <c r="V75" s="7">
        <f t="shared" si="28"/>
        <v>0</v>
      </c>
      <c r="W75" s="2"/>
      <c r="X75" s="6">
        <f t="shared" si="29"/>
        <v>-311.32</v>
      </c>
      <c r="Y75" s="2"/>
      <c r="Z75" s="7">
        <f t="shared" si="30"/>
        <v>0</v>
      </c>
    </row>
    <row r="76" spans="1:26" s="24" customFormat="1" hidden="1" outlineLevel="2" x14ac:dyDescent="0.25">
      <c r="A76" s="25"/>
      <c r="B76" s="11" t="str">
        <f>CONCATENATE("          ", "6002", " - ", "STAFF SALARIES")</f>
        <v xml:space="preserve">          6002 - STAFF SALARIES</v>
      </c>
      <c r="C76" s="11"/>
      <c r="D76" s="6">
        <v>24862.47</v>
      </c>
      <c r="E76" s="2"/>
      <c r="F76" s="7">
        <f t="shared" si="23"/>
        <v>2.5140146691226599E-2</v>
      </c>
      <c r="G76" s="2"/>
      <c r="H76" s="6">
        <v>18107.66</v>
      </c>
      <c r="I76" s="2"/>
      <c r="J76" s="7">
        <f t="shared" si="24"/>
        <v>1.0823028341386143E-2</v>
      </c>
      <c r="K76" s="2"/>
      <c r="L76" s="6">
        <f t="shared" si="25"/>
        <v>6754.8100000000013</v>
      </c>
      <c r="M76" s="2"/>
      <c r="N76" s="7">
        <f t="shared" si="26"/>
        <v>0.37303605214588753</v>
      </c>
      <c r="O76" s="11"/>
      <c r="P76" s="6">
        <v>121360.67000000001</v>
      </c>
      <c r="Q76" s="2"/>
      <c r="R76" s="7">
        <f t="shared" si="27"/>
        <v>4.7389715766832222E-2</v>
      </c>
      <c r="S76" s="2"/>
      <c r="T76" s="6">
        <v>107136.24</v>
      </c>
      <c r="U76" s="2"/>
      <c r="V76" s="7">
        <f t="shared" si="28"/>
        <v>2.3223231971878321E-2</v>
      </c>
      <c r="W76" s="2"/>
      <c r="X76" s="6">
        <f t="shared" si="29"/>
        <v>14224.430000000008</v>
      </c>
      <c r="Y76" s="2"/>
      <c r="Z76" s="7">
        <f t="shared" si="30"/>
        <v>0.13276954651385942</v>
      </c>
    </row>
    <row r="77" spans="1:26" s="24" customFormat="1" hidden="1" outlineLevel="2" x14ac:dyDescent="0.25">
      <c r="A77" s="25"/>
      <c r="B77" s="11" t="str">
        <f>CONCATENATE("          ", "6004", " - ", "STAFF HOURLY")</f>
        <v xml:space="preserve">          6004 - STAFF HOURLY</v>
      </c>
      <c r="C77" s="11"/>
      <c r="D77" s="6">
        <v>8056.36</v>
      </c>
      <c r="E77" s="2"/>
      <c r="F77" s="7">
        <f t="shared" si="23"/>
        <v>8.1463375198574522E-3</v>
      </c>
      <c r="G77" s="2"/>
      <c r="H77" s="6">
        <v>3344.03</v>
      </c>
      <c r="I77" s="2"/>
      <c r="J77" s="7">
        <f t="shared" si="24"/>
        <v>1.9987414974903168E-3</v>
      </c>
      <c r="K77" s="2"/>
      <c r="L77" s="6">
        <f t="shared" si="25"/>
        <v>4712.33</v>
      </c>
      <c r="M77" s="2"/>
      <c r="N77" s="7">
        <f t="shared" si="26"/>
        <v>1.4091769511637156</v>
      </c>
      <c r="O77" s="11"/>
      <c r="P77" s="6">
        <v>47894.409999999996</v>
      </c>
      <c r="Q77" s="2"/>
      <c r="R77" s="7">
        <f t="shared" si="27"/>
        <v>1.8702125463876611E-2</v>
      </c>
      <c r="S77" s="2"/>
      <c r="T77" s="6">
        <v>21895.89</v>
      </c>
      <c r="U77" s="2"/>
      <c r="V77" s="7">
        <f t="shared" si="28"/>
        <v>4.7462308990938147E-3</v>
      </c>
      <c r="W77" s="2"/>
      <c r="X77" s="6">
        <f t="shared" si="29"/>
        <v>25998.519999999997</v>
      </c>
      <c r="Y77" s="2"/>
      <c r="Z77" s="7">
        <f t="shared" si="30"/>
        <v>1.1873698671303152</v>
      </c>
    </row>
    <row r="78" spans="1:26" s="24" customFormat="1" hidden="1" outlineLevel="2" x14ac:dyDescent="0.25">
      <c r="A78" s="25"/>
      <c r="B78" s="11" t="str">
        <f>CONCATENATE("          ", "6005", " - ", "TEMPORARY WAGES-HOURLY")</f>
        <v xml:space="preserve">          6005 - TEMPORARY WAGES-HOURLY</v>
      </c>
      <c r="C78" s="11"/>
      <c r="D78" s="6"/>
      <c r="E78" s="2"/>
      <c r="F78" s="7">
        <f t="shared" si="23"/>
        <v>0</v>
      </c>
      <c r="G78" s="2"/>
      <c r="H78" s="6">
        <v>4271.78</v>
      </c>
      <c r="I78" s="2"/>
      <c r="J78" s="7">
        <f t="shared" si="24"/>
        <v>2.5532617692273049E-3</v>
      </c>
      <c r="K78" s="2"/>
      <c r="L78" s="6">
        <f t="shared" si="25"/>
        <v>-4271.78</v>
      </c>
      <c r="M78" s="2"/>
      <c r="N78" s="7">
        <f t="shared" si="26"/>
        <v>-1</v>
      </c>
      <c r="O78" s="11"/>
      <c r="P78" s="6">
        <v>12838</v>
      </c>
      <c r="Q78" s="2"/>
      <c r="R78" s="7">
        <f t="shared" si="27"/>
        <v>5.0130670093910326E-3</v>
      </c>
      <c r="S78" s="2"/>
      <c r="T78" s="6">
        <v>17825.05</v>
      </c>
      <c r="U78" s="2"/>
      <c r="V78" s="7">
        <f t="shared" si="28"/>
        <v>3.8638211594912201E-3</v>
      </c>
      <c r="W78" s="2"/>
      <c r="X78" s="6">
        <f t="shared" si="29"/>
        <v>-4987.0499999999993</v>
      </c>
      <c r="Y78" s="2"/>
      <c r="Z78" s="7">
        <f t="shared" si="30"/>
        <v>-0.27977761633207199</v>
      </c>
    </row>
    <row r="79" spans="1:26" s="24" customFormat="1" hidden="1" outlineLevel="2" x14ac:dyDescent="0.25">
      <c r="A79" s="25"/>
      <c r="B79" s="11" t="str">
        <f>CONCATENATE("          ", "6006", " - ", "TEMPORARY PART TIME")</f>
        <v xml:space="preserve">          6006 - TEMPORARY PART TIME</v>
      </c>
      <c r="C79" s="11"/>
      <c r="D79" s="6"/>
      <c r="E79" s="2"/>
      <c r="F79" s="7">
        <f t="shared" si="23"/>
        <v>0</v>
      </c>
      <c r="G79" s="2"/>
      <c r="H79" s="6"/>
      <c r="I79" s="2"/>
      <c r="J79" s="7">
        <f t="shared" si="24"/>
        <v>0</v>
      </c>
      <c r="K79" s="2"/>
      <c r="L79" s="6">
        <f t="shared" si="25"/>
        <v>0</v>
      </c>
      <c r="M79" s="2"/>
      <c r="N79" s="7">
        <f t="shared" si="26"/>
        <v>0</v>
      </c>
      <c r="O79" s="11"/>
      <c r="P79" s="6">
        <v>502.29</v>
      </c>
      <c r="Q79" s="2"/>
      <c r="R79" s="7">
        <f t="shared" si="27"/>
        <v>1.9613751582388391E-4</v>
      </c>
      <c r="S79" s="2"/>
      <c r="T79" s="6"/>
      <c r="U79" s="2"/>
      <c r="V79" s="7">
        <f t="shared" si="28"/>
        <v>0</v>
      </c>
      <c r="W79" s="2"/>
      <c r="X79" s="6">
        <f t="shared" si="29"/>
        <v>502.29</v>
      </c>
      <c r="Y79" s="2"/>
      <c r="Z79" s="7">
        <f t="shared" si="30"/>
        <v>0</v>
      </c>
    </row>
    <row r="80" spans="1:26" s="24" customFormat="1" hidden="1" outlineLevel="2" x14ac:dyDescent="0.25">
      <c r="A80" s="25"/>
      <c r="B80" s="11" t="str">
        <f>CONCATENATE("          ", "6007", " - ", "STUDENT HOURLY")</f>
        <v xml:space="preserve">          6007 - STUDENT HOURLY</v>
      </c>
      <c r="C80" s="11"/>
      <c r="D80" s="6">
        <v>4760.1099999999997</v>
      </c>
      <c r="E80" s="2"/>
      <c r="F80" s="7">
        <f t="shared" si="23"/>
        <v>4.813273325875291E-3</v>
      </c>
      <c r="G80" s="2"/>
      <c r="H80" s="6">
        <v>8943.82</v>
      </c>
      <c r="I80" s="2"/>
      <c r="J80" s="7">
        <f t="shared" si="24"/>
        <v>5.3457607079134585E-3</v>
      </c>
      <c r="K80" s="2"/>
      <c r="L80" s="6">
        <f t="shared" si="25"/>
        <v>-4183.71</v>
      </c>
      <c r="M80" s="2"/>
      <c r="N80" s="7">
        <f t="shared" si="26"/>
        <v>-0.46777663235619682</v>
      </c>
      <c r="O80" s="11"/>
      <c r="P80" s="6">
        <v>20801.96</v>
      </c>
      <c r="Q80" s="2"/>
      <c r="R80" s="7">
        <f t="shared" si="27"/>
        <v>8.1228866962666981E-3</v>
      </c>
      <c r="S80" s="2"/>
      <c r="T80" s="6">
        <v>30828.25</v>
      </c>
      <c r="U80" s="2"/>
      <c r="V80" s="7">
        <f t="shared" si="28"/>
        <v>6.6824409839010383E-3</v>
      </c>
      <c r="W80" s="2"/>
      <c r="X80" s="6">
        <f t="shared" si="29"/>
        <v>-10026.290000000001</v>
      </c>
      <c r="Y80" s="2"/>
      <c r="Z80" s="7">
        <f t="shared" si="30"/>
        <v>-0.32523059207058463</v>
      </c>
    </row>
    <row r="81" spans="1:26" s="24" customFormat="1" hidden="1" outlineLevel="2" x14ac:dyDescent="0.25">
      <c r="A81" s="25"/>
      <c r="B81" s="11" t="str">
        <f>CONCATENATE("          ", "6008", " - ", "STUDENT HOURLY-FICA EXEMPT")</f>
        <v xml:space="preserve">          6008 - STUDENT HOURLY-FICA EXEMPT</v>
      </c>
      <c r="C81" s="11"/>
      <c r="D81" s="6">
        <v>682.36</v>
      </c>
      <c r="E81" s="2"/>
      <c r="F81" s="7">
        <f t="shared" si="23"/>
        <v>6.8998094301271683E-4</v>
      </c>
      <c r="G81" s="2"/>
      <c r="H81" s="6"/>
      <c r="I81" s="2"/>
      <c r="J81" s="7">
        <f t="shared" si="24"/>
        <v>0</v>
      </c>
      <c r="K81" s="2"/>
      <c r="L81" s="6">
        <f t="shared" si="25"/>
        <v>682.36</v>
      </c>
      <c r="M81" s="2"/>
      <c r="N81" s="7">
        <f t="shared" si="26"/>
        <v>0</v>
      </c>
      <c r="O81" s="11"/>
      <c r="P81" s="6">
        <v>682.36</v>
      </c>
      <c r="Q81" s="2"/>
      <c r="R81" s="7">
        <f t="shared" si="27"/>
        <v>2.6645243842717437E-4</v>
      </c>
      <c r="S81" s="2"/>
      <c r="T81" s="6"/>
      <c r="U81" s="2"/>
      <c r="V81" s="7">
        <f t="shared" si="28"/>
        <v>0</v>
      </c>
      <c r="W81" s="2"/>
      <c r="X81" s="6">
        <f t="shared" si="29"/>
        <v>682.36</v>
      </c>
      <c r="Y81" s="2"/>
      <c r="Z81" s="7">
        <f t="shared" si="30"/>
        <v>0</v>
      </c>
    </row>
    <row r="82" spans="1:26" s="26" customFormat="1" outlineLevel="1" collapsed="1" x14ac:dyDescent="0.25">
      <c r="A82" s="27"/>
      <c r="B82" s="13" t="str">
        <f>CONCATENATE("     ","Advertising/Promo                                 ")</f>
        <v xml:space="preserve">     Advertising/Promo                                 </v>
      </c>
      <c r="C82" s="13"/>
      <c r="D82" s="1">
        <f>SUM(OSRRefD22_2x_0)</f>
        <v>569.11</v>
      </c>
      <c r="E82" s="1"/>
      <c r="F82" s="5">
        <f t="shared" ref="F82:F86" si="31">IF(D$12=0,0,D82/D$12)</f>
        <v>5.7546610949933653E-4</v>
      </c>
      <c r="G82" s="1"/>
      <c r="H82" s="1">
        <f>SUM(OSRRefH22_2x_0)</f>
        <v>-365.85</v>
      </c>
      <c r="I82" s="1"/>
      <c r="J82" s="5">
        <f t="shared" ref="J82:J86" si="32">IF(H$12=0,0,H82/H$12)</f>
        <v>-2.186701605119668E-4</v>
      </c>
      <c r="K82" s="1"/>
      <c r="L82" s="1">
        <f t="shared" ref="L82:L86" si="33">+D82-H82</f>
        <v>934.96</v>
      </c>
      <c r="M82" s="1"/>
      <c r="N82" s="5">
        <f t="shared" ref="N82:N86" si="34">IF(H82=0,0,L82/H82)</f>
        <v>-2.555582889162225</v>
      </c>
      <c r="O82" s="13"/>
      <c r="P82" s="1">
        <f>SUM(OSRRefP22_2x_0)</f>
        <v>1999.55</v>
      </c>
      <c r="Q82" s="1"/>
      <c r="R82" s="5">
        <f t="shared" ref="R82:R86" si="35">IF(P$12=0,0,P82/P$12)</f>
        <v>7.807974870406479E-4</v>
      </c>
      <c r="S82" s="1"/>
      <c r="T82" s="1">
        <f>SUM(OSRRefT22_2x_0)</f>
        <v>3981.09</v>
      </c>
      <c r="U82" s="1"/>
      <c r="V82" s="5">
        <f t="shared" ref="V82:V86" si="36">IF(T$12=0,0,T82/T$12)</f>
        <v>8.6295521077578473E-4</v>
      </c>
      <c r="W82" s="1"/>
      <c r="X82" s="1">
        <f t="shared" ref="X82:X86" si="37">+P82-T82</f>
        <v>-1981.5400000000002</v>
      </c>
      <c r="Y82" s="1"/>
      <c r="Z82" s="5">
        <f t="shared" ref="Z82:Z86" si="38">IF(T82=0,0,X82/T82)</f>
        <v>-0.49773805666287374</v>
      </c>
    </row>
    <row r="83" spans="1:26" s="24" customFormat="1" hidden="1" outlineLevel="2" x14ac:dyDescent="0.25">
      <c r="A83" s="25"/>
      <c r="B83" s="11" t="str">
        <f>CONCATENATE("          ", "6362", " - ", "ADVERTISING EXPENSE")</f>
        <v xml:space="preserve">          6362 - ADVERTISING EXPENSE</v>
      </c>
      <c r="C83" s="11"/>
      <c r="D83" s="6">
        <v>569.11</v>
      </c>
      <c r="E83" s="2"/>
      <c r="F83" s="7">
        <f t="shared" si="31"/>
        <v>5.7546610949933653E-4</v>
      </c>
      <c r="G83" s="2"/>
      <c r="H83" s="6">
        <v>-365.85</v>
      </c>
      <c r="I83" s="2"/>
      <c r="J83" s="7">
        <f t="shared" si="32"/>
        <v>-2.186701605119668E-4</v>
      </c>
      <c r="K83" s="2"/>
      <c r="L83" s="6">
        <f t="shared" si="33"/>
        <v>934.96</v>
      </c>
      <c r="M83" s="2"/>
      <c r="N83" s="7">
        <f t="shared" si="34"/>
        <v>-2.555582889162225</v>
      </c>
      <c r="O83" s="11"/>
      <c r="P83" s="6">
        <v>1999.55</v>
      </c>
      <c r="Q83" s="2"/>
      <c r="R83" s="7">
        <f t="shared" si="35"/>
        <v>7.807974870406479E-4</v>
      </c>
      <c r="S83" s="2"/>
      <c r="T83" s="6">
        <v>3981.09</v>
      </c>
      <c r="U83" s="2"/>
      <c r="V83" s="7">
        <f t="shared" si="36"/>
        <v>8.6295521077578473E-4</v>
      </c>
      <c r="W83" s="2"/>
      <c r="X83" s="6">
        <f t="shared" si="37"/>
        <v>-1981.5400000000002</v>
      </c>
      <c r="Y83" s="2"/>
      <c r="Z83" s="7">
        <f t="shared" si="38"/>
        <v>-0.49773805666287374</v>
      </c>
    </row>
    <row r="84" spans="1:26" s="26" customFormat="1" outlineLevel="1" collapsed="1" x14ac:dyDescent="0.25">
      <c r="A84" s="27"/>
      <c r="B84" s="13" t="str">
        <f>CONCATENATE("     ","Discounts and Markdowns                           ")</f>
        <v xml:space="preserve">     Discounts and Markdowns                           </v>
      </c>
      <c r="C84" s="13"/>
      <c r="D84" s="1">
        <f>SUM(OSRRefD22_3x_0)</f>
        <v>-42.86</v>
      </c>
      <c r="E84" s="1"/>
      <c r="F84" s="5">
        <f t="shared" si="31"/>
        <v>-4.3338682246211739E-5</v>
      </c>
      <c r="G84" s="1"/>
      <c r="H84" s="1">
        <f>SUM(OSRRefH22_3x_0)</f>
        <v>2330.11</v>
      </c>
      <c r="I84" s="1"/>
      <c r="J84" s="5">
        <f t="shared" si="32"/>
        <v>1.3927170362458357E-3</v>
      </c>
      <c r="K84" s="1"/>
      <c r="L84" s="1">
        <f t="shared" si="33"/>
        <v>-2372.9700000000003</v>
      </c>
      <c r="M84" s="1"/>
      <c r="N84" s="5">
        <f t="shared" si="34"/>
        <v>-1.0183939814000198</v>
      </c>
      <c r="O84" s="13"/>
      <c r="P84" s="1">
        <f>SUM(OSRRefP22_3x_0)</f>
        <v>-42.86</v>
      </c>
      <c r="Q84" s="1"/>
      <c r="R84" s="5">
        <f t="shared" si="35"/>
        <v>-1.6736255804837176E-5</v>
      </c>
      <c r="S84" s="1"/>
      <c r="T84" s="1">
        <f>SUM(OSRRefT22_3x_0)</f>
        <v>491.94000000000005</v>
      </c>
      <c r="U84" s="1"/>
      <c r="V84" s="5">
        <f t="shared" si="36"/>
        <v>1.0663466196168376E-4</v>
      </c>
      <c r="W84" s="1"/>
      <c r="X84" s="1">
        <f t="shared" si="37"/>
        <v>-534.80000000000007</v>
      </c>
      <c r="Y84" s="1"/>
      <c r="Z84" s="5">
        <f t="shared" si="38"/>
        <v>-1.0871244460706591</v>
      </c>
    </row>
    <row r="85" spans="1:26" s="24" customFormat="1" hidden="1" outlineLevel="2" x14ac:dyDescent="0.25">
      <c r="A85" s="25"/>
      <c r="B85" s="11" t="str">
        <f>CONCATENATE("          ", "6382", " - ", "DISCOUNTS/MARK DOWNS")</f>
        <v xml:space="preserve">          6382 - DISCOUNTS/MARK DOWNS</v>
      </c>
      <c r="C85" s="11"/>
      <c r="D85" s="6"/>
      <c r="E85" s="2"/>
      <c r="F85" s="7">
        <f t="shared" si="31"/>
        <v>0</v>
      </c>
      <c r="G85" s="2"/>
      <c r="H85" s="6">
        <v>2330.11</v>
      </c>
      <c r="I85" s="2"/>
      <c r="J85" s="7">
        <f t="shared" si="32"/>
        <v>1.3927170362458357E-3</v>
      </c>
      <c r="K85" s="2"/>
      <c r="L85" s="6">
        <f t="shared" si="33"/>
        <v>-2330.11</v>
      </c>
      <c r="M85" s="2"/>
      <c r="N85" s="7">
        <f t="shared" si="34"/>
        <v>-1</v>
      </c>
      <c r="O85" s="11"/>
      <c r="P85" s="6"/>
      <c r="Q85" s="2"/>
      <c r="R85" s="7">
        <f t="shared" si="35"/>
        <v>0</v>
      </c>
      <c r="S85" s="2"/>
      <c r="T85" s="6">
        <v>925.57</v>
      </c>
      <c r="U85" s="2"/>
      <c r="V85" s="7">
        <f t="shared" si="36"/>
        <v>2.006298411836314E-4</v>
      </c>
      <c r="W85" s="2"/>
      <c r="X85" s="6">
        <f t="shared" si="37"/>
        <v>-925.57</v>
      </c>
      <c r="Y85" s="2"/>
      <c r="Z85" s="7">
        <f t="shared" si="38"/>
        <v>-1</v>
      </c>
    </row>
    <row r="86" spans="1:26" s="24" customFormat="1" hidden="1" outlineLevel="2" x14ac:dyDescent="0.25">
      <c r="A86" s="25"/>
      <c r="B86" s="11" t="str">
        <f>CONCATENATE("          ", "9175", " - ", "EARNED DISCOUNTS")</f>
        <v xml:space="preserve">          9175 - EARNED DISCOUNTS</v>
      </c>
      <c r="C86" s="11"/>
      <c r="D86" s="6">
        <v>-42.86</v>
      </c>
      <c r="E86" s="2"/>
      <c r="F86" s="7">
        <f t="shared" si="31"/>
        <v>-4.3338682246211739E-5</v>
      </c>
      <c r="G86" s="2"/>
      <c r="H86" s="6"/>
      <c r="I86" s="2"/>
      <c r="J86" s="7">
        <f t="shared" si="32"/>
        <v>0</v>
      </c>
      <c r="K86" s="2"/>
      <c r="L86" s="6">
        <f t="shared" si="33"/>
        <v>-42.86</v>
      </c>
      <c r="M86" s="2"/>
      <c r="N86" s="7">
        <f t="shared" si="34"/>
        <v>0</v>
      </c>
      <c r="O86" s="11"/>
      <c r="P86" s="6">
        <v>-42.86</v>
      </c>
      <c r="Q86" s="2"/>
      <c r="R86" s="7">
        <f t="shared" si="35"/>
        <v>-1.6736255804837176E-5</v>
      </c>
      <c r="S86" s="2"/>
      <c r="T86" s="6">
        <v>-433.63</v>
      </c>
      <c r="U86" s="2"/>
      <c r="V86" s="7">
        <f t="shared" si="36"/>
        <v>-9.3995179221947637E-5</v>
      </c>
      <c r="W86" s="2"/>
      <c r="X86" s="6">
        <f t="shared" si="37"/>
        <v>390.77</v>
      </c>
      <c r="Y86" s="2"/>
      <c r="Z86" s="7">
        <f t="shared" si="38"/>
        <v>-0.90115997509397405</v>
      </c>
    </row>
    <row r="87" spans="1:26" s="26" customFormat="1" outlineLevel="1" collapsed="1" x14ac:dyDescent="0.25">
      <c r="A87" s="27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SUM(OSRRefD22_4x_0)</f>
        <v>0</v>
      </c>
      <c r="E87" s="1"/>
      <c r="F87" s="5">
        <f t="shared" ref="F87:F93" si="39">IF(D$12=0,0,D87/D$12)</f>
        <v>0</v>
      </c>
      <c r="G87" s="1"/>
      <c r="H87" s="1">
        <f>SUM(OSRRefH22_4x_0)</f>
        <v>0</v>
      </c>
      <c r="I87" s="1"/>
      <c r="J87" s="5">
        <f t="shared" ref="J87:J93" si="40">IF(H$12=0,0,H87/H$12)</f>
        <v>0</v>
      </c>
      <c r="K87" s="1"/>
      <c r="L87" s="1">
        <f t="shared" ref="L87:L93" si="41">+D87-H87</f>
        <v>0</v>
      </c>
      <c r="M87" s="1"/>
      <c r="N87" s="5">
        <f t="shared" ref="N87:N93" si="42">IF(H87=0,0,L87/H87)</f>
        <v>0</v>
      </c>
      <c r="O87" s="13"/>
      <c r="P87" s="1">
        <f>SUM(OSRRefP22_4x_0)</f>
        <v>107.7</v>
      </c>
      <c r="Q87" s="1"/>
      <c r="R87" s="5">
        <f t="shared" ref="R87:R93" si="43">IF(P$12=0,0,P87/P$12)</f>
        <v>4.2055407143746238E-5</v>
      </c>
      <c r="S87" s="1"/>
      <c r="T87" s="1">
        <f>SUM(OSRRefT22_4x_0)</f>
        <v>37.880000000000003</v>
      </c>
      <c r="U87" s="1"/>
      <c r="V87" s="5">
        <f t="shared" ref="V87:V93" si="44">IF(T$12=0,0,T87/T$12)</f>
        <v>8.211003364452129E-6</v>
      </c>
      <c r="W87" s="1"/>
      <c r="X87" s="1">
        <f t="shared" ref="X87:X93" si="45">+P87-T87</f>
        <v>69.819999999999993</v>
      </c>
      <c r="Y87" s="1"/>
      <c r="Z87" s="5">
        <f t="shared" ref="Z87:Z93" si="46">IF(T87=0,0,X87/T87)</f>
        <v>1.8431890179514252</v>
      </c>
    </row>
    <row r="88" spans="1:26" s="24" customFormat="1" hidden="1" outlineLevel="2" x14ac:dyDescent="0.25">
      <c r="A88" s="25"/>
      <c r="B88" s="11" t="str">
        <f>CONCATENATE("          ", "6277", " - ", "EMPLOYEE APPRECIATION")</f>
        <v xml:space="preserve">          6277 - EMPLOYEE APPRECIATION</v>
      </c>
      <c r="C88" s="11"/>
      <c r="D88" s="6"/>
      <c r="E88" s="2"/>
      <c r="F88" s="7">
        <f t="shared" si="39"/>
        <v>0</v>
      </c>
      <c r="G88" s="2"/>
      <c r="H88" s="6"/>
      <c r="I88" s="2"/>
      <c r="J88" s="7">
        <f t="shared" si="40"/>
        <v>0</v>
      </c>
      <c r="K88" s="2"/>
      <c r="L88" s="6">
        <f t="shared" si="41"/>
        <v>0</v>
      </c>
      <c r="M88" s="2"/>
      <c r="N88" s="7">
        <f t="shared" si="42"/>
        <v>0</v>
      </c>
      <c r="O88" s="11"/>
      <c r="P88" s="6">
        <v>107.7</v>
      </c>
      <c r="Q88" s="2"/>
      <c r="R88" s="7">
        <f t="shared" si="43"/>
        <v>4.2055407143746238E-5</v>
      </c>
      <c r="S88" s="2"/>
      <c r="T88" s="6">
        <v>37.880000000000003</v>
      </c>
      <c r="U88" s="2"/>
      <c r="V88" s="7">
        <f t="shared" si="44"/>
        <v>8.211003364452129E-6</v>
      </c>
      <c r="W88" s="2"/>
      <c r="X88" s="6">
        <f t="shared" si="45"/>
        <v>69.819999999999993</v>
      </c>
      <c r="Y88" s="2"/>
      <c r="Z88" s="7">
        <f t="shared" si="46"/>
        <v>1.8431890179514252</v>
      </c>
    </row>
    <row r="89" spans="1:26" s="26" customFormat="1" outlineLevel="1" collapsed="1" x14ac:dyDescent="0.25">
      <c r="A89" s="27"/>
      <c r="B89" s="13" t="str">
        <f>CONCATENATE("     ","Equipment Rental                                  ")</f>
        <v xml:space="preserve">     Equipment Rental                                  </v>
      </c>
      <c r="C89" s="13"/>
      <c r="D89" s="1">
        <f>SUM(OSRRefD22_5x_0)</f>
        <v>91.26</v>
      </c>
      <c r="E89" s="1"/>
      <c r="F89" s="5">
        <f t="shared" si="39"/>
        <v>9.2279238025881559E-5</v>
      </c>
      <c r="G89" s="1"/>
      <c r="H89" s="1">
        <f>SUM(OSRRefH22_5x_0)</f>
        <v>91.26</v>
      </c>
      <c r="I89" s="1"/>
      <c r="J89" s="5">
        <f t="shared" si="40"/>
        <v>5.4546504983796887E-5</v>
      </c>
      <c r="K89" s="1"/>
      <c r="L89" s="1">
        <f t="shared" si="41"/>
        <v>0</v>
      </c>
      <c r="M89" s="1"/>
      <c r="N89" s="5">
        <f t="shared" si="42"/>
        <v>0</v>
      </c>
      <c r="O89" s="13"/>
      <c r="P89" s="1">
        <f>SUM(OSRRefP22_5x_0)</f>
        <v>638.82000000000005</v>
      </c>
      <c r="Q89" s="1"/>
      <c r="R89" s="5">
        <f t="shared" si="43"/>
        <v>2.4945065173229315E-4</v>
      </c>
      <c r="S89" s="1"/>
      <c r="T89" s="1">
        <f>SUM(OSRRefT22_5x_0)</f>
        <v>638.82000000000005</v>
      </c>
      <c r="U89" s="1"/>
      <c r="V89" s="5">
        <f t="shared" si="44"/>
        <v>1.3847289253641259E-4</v>
      </c>
      <c r="W89" s="1"/>
      <c r="X89" s="1">
        <f t="shared" si="45"/>
        <v>0</v>
      </c>
      <c r="Y89" s="1"/>
      <c r="Z89" s="5">
        <f t="shared" si="46"/>
        <v>0</v>
      </c>
    </row>
    <row r="90" spans="1:26" s="24" customFormat="1" hidden="1" outlineLevel="2" x14ac:dyDescent="0.25">
      <c r="A90" s="25"/>
      <c r="B90" s="11" t="str">
        <f>CONCATENATE("          ", "6351", " - ", "EQUIPMENT RENTAL")</f>
        <v xml:space="preserve">          6351 - EQUIPMENT RENTAL</v>
      </c>
      <c r="C90" s="11"/>
      <c r="D90" s="6">
        <v>91.26</v>
      </c>
      <c r="E90" s="2"/>
      <c r="F90" s="7">
        <f t="shared" si="39"/>
        <v>9.2279238025881559E-5</v>
      </c>
      <c r="G90" s="2"/>
      <c r="H90" s="6">
        <v>91.26</v>
      </c>
      <c r="I90" s="2"/>
      <c r="J90" s="7">
        <f t="shared" si="40"/>
        <v>5.4546504983796887E-5</v>
      </c>
      <c r="K90" s="2"/>
      <c r="L90" s="6">
        <f t="shared" si="41"/>
        <v>0</v>
      </c>
      <c r="M90" s="2"/>
      <c r="N90" s="7">
        <f t="shared" si="42"/>
        <v>0</v>
      </c>
      <c r="O90" s="11"/>
      <c r="P90" s="6">
        <v>638.82000000000005</v>
      </c>
      <c r="Q90" s="2"/>
      <c r="R90" s="7">
        <f t="shared" si="43"/>
        <v>2.4945065173229315E-4</v>
      </c>
      <c r="S90" s="2"/>
      <c r="T90" s="6">
        <v>638.82000000000005</v>
      </c>
      <c r="U90" s="2"/>
      <c r="V90" s="7">
        <f t="shared" si="44"/>
        <v>1.3847289253641259E-4</v>
      </c>
      <c r="W90" s="2"/>
      <c r="X90" s="6">
        <f t="shared" si="45"/>
        <v>0</v>
      </c>
      <c r="Y90" s="2"/>
      <c r="Z90" s="7">
        <f t="shared" si="46"/>
        <v>0</v>
      </c>
    </row>
    <row r="91" spans="1:26" s="26" customFormat="1" outlineLevel="1" collapsed="1" x14ac:dyDescent="0.25">
      <c r="A91" s="27"/>
      <c r="B91" s="13" t="str">
        <f>CONCATENATE("     ","Freight out/Postage                               ")</f>
        <v xml:space="preserve">     Freight out/Postage                               </v>
      </c>
      <c r="C91" s="13"/>
      <c r="D91" s="1">
        <f>SUM(OSRRefD22_6x_0)</f>
        <v>272.02</v>
      </c>
      <c r="E91" s="1"/>
      <c r="F91" s="5">
        <f t="shared" si="39"/>
        <v>2.750580575038385E-4</v>
      </c>
      <c r="G91" s="1"/>
      <c r="H91" s="1">
        <f>SUM(OSRRefH22_6x_0)</f>
        <v>11.489999999999998</v>
      </c>
      <c r="I91" s="1"/>
      <c r="J91" s="5">
        <f t="shared" si="40"/>
        <v>6.8676237372762006E-6</v>
      </c>
      <c r="K91" s="1"/>
      <c r="L91" s="1">
        <f t="shared" si="41"/>
        <v>260.52999999999997</v>
      </c>
      <c r="M91" s="1"/>
      <c r="N91" s="5">
        <f t="shared" si="42"/>
        <v>22.674499564838992</v>
      </c>
      <c r="O91" s="13"/>
      <c r="P91" s="1">
        <f>SUM(OSRRefP22_6x_0)</f>
        <v>9170.0499999999993</v>
      </c>
      <c r="Q91" s="1"/>
      <c r="R91" s="5">
        <f t="shared" si="43"/>
        <v>3.5807816738951731E-3</v>
      </c>
      <c r="S91" s="1"/>
      <c r="T91" s="1">
        <f>SUM(OSRRefT22_6x_0)</f>
        <v>11953.390000000001</v>
      </c>
      <c r="U91" s="1"/>
      <c r="V91" s="5">
        <f t="shared" si="44"/>
        <v>2.5910592794775194E-3</v>
      </c>
      <c r="W91" s="1"/>
      <c r="X91" s="1">
        <f t="shared" si="45"/>
        <v>-2783.340000000002</v>
      </c>
      <c r="Y91" s="1"/>
      <c r="Z91" s="5">
        <f t="shared" si="46"/>
        <v>-0.23284942597873923</v>
      </c>
    </row>
    <row r="92" spans="1:26" s="24" customFormat="1" hidden="1" outlineLevel="2" x14ac:dyDescent="0.25">
      <c r="A92" s="25"/>
      <c r="B92" s="11" t="str">
        <f>CONCATENATE("          ", "6305", " - ", "FREIGHT OUT")</f>
        <v xml:space="preserve">          6305 - FREIGHT OUT</v>
      </c>
      <c r="C92" s="11"/>
      <c r="D92" s="6">
        <v>571.52</v>
      </c>
      <c r="E92" s="2"/>
      <c r="F92" s="7">
        <f t="shared" si="39"/>
        <v>5.7790302560324159E-4</v>
      </c>
      <c r="G92" s="2"/>
      <c r="H92" s="6">
        <v>10.54</v>
      </c>
      <c r="I92" s="2"/>
      <c r="J92" s="7">
        <f t="shared" si="40"/>
        <v>6.2998045422881775E-6</v>
      </c>
      <c r="K92" s="2"/>
      <c r="L92" s="6">
        <f t="shared" si="41"/>
        <v>560.98</v>
      </c>
      <c r="M92" s="2"/>
      <c r="N92" s="7">
        <f t="shared" si="42"/>
        <v>53.223908918406082</v>
      </c>
      <c r="O92" s="11"/>
      <c r="P92" s="6">
        <v>9169.5499999999993</v>
      </c>
      <c r="Q92" s="2"/>
      <c r="R92" s="7">
        <f t="shared" si="43"/>
        <v>3.5805864305936698E-3</v>
      </c>
      <c r="S92" s="2"/>
      <c r="T92" s="6">
        <v>11951.94</v>
      </c>
      <c r="U92" s="2"/>
      <c r="V92" s="7">
        <f t="shared" si="44"/>
        <v>2.5907449723265568E-3</v>
      </c>
      <c r="W92" s="2"/>
      <c r="X92" s="6">
        <f t="shared" si="45"/>
        <v>-2782.3900000000012</v>
      </c>
      <c r="Y92" s="2"/>
      <c r="Z92" s="7">
        <f t="shared" si="46"/>
        <v>-0.23279819008462235</v>
      </c>
    </row>
    <row r="93" spans="1:26" s="24" customFormat="1" hidden="1" outlineLevel="2" x14ac:dyDescent="0.25">
      <c r="A93" s="25"/>
      <c r="B93" s="11" t="str">
        <f>CONCATENATE("          ", "6307", " - ", "POSTAGE")</f>
        <v xml:space="preserve">          6307 - POSTAGE</v>
      </c>
      <c r="C93" s="11"/>
      <c r="D93" s="6">
        <v>-299.5</v>
      </c>
      <c r="E93" s="2"/>
      <c r="F93" s="7">
        <f t="shared" si="39"/>
        <v>-3.0284496809940308E-4</v>
      </c>
      <c r="G93" s="2"/>
      <c r="H93" s="6">
        <v>0.95</v>
      </c>
      <c r="I93" s="2"/>
      <c r="J93" s="7">
        <f t="shared" si="40"/>
        <v>5.6781919498802365E-7</v>
      </c>
      <c r="K93" s="2"/>
      <c r="L93" s="6">
        <f t="shared" si="41"/>
        <v>-300.45</v>
      </c>
      <c r="M93" s="2"/>
      <c r="N93" s="7">
        <f t="shared" si="42"/>
        <v>-316.26315789473682</v>
      </c>
      <c r="O93" s="11"/>
      <c r="P93" s="6">
        <v>0.5</v>
      </c>
      <c r="Q93" s="2"/>
      <c r="R93" s="7">
        <f t="shared" si="43"/>
        <v>1.9524330150300017E-7</v>
      </c>
      <c r="S93" s="2"/>
      <c r="T93" s="6">
        <v>1.45</v>
      </c>
      <c r="U93" s="2"/>
      <c r="V93" s="7">
        <f t="shared" si="44"/>
        <v>3.1430715096239666E-7</v>
      </c>
      <c r="W93" s="2"/>
      <c r="X93" s="6">
        <f t="shared" si="45"/>
        <v>-0.95</v>
      </c>
      <c r="Y93" s="2"/>
      <c r="Z93" s="7">
        <f t="shared" si="46"/>
        <v>-0.65517241379310343</v>
      </c>
    </row>
    <row r="94" spans="1:26" s="26" customFormat="1" outlineLevel="1" collapsed="1" x14ac:dyDescent="0.25">
      <c r="A94" s="27"/>
      <c r="B94" s="13" t="str">
        <f>CONCATENATE("     ","General                                           ")</f>
        <v xml:space="preserve">     General                                           </v>
      </c>
      <c r="C94" s="13"/>
      <c r="D94" s="1">
        <f>SUM(OSRRefD22_7x_0)</f>
        <v>4.63</v>
      </c>
      <c r="E94" s="1"/>
      <c r="F94" s="5">
        <f t="shared" ref="F94:F100" si="47">IF(D$12=0,0,D94/D$12)</f>
        <v>4.6817101913196539E-6</v>
      </c>
      <c r="G94" s="1"/>
      <c r="H94" s="1">
        <f>SUM(OSRRefH22_7x_0)</f>
        <v>100.16</v>
      </c>
      <c r="I94" s="1"/>
      <c r="J94" s="5">
        <f t="shared" ref="J94:J100" si="48">IF(H$12=0,0,H94/H$12)</f>
        <v>5.9866074284210997E-5</v>
      </c>
      <c r="K94" s="1"/>
      <c r="L94" s="1">
        <f t="shared" ref="L94:L100" si="49">+D94-H94</f>
        <v>-95.53</v>
      </c>
      <c r="M94" s="1"/>
      <c r="N94" s="5">
        <f t="shared" ref="N94:N100" si="50">IF(H94=0,0,L94/H94)</f>
        <v>-0.95377396166134187</v>
      </c>
      <c r="O94" s="13"/>
      <c r="P94" s="1">
        <f>SUM(OSRRefP22_7x_0)</f>
        <v>-1037.82</v>
      </c>
      <c r="Q94" s="1"/>
      <c r="R94" s="5">
        <f t="shared" ref="R94:R100" si="51">IF(P$12=0,0,P94/P$12)</f>
        <v>-4.0525480633168726E-4</v>
      </c>
      <c r="S94" s="1"/>
      <c r="T94" s="1">
        <f>SUM(OSRRefT22_7x_0)</f>
        <v>8253.06</v>
      </c>
      <c r="U94" s="1"/>
      <c r="V94" s="5">
        <f t="shared" ref="V94:V100" si="52">IF(T$12=0,0,T94/T$12)</f>
        <v>1.78896260367015E-3</v>
      </c>
      <c r="W94" s="1"/>
      <c r="X94" s="1">
        <f t="shared" ref="X94:X100" si="53">+P94-T94</f>
        <v>-9290.8799999999992</v>
      </c>
      <c r="Y94" s="1"/>
      <c r="Z94" s="5">
        <f t="shared" ref="Z94:Z100" si="54">IF(T94=0,0,X94/T94)</f>
        <v>-1.1257497219213237</v>
      </c>
    </row>
    <row r="95" spans="1:26" s="24" customFormat="1" hidden="1" outlineLevel="2" x14ac:dyDescent="0.25">
      <c r="A95" s="25"/>
      <c r="B95" s="11" t="str">
        <f>CONCATENATE("          ", "6279", " - ", "GENERAL EXPENSE")</f>
        <v xml:space="preserve">          6279 - GENERAL EXPENSE</v>
      </c>
      <c r="C95" s="11"/>
      <c r="D95" s="6">
        <v>4.63</v>
      </c>
      <c r="E95" s="2"/>
      <c r="F95" s="7">
        <f t="shared" si="47"/>
        <v>4.6817101913196539E-6</v>
      </c>
      <c r="G95" s="2"/>
      <c r="H95" s="6">
        <v>100.16</v>
      </c>
      <c r="I95" s="2"/>
      <c r="J95" s="7">
        <f t="shared" si="48"/>
        <v>5.9866074284210997E-5</v>
      </c>
      <c r="K95" s="2"/>
      <c r="L95" s="6">
        <f t="shared" si="49"/>
        <v>-95.53</v>
      </c>
      <c r="M95" s="2"/>
      <c r="N95" s="7">
        <f t="shared" si="50"/>
        <v>-0.95377396166134187</v>
      </c>
      <c r="O95" s="11"/>
      <c r="P95" s="6">
        <v>-1037.82</v>
      </c>
      <c r="Q95" s="2"/>
      <c r="R95" s="7">
        <f t="shared" si="51"/>
        <v>-4.0525480633168726E-4</v>
      </c>
      <c r="S95" s="2"/>
      <c r="T95" s="6">
        <v>8253.06</v>
      </c>
      <c r="U95" s="2"/>
      <c r="V95" s="7">
        <f t="shared" si="52"/>
        <v>1.78896260367015E-3</v>
      </c>
      <c r="W95" s="2"/>
      <c r="X95" s="6">
        <f t="shared" si="53"/>
        <v>-9290.8799999999992</v>
      </c>
      <c r="Y95" s="2"/>
      <c r="Z95" s="7">
        <f t="shared" si="54"/>
        <v>-1.1257497219213237</v>
      </c>
    </row>
    <row r="96" spans="1:26" s="26" customFormat="1" outlineLevel="1" collapsed="1" x14ac:dyDescent="0.25">
      <c r="A96" s="27"/>
      <c r="B96" s="13" t="str">
        <f>CONCATENATE("     ","Inventory Adjustment                              ")</f>
        <v xml:space="preserve">     Inventory Adjustment                              </v>
      </c>
      <c r="C96" s="13"/>
      <c r="D96" s="1">
        <f>SUM(OSRRefD22_8x_0)</f>
        <v>1000</v>
      </c>
      <c r="E96" s="1"/>
      <c r="F96" s="5">
        <f t="shared" si="47"/>
        <v>1.0111685078444178E-3</v>
      </c>
      <c r="G96" s="1"/>
      <c r="H96" s="1">
        <f>SUM(OSRRefH22_8x_0)</f>
        <v>1000</v>
      </c>
      <c r="I96" s="1"/>
      <c r="J96" s="5">
        <f t="shared" si="48"/>
        <v>5.9770441577686705E-4</v>
      </c>
      <c r="K96" s="1"/>
      <c r="L96" s="1">
        <f t="shared" si="49"/>
        <v>0</v>
      </c>
      <c r="M96" s="1"/>
      <c r="N96" s="5">
        <f t="shared" si="50"/>
        <v>0</v>
      </c>
      <c r="O96" s="13"/>
      <c r="P96" s="1">
        <f>SUM(OSRRefP22_8x_0)</f>
        <v>12000</v>
      </c>
      <c r="Q96" s="1"/>
      <c r="R96" s="5">
        <f t="shared" si="51"/>
        <v>4.6858392360720038E-3</v>
      </c>
      <c r="S96" s="1"/>
      <c r="T96" s="1">
        <f>SUM(OSRRefT22_8x_0)</f>
        <v>12800</v>
      </c>
      <c r="U96" s="1"/>
      <c r="V96" s="5">
        <f t="shared" si="52"/>
        <v>2.7745734705646053E-3</v>
      </c>
      <c r="W96" s="1"/>
      <c r="X96" s="1">
        <f t="shared" si="53"/>
        <v>-800</v>
      </c>
      <c r="Y96" s="1"/>
      <c r="Z96" s="5">
        <f t="shared" si="54"/>
        <v>-6.25E-2</v>
      </c>
    </row>
    <row r="97" spans="1:26" s="24" customFormat="1" hidden="1" outlineLevel="2" x14ac:dyDescent="0.25">
      <c r="A97" s="25"/>
      <c r="B97" s="11" t="str">
        <f>CONCATENATE("          ", "6408", " - ", "INVENTORY ADJUSTMENT")</f>
        <v xml:space="preserve">          6408 - INVENTORY ADJUSTMENT</v>
      </c>
      <c r="C97" s="11"/>
      <c r="D97" s="6">
        <v>1000</v>
      </c>
      <c r="E97" s="2"/>
      <c r="F97" s="7">
        <f t="shared" si="47"/>
        <v>1.0111685078444178E-3</v>
      </c>
      <c r="G97" s="2"/>
      <c r="H97" s="6">
        <v>1000</v>
      </c>
      <c r="I97" s="2"/>
      <c r="J97" s="7">
        <f t="shared" si="48"/>
        <v>5.9770441577686705E-4</v>
      </c>
      <c r="K97" s="2"/>
      <c r="L97" s="6">
        <f t="shared" si="49"/>
        <v>0</v>
      </c>
      <c r="M97" s="2"/>
      <c r="N97" s="7">
        <f t="shared" si="50"/>
        <v>0</v>
      </c>
      <c r="O97" s="11"/>
      <c r="P97" s="6">
        <v>12000</v>
      </c>
      <c r="Q97" s="2"/>
      <c r="R97" s="7">
        <f t="shared" si="51"/>
        <v>4.6858392360720038E-3</v>
      </c>
      <c r="S97" s="2"/>
      <c r="T97" s="6">
        <v>12800</v>
      </c>
      <c r="U97" s="2"/>
      <c r="V97" s="7">
        <f t="shared" si="52"/>
        <v>2.7745734705646053E-3</v>
      </c>
      <c r="W97" s="2"/>
      <c r="X97" s="6">
        <f t="shared" si="53"/>
        <v>-800</v>
      </c>
      <c r="Y97" s="2"/>
      <c r="Z97" s="7">
        <f t="shared" si="54"/>
        <v>-6.25E-2</v>
      </c>
    </row>
    <row r="98" spans="1:26" s="26" customFormat="1" outlineLevel="1" collapsed="1" x14ac:dyDescent="0.25">
      <c r="A98" s="27"/>
      <c r="B98" s="13" t="str">
        <f>CONCATENATE("     ","Repair and Maintenance                            ")</f>
        <v xml:space="preserve">     Repair and Maintenance                            </v>
      </c>
      <c r="C98" s="13"/>
      <c r="D98" s="1">
        <f>SUM(OSRRefD22_9x_0)</f>
        <v>17.91</v>
      </c>
      <c r="E98" s="1"/>
      <c r="F98" s="5">
        <f t="shared" si="47"/>
        <v>1.8110027975493522E-5</v>
      </c>
      <c r="G98" s="1"/>
      <c r="H98" s="1">
        <f>SUM(OSRRefH22_9x_0)</f>
        <v>0</v>
      </c>
      <c r="I98" s="1"/>
      <c r="J98" s="5">
        <f t="shared" si="48"/>
        <v>0</v>
      </c>
      <c r="K98" s="1"/>
      <c r="L98" s="1">
        <f t="shared" si="49"/>
        <v>17.91</v>
      </c>
      <c r="M98" s="1"/>
      <c r="N98" s="5">
        <f t="shared" si="50"/>
        <v>0</v>
      </c>
      <c r="O98" s="13"/>
      <c r="P98" s="1">
        <f>SUM(OSRRefP22_9x_0)</f>
        <v>167.38</v>
      </c>
      <c r="Q98" s="1"/>
      <c r="R98" s="5">
        <f t="shared" si="51"/>
        <v>6.535964761114434E-5</v>
      </c>
      <c r="S98" s="1"/>
      <c r="T98" s="1">
        <f>SUM(OSRRefT22_9x_0)</f>
        <v>143.16</v>
      </c>
      <c r="U98" s="1"/>
      <c r="V98" s="5">
        <f t="shared" si="52"/>
        <v>3.1031870159846008E-5</v>
      </c>
      <c r="W98" s="1"/>
      <c r="X98" s="1">
        <f t="shared" si="53"/>
        <v>24.22</v>
      </c>
      <c r="Y98" s="1"/>
      <c r="Z98" s="5">
        <f t="shared" si="54"/>
        <v>0.16918133556859458</v>
      </c>
    </row>
    <row r="99" spans="1:26" s="24" customFormat="1" hidden="1" outlineLevel="2" x14ac:dyDescent="0.25">
      <c r="A99" s="25"/>
      <c r="B99" s="11" t="str">
        <f>CONCATENATE("          ", "6373", " - ", "MAINTENANCE CONTRACTS")</f>
        <v xml:space="preserve">          6373 - MAINTENANCE CONTRACTS</v>
      </c>
      <c r="C99" s="11"/>
      <c r="D99" s="6">
        <v>17.91</v>
      </c>
      <c r="E99" s="2"/>
      <c r="F99" s="7">
        <f t="shared" si="47"/>
        <v>1.8110027975493522E-5</v>
      </c>
      <c r="G99" s="2"/>
      <c r="H99" s="6"/>
      <c r="I99" s="2"/>
      <c r="J99" s="7">
        <f t="shared" si="48"/>
        <v>0</v>
      </c>
      <c r="K99" s="2"/>
      <c r="L99" s="6">
        <f t="shared" si="49"/>
        <v>17.91</v>
      </c>
      <c r="M99" s="2"/>
      <c r="N99" s="7">
        <f t="shared" si="50"/>
        <v>0</v>
      </c>
      <c r="O99" s="11"/>
      <c r="P99" s="6">
        <v>142.27000000000001</v>
      </c>
      <c r="Q99" s="2"/>
      <c r="R99" s="7">
        <f t="shared" si="51"/>
        <v>5.5554529009663668E-5</v>
      </c>
      <c r="S99" s="2"/>
      <c r="T99" s="6">
        <v>143.16</v>
      </c>
      <c r="U99" s="2"/>
      <c r="V99" s="7">
        <f t="shared" si="52"/>
        <v>3.1031870159846008E-5</v>
      </c>
      <c r="W99" s="2"/>
      <c r="X99" s="6">
        <f t="shared" si="53"/>
        <v>-0.88999999999998636</v>
      </c>
      <c r="Y99" s="2"/>
      <c r="Z99" s="7">
        <f t="shared" si="54"/>
        <v>-6.2168203408772445E-3</v>
      </c>
    </row>
    <row r="100" spans="1:26" s="24" customFormat="1" hidden="1" outlineLevel="2" x14ac:dyDescent="0.25">
      <c r="A100" s="25"/>
      <c r="B100" s="11" t="str">
        <f>CONCATENATE("          ", "6375", " - ", "OUTSIDE REPAIRS &amp; MAINTENANCE")</f>
        <v xml:space="preserve">          6375 - OUTSIDE REPAIRS &amp; MAINTENANCE</v>
      </c>
      <c r="C100" s="11"/>
      <c r="D100" s="6"/>
      <c r="E100" s="2"/>
      <c r="F100" s="7">
        <f t="shared" si="47"/>
        <v>0</v>
      </c>
      <c r="G100" s="2"/>
      <c r="H100" s="6"/>
      <c r="I100" s="2"/>
      <c r="J100" s="7">
        <f t="shared" si="48"/>
        <v>0</v>
      </c>
      <c r="K100" s="2"/>
      <c r="L100" s="6">
        <f t="shared" si="49"/>
        <v>0</v>
      </c>
      <c r="M100" s="2"/>
      <c r="N100" s="7">
        <f t="shared" si="50"/>
        <v>0</v>
      </c>
      <c r="O100" s="11"/>
      <c r="P100" s="6">
        <v>25.11</v>
      </c>
      <c r="Q100" s="2"/>
      <c r="R100" s="7">
        <f t="shared" si="51"/>
        <v>9.8051186014806687E-6</v>
      </c>
      <c r="S100" s="2"/>
      <c r="T100" s="6"/>
      <c r="U100" s="2"/>
      <c r="V100" s="7">
        <f t="shared" si="52"/>
        <v>0</v>
      </c>
      <c r="W100" s="2"/>
      <c r="X100" s="6">
        <f t="shared" si="53"/>
        <v>25.11</v>
      </c>
      <c r="Y100" s="2"/>
      <c r="Z100" s="7">
        <f t="shared" si="54"/>
        <v>0</v>
      </c>
    </row>
    <row r="101" spans="1:26" s="26" customFormat="1" outlineLevel="1" collapsed="1" x14ac:dyDescent="0.25">
      <c r="A101" s="27"/>
      <c r="B101" s="13" t="str">
        <f>CONCATENATE("     ","Subscriptions &amp; Dues                              ")</f>
        <v xml:space="preserve">     Subscriptions &amp; Dues                              </v>
      </c>
      <c r="C101" s="13"/>
      <c r="D101" s="1">
        <f>SUM(OSRRefD22_10x_0)</f>
        <v>2180.9899999999998</v>
      </c>
      <c r="E101" s="1"/>
      <c r="F101" s="5">
        <f t="shared" ref="F101:F103" si="55">IF(D$12=0,0,D101/D$12)</f>
        <v>2.2053484039235962E-3</v>
      </c>
      <c r="G101" s="1"/>
      <c r="H101" s="1">
        <f>SUM(OSRRefH22_10x_0)</f>
        <v>258.10000000000002</v>
      </c>
      <c r="I101" s="1"/>
      <c r="J101" s="5">
        <f t="shared" ref="J101:J103" si="56">IF(H$12=0,0,H101/H$12)</f>
        <v>1.5426750971200939E-4</v>
      </c>
      <c r="K101" s="1"/>
      <c r="L101" s="1">
        <f t="shared" ref="L101:L103" si="57">+D101-H101</f>
        <v>1922.8899999999999</v>
      </c>
      <c r="M101" s="1"/>
      <c r="N101" s="5">
        <f t="shared" ref="N101:N103" si="58">IF(H101=0,0,L101/H101)</f>
        <v>7.4501743510267326</v>
      </c>
      <c r="O101" s="13"/>
      <c r="P101" s="1">
        <f>SUM(OSRRefP22_10x_0)</f>
        <v>3912.43</v>
      </c>
      <c r="Q101" s="1"/>
      <c r="R101" s="5">
        <f t="shared" ref="R101:R103" si="59">IF(P$12=0,0,P101/P$12)</f>
        <v>1.5277515001987658E-3</v>
      </c>
      <c r="S101" s="1"/>
      <c r="T101" s="1">
        <f>SUM(OSRRefT22_10x_0)</f>
        <v>1815.5</v>
      </c>
      <c r="U101" s="1"/>
      <c r="V101" s="5">
        <f t="shared" ref="V101:V103" si="60">IF(T$12=0,0,T101/T$12)</f>
        <v>3.9353422936015946E-4</v>
      </c>
      <c r="W101" s="1"/>
      <c r="X101" s="1">
        <f t="shared" ref="X101:X103" si="61">+P101-T101</f>
        <v>2096.9299999999998</v>
      </c>
      <c r="Y101" s="1"/>
      <c r="Z101" s="5">
        <f t="shared" ref="Z101:Z103" si="62">IF(T101=0,0,X101/T101)</f>
        <v>1.1550151473423298</v>
      </c>
    </row>
    <row r="102" spans="1:26" s="24" customFormat="1" hidden="1" outlineLevel="2" x14ac:dyDescent="0.25">
      <c r="A102" s="25"/>
      <c r="B102" s="11" t="str">
        <f>CONCATENATE("          ", "6258", " - ", "MEMBERSHIP DUES")</f>
        <v xml:space="preserve">          6258 - MEMBERSHIP DUES</v>
      </c>
      <c r="C102" s="11"/>
      <c r="D102" s="6">
        <v>328.91</v>
      </c>
      <c r="E102" s="2"/>
      <c r="F102" s="7">
        <f t="shared" si="55"/>
        <v>3.3258343391510747E-4</v>
      </c>
      <c r="G102" s="2"/>
      <c r="H102" s="6">
        <v>258.10000000000002</v>
      </c>
      <c r="I102" s="2"/>
      <c r="J102" s="7">
        <f t="shared" si="56"/>
        <v>1.5426750971200939E-4</v>
      </c>
      <c r="K102" s="2"/>
      <c r="L102" s="6">
        <f t="shared" si="57"/>
        <v>70.81</v>
      </c>
      <c r="M102" s="2"/>
      <c r="N102" s="7">
        <f t="shared" si="58"/>
        <v>0.27435102673382411</v>
      </c>
      <c r="O102" s="11"/>
      <c r="P102" s="6">
        <v>2060.35</v>
      </c>
      <c r="Q102" s="2"/>
      <c r="R102" s="7">
        <f t="shared" si="59"/>
        <v>8.0453907250341273E-4</v>
      </c>
      <c r="S102" s="2"/>
      <c r="T102" s="6">
        <v>1815.5</v>
      </c>
      <c r="U102" s="2"/>
      <c r="V102" s="7">
        <f t="shared" si="60"/>
        <v>3.9353422936015946E-4</v>
      </c>
      <c r="W102" s="2"/>
      <c r="X102" s="6">
        <f t="shared" si="61"/>
        <v>244.84999999999991</v>
      </c>
      <c r="Y102" s="2"/>
      <c r="Z102" s="7">
        <f t="shared" si="62"/>
        <v>0.13486642798127232</v>
      </c>
    </row>
    <row r="103" spans="1:26" s="24" customFormat="1" hidden="1" outlineLevel="2" x14ac:dyDescent="0.25">
      <c r="A103" s="25"/>
      <c r="B103" s="11" t="str">
        <f>CONCATENATE("          ", "6275", " - ", "SUBSCRIPTIONS")</f>
        <v xml:space="preserve">          6275 - SUBSCRIPTIONS</v>
      </c>
      <c r="C103" s="11"/>
      <c r="D103" s="6">
        <v>1852.08</v>
      </c>
      <c r="E103" s="2"/>
      <c r="F103" s="7">
        <f t="shared" si="55"/>
        <v>1.872764970008489E-3</v>
      </c>
      <c r="G103" s="2"/>
      <c r="H103" s="6"/>
      <c r="I103" s="2"/>
      <c r="J103" s="7">
        <f t="shared" si="56"/>
        <v>0</v>
      </c>
      <c r="K103" s="2"/>
      <c r="L103" s="6">
        <f t="shared" si="57"/>
        <v>1852.08</v>
      </c>
      <c r="M103" s="2"/>
      <c r="N103" s="7">
        <f t="shared" si="58"/>
        <v>0</v>
      </c>
      <c r="O103" s="11"/>
      <c r="P103" s="6">
        <v>1852.08</v>
      </c>
      <c r="Q103" s="2"/>
      <c r="R103" s="7">
        <f t="shared" si="59"/>
        <v>7.2321242769535308E-4</v>
      </c>
      <c r="S103" s="2"/>
      <c r="T103" s="6"/>
      <c r="U103" s="2"/>
      <c r="V103" s="7">
        <f t="shared" si="60"/>
        <v>0</v>
      </c>
      <c r="W103" s="2"/>
      <c r="X103" s="6">
        <f t="shared" si="61"/>
        <v>1852.08</v>
      </c>
      <c r="Y103" s="2"/>
      <c r="Z103" s="7">
        <f t="shared" si="62"/>
        <v>0</v>
      </c>
    </row>
    <row r="104" spans="1:26" s="26" customFormat="1" outlineLevel="1" collapsed="1" x14ac:dyDescent="0.25">
      <c r="A104" s="27"/>
      <c r="B104" s="13" t="str">
        <f>CONCATENATE("     ","Supplies                                          ")</f>
        <v xml:space="preserve">     Supplies                                          </v>
      </c>
      <c r="C104" s="13"/>
      <c r="D104" s="1">
        <f>SUM(OSRRefD22_11x_0)</f>
        <v>2182.2599999999998</v>
      </c>
      <c r="E104" s="1"/>
      <c r="F104" s="5">
        <f t="shared" ref="F104:F107" si="63">IF(D$12=0,0,D104/D$12)</f>
        <v>2.2066325879285587E-3</v>
      </c>
      <c r="G104" s="1"/>
      <c r="H104" s="1">
        <f>SUM(OSRRefH22_11x_0)</f>
        <v>220.28</v>
      </c>
      <c r="I104" s="1"/>
      <c r="J104" s="5">
        <f t="shared" ref="J104:J107" si="64">IF(H$12=0,0,H104/H$12)</f>
        <v>1.3166232870732826E-4</v>
      </c>
      <c r="K104" s="1"/>
      <c r="L104" s="1">
        <f t="shared" ref="L104:L107" si="65">+D104-H104</f>
        <v>1961.9799999999998</v>
      </c>
      <c r="M104" s="1"/>
      <c r="N104" s="5">
        <f t="shared" ref="N104:N107" si="66">IF(H104=0,0,L104/H104)</f>
        <v>8.9067550390412187</v>
      </c>
      <c r="O104" s="13"/>
      <c r="P104" s="1">
        <f>SUM(OSRRefP22_11x_0)</f>
        <v>4251.8999999999996</v>
      </c>
      <c r="Q104" s="1"/>
      <c r="R104" s="5">
        <f t="shared" ref="R104:R107" si="67">IF(P$12=0,0,P104/P$12)</f>
        <v>1.6603099873212126E-3</v>
      </c>
      <c r="S104" s="1"/>
      <c r="T104" s="1">
        <f>SUM(OSRRefT22_11x_0)</f>
        <v>9643.3300000000017</v>
      </c>
      <c r="U104" s="1"/>
      <c r="V104" s="5">
        <f t="shared" ref="V104:V107" si="68">IF(T$12=0,0,T104/T$12)</f>
        <v>2.0903224676484203E-3</v>
      </c>
      <c r="W104" s="1"/>
      <c r="X104" s="1">
        <f t="shared" ref="X104:X107" si="69">+P104-T104</f>
        <v>-5391.4300000000021</v>
      </c>
      <c r="Y104" s="1"/>
      <c r="Z104" s="5">
        <f t="shared" ref="Z104:Z107" si="70">IF(T104=0,0,X104/T104)</f>
        <v>-0.55908384344412165</v>
      </c>
    </row>
    <row r="105" spans="1:26" s="24" customFormat="1" hidden="1" outlineLevel="2" x14ac:dyDescent="0.25">
      <c r="A105" s="25"/>
      <c r="B105" s="11" t="str">
        <f>CONCATENATE("          ", "6241", " - ", "OFFICE EXPENSE")</f>
        <v xml:space="preserve">          6241 - OFFICE EXPENSE</v>
      </c>
      <c r="C105" s="11"/>
      <c r="D105" s="6">
        <v>85.24</v>
      </c>
      <c r="E105" s="2"/>
      <c r="F105" s="7">
        <f t="shared" si="63"/>
        <v>8.6192003608658163E-5</v>
      </c>
      <c r="G105" s="2"/>
      <c r="H105" s="6">
        <v>220.28</v>
      </c>
      <c r="I105" s="2"/>
      <c r="J105" s="7">
        <f t="shared" si="64"/>
        <v>1.3166232870732826E-4</v>
      </c>
      <c r="K105" s="2"/>
      <c r="L105" s="6">
        <f t="shared" si="65"/>
        <v>-135.04000000000002</v>
      </c>
      <c r="M105" s="2"/>
      <c r="N105" s="7">
        <f t="shared" si="66"/>
        <v>-0.61303795169783926</v>
      </c>
      <c r="O105" s="11"/>
      <c r="P105" s="6">
        <v>1209.5999999999999</v>
      </c>
      <c r="Q105" s="2"/>
      <c r="R105" s="7">
        <f t="shared" si="67"/>
        <v>4.7233259499605796E-4</v>
      </c>
      <c r="S105" s="2"/>
      <c r="T105" s="6">
        <v>3804.21</v>
      </c>
      <c r="U105" s="2"/>
      <c r="V105" s="7">
        <f t="shared" si="68"/>
        <v>8.2461407362942004E-4</v>
      </c>
      <c r="W105" s="2"/>
      <c r="X105" s="6">
        <f t="shared" si="69"/>
        <v>-2594.61</v>
      </c>
      <c r="Y105" s="2"/>
      <c r="Z105" s="7">
        <f t="shared" si="70"/>
        <v>-0.68203648063592703</v>
      </c>
    </row>
    <row r="106" spans="1:26" s="24" customFormat="1" hidden="1" outlineLevel="2" x14ac:dyDescent="0.25">
      <c r="A106" s="25"/>
      <c r="B106" s="11" t="str">
        <f>CONCATENATE("          ", "6245", " - ", "PRINTING")</f>
        <v xml:space="preserve">          6245 - PRINTING</v>
      </c>
      <c r="C106" s="11"/>
      <c r="D106" s="6"/>
      <c r="E106" s="2"/>
      <c r="F106" s="7">
        <f t="shared" si="63"/>
        <v>0</v>
      </c>
      <c r="G106" s="2"/>
      <c r="H106" s="6"/>
      <c r="I106" s="2"/>
      <c r="J106" s="7">
        <f t="shared" si="64"/>
        <v>0</v>
      </c>
      <c r="K106" s="2"/>
      <c r="L106" s="6">
        <f t="shared" si="65"/>
        <v>0</v>
      </c>
      <c r="M106" s="2"/>
      <c r="N106" s="7">
        <f t="shared" si="66"/>
        <v>0</v>
      </c>
      <c r="O106" s="11"/>
      <c r="P106" s="6"/>
      <c r="Q106" s="2"/>
      <c r="R106" s="7">
        <f t="shared" si="67"/>
        <v>0</v>
      </c>
      <c r="S106" s="2"/>
      <c r="T106" s="6">
        <v>4978.08</v>
      </c>
      <c r="U106" s="2"/>
      <c r="V106" s="7">
        <f t="shared" si="68"/>
        <v>1.0790663048709571E-3</v>
      </c>
      <c r="W106" s="2"/>
      <c r="X106" s="6">
        <f t="shared" si="69"/>
        <v>-4978.08</v>
      </c>
      <c r="Y106" s="2"/>
      <c r="Z106" s="7">
        <f t="shared" si="70"/>
        <v>-1</v>
      </c>
    </row>
    <row r="107" spans="1:26" s="24" customFormat="1" hidden="1" outlineLevel="2" x14ac:dyDescent="0.25">
      <c r="A107" s="25"/>
      <c r="B107" s="11" t="str">
        <f>CONCATENATE("          ", "6247", " - ", "STORE SUPPLIES")</f>
        <v xml:space="preserve">          6247 - STORE SUPPLIES</v>
      </c>
      <c r="C107" s="11"/>
      <c r="D107" s="6">
        <v>2097.02</v>
      </c>
      <c r="E107" s="2"/>
      <c r="F107" s="7">
        <f t="shared" si="63"/>
        <v>2.1204405843199005E-3</v>
      </c>
      <c r="G107" s="2"/>
      <c r="H107" s="6"/>
      <c r="I107" s="2"/>
      <c r="J107" s="7">
        <f t="shared" si="64"/>
        <v>0</v>
      </c>
      <c r="K107" s="2"/>
      <c r="L107" s="6">
        <f t="shared" si="65"/>
        <v>2097.02</v>
      </c>
      <c r="M107" s="2"/>
      <c r="N107" s="7">
        <f t="shared" si="66"/>
        <v>0</v>
      </c>
      <c r="O107" s="11"/>
      <c r="P107" s="6">
        <v>3042.3</v>
      </c>
      <c r="Q107" s="2"/>
      <c r="R107" s="7">
        <f t="shared" si="67"/>
        <v>1.1879773923251548E-3</v>
      </c>
      <c r="S107" s="2"/>
      <c r="T107" s="6">
        <v>861.04</v>
      </c>
      <c r="U107" s="2"/>
      <c r="V107" s="7">
        <f t="shared" si="68"/>
        <v>1.8664208914804278E-4</v>
      </c>
      <c r="W107" s="2"/>
      <c r="X107" s="6">
        <f t="shared" si="69"/>
        <v>2181.2600000000002</v>
      </c>
      <c r="Y107" s="2"/>
      <c r="Z107" s="7">
        <f t="shared" si="70"/>
        <v>2.5332853293691353</v>
      </c>
    </row>
    <row r="108" spans="1:26" s="26" customFormat="1" outlineLevel="1" collapsed="1" x14ac:dyDescent="0.25">
      <c r="A108" s="27"/>
      <c r="B108" s="13" t="str">
        <f>CONCATENATE("     ","Telephone/Data Lines                              ")</f>
        <v xml:space="preserve">     Telephone/Data Lines                              </v>
      </c>
      <c r="C108" s="13"/>
      <c r="D108" s="1">
        <f>SUM(OSRRefD22_12x_0)</f>
        <v>1215.2</v>
      </c>
      <c r="E108" s="1"/>
      <c r="F108" s="5">
        <f t="shared" ref="F108:F110" si="71">IF(D$12=0,0,D108/D$12)</f>
        <v>1.2287719707325365E-3</v>
      </c>
      <c r="G108" s="1"/>
      <c r="H108" s="1">
        <f>SUM(OSRRefH22_12x_0)</f>
        <v>976.35</v>
      </c>
      <c r="I108" s="1"/>
      <c r="J108" s="5">
        <f t="shared" ref="J108:J110" si="72">IF(H$12=0,0,H108/H$12)</f>
        <v>5.8356870634374415E-4</v>
      </c>
      <c r="K108" s="1"/>
      <c r="L108" s="1">
        <f t="shared" ref="L108:L110" si="73">+D108-H108</f>
        <v>238.85000000000002</v>
      </c>
      <c r="M108" s="1"/>
      <c r="N108" s="5">
        <f t="shared" ref="N108:N110" si="74">IF(H108=0,0,L108/H108)</f>
        <v>0.24463563271367852</v>
      </c>
      <c r="O108" s="13"/>
      <c r="P108" s="1">
        <f>SUM(OSRRefP22_12x_0)</f>
        <v>6257.7</v>
      </c>
      <c r="Q108" s="1"/>
      <c r="R108" s="5">
        <f t="shared" ref="R108:R110" si="75">IF(P$12=0,0,P108/P$12)</f>
        <v>2.4435480156306481E-3</v>
      </c>
      <c r="S108" s="1"/>
      <c r="T108" s="1">
        <f>SUM(OSRRefT22_12x_0)</f>
        <v>5910.3899999999994</v>
      </c>
      <c r="U108" s="1"/>
      <c r="V108" s="5">
        <f t="shared" ref="V108:V110" si="76">IF(T$12=0,0,T108/T$12)</f>
        <v>1.2811571323976824E-3</v>
      </c>
      <c r="W108" s="1"/>
      <c r="X108" s="1">
        <f t="shared" ref="X108:X110" si="77">+P108-T108</f>
        <v>347.3100000000004</v>
      </c>
      <c r="Y108" s="1"/>
      <c r="Z108" s="5">
        <f t="shared" ref="Z108:Z110" si="78">IF(T108=0,0,X108/T108)</f>
        <v>5.8762619725601935E-2</v>
      </c>
    </row>
    <row r="109" spans="1:26" s="24" customFormat="1" hidden="1" outlineLevel="2" x14ac:dyDescent="0.25">
      <c r="A109" s="25"/>
      <c r="B109" s="11" t="str">
        <f>CONCATENATE("          ", "6303", " - ", "DATA PHONE LINES")</f>
        <v xml:space="preserve">          6303 - DATA PHONE LINES</v>
      </c>
      <c r="C109" s="11"/>
      <c r="D109" s="6">
        <v>295</v>
      </c>
      <c r="E109" s="2"/>
      <c r="F109" s="7">
        <f t="shared" si="71"/>
        <v>2.9829470981410322E-4</v>
      </c>
      <c r="G109" s="2"/>
      <c r="H109" s="6">
        <v>295</v>
      </c>
      <c r="I109" s="2"/>
      <c r="J109" s="7">
        <f t="shared" si="72"/>
        <v>1.7632280265417576E-4</v>
      </c>
      <c r="K109" s="2"/>
      <c r="L109" s="6">
        <f t="shared" si="73"/>
        <v>0</v>
      </c>
      <c r="M109" s="2"/>
      <c r="N109" s="7">
        <f t="shared" si="74"/>
        <v>0</v>
      </c>
      <c r="O109" s="11"/>
      <c r="P109" s="6">
        <v>2360</v>
      </c>
      <c r="Q109" s="2"/>
      <c r="R109" s="7">
        <f t="shared" si="75"/>
        <v>9.2154838309416078E-4</v>
      </c>
      <c r="S109" s="2"/>
      <c r="T109" s="6">
        <v>2065</v>
      </c>
      <c r="U109" s="2"/>
      <c r="V109" s="7">
        <f t="shared" si="76"/>
        <v>4.4761673568093047E-4</v>
      </c>
      <c r="W109" s="2"/>
      <c r="X109" s="6">
        <f t="shared" si="77"/>
        <v>295</v>
      </c>
      <c r="Y109" s="2"/>
      <c r="Z109" s="7">
        <f t="shared" si="78"/>
        <v>0.14285714285714285</v>
      </c>
    </row>
    <row r="110" spans="1:26" s="24" customFormat="1" hidden="1" outlineLevel="2" x14ac:dyDescent="0.25">
      <c r="A110" s="25"/>
      <c r="B110" s="11" t="str">
        <f>CONCATENATE("          ", "6309", " - ", "TELEPHONE")</f>
        <v xml:space="preserve">          6309 - TELEPHONE</v>
      </c>
      <c r="C110" s="11"/>
      <c r="D110" s="6">
        <v>920.2</v>
      </c>
      <c r="E110" s="2"/>
      <c r="F110" s="7">
        <f t="shared" si="71"/>
        <v>9.3047726091843321E-4</v>
      </c>
      <c r="G110" s="2"/>
      <c r="H110" s="6">
        <v>681.35</v>
      </c>
      <c r="I110" s="2"/>
      <c r="J110" s="7">
        <f t="shared" si="72"/>
        <v>4.0724590368956836E-4</v>
      </c>
      <c r="K110" s="2"/>
      <c r="L110" s="6">
        <f t="shared" si="73"/>
        <v>238.85000000000002</v>
      </c>
      <c r="M110" s="2"/>
      <c r="N110" s="7">
        <f t="shared" si="74"/>
        <v>0.3505540471123505</v>
      </c>
      <c r="O110" s="11"/>
      <c r="P110" s="6">
        <v>3897.7</v>
      </c>
      <c r="Q110" s="2"/>
      <c r="R110" s="7">
        <f t="shared" si="75"/>
        <v>1.5219996325364874E-3</v>
      </c>
      <c r="S110" s="2"/>
      <c r="T110" s="6">
        <v>3845.39</v>
      </c>
      <c r="U110" s="2"/>
      <c r="V110" s="7">
        <f t="shared" si="76"/>
        <v>8.3354039671675213E-4</v>
      </c>
      <c r="W110" s="2"/>
      <c r="X110" s="6">
        <f t="shared" si="77"/>
        <v>52.309999999999945</v>
      </c>
      <c r="Y110" s="2"/>
      <c r="Z110" s="7">
        <f t="shared" si="78"/>
        <v>1.3603301615700865E-2</v>
      </c>
    </row>
    <row r="111" spans="1:26" s="26" customFormat="1" outlineLevel="1" collapsed="1" x14ac:dyDescent="0.25">
      <c r="A111" s="27"/>
      <c r="B111" s="13" t="str">
        <f>CONCATENATE("     ","Training                                          ")</f>
        <v xml:space="preserve">     Training                                          </v>
      </c>
      <c r="C111" s="13"/>
      <c r="D111" s="1">
        <f>SUM(OSRRefD22_13x_0)</f>
        <v>0</v>
      </c>
      <c r="E111" s="1"/>
      <c r="F111" s="5">
        <f t="shared" ref="F111:F114" si="79">IF(D$12=0,0,D111/D$12)</f>
        <v>0</v>
      </c>
      <c r="G111" s="1"/>
      <c r="H111" s="1">
        <f>SUM(OSRRefH22_13x_0)</f>
        <v>844</v>
      </c>
      <c r="I111" s="1"/>
      <c r="J111" s="5">
        <f t="shared" ref="J111:J114" si="80">IF(H$12=0,0,H111/H$12)</f>
        <v>5.0446252691567571E-4</v>
      </c>
      <c r="K111" s="1"/>
      <c r="L111" s="1">
        <f t="shared" ref="L111:L114" si="81">+D111-H111</f>
        <v>-844</v>
      </c>
      <c r="M111" s="1"/>
      <c r="N111" s="5">
        <f t="shared" ref="N111:N114" si="82">IF(H111=0,0,L111/H111)</f>
        <v>-1</v>
      </c>
      <c r="O111" s="13"/>
      <c r="P111" s="1">
        <f>SUM(OSRRefP22_13x_0)</f>
        <v>0</v>
      </c>
      <c r="Q111" s="1"/>
      <c r="R111" s="5">
        <f t="shared" ref="R111:R114" si="83">IF(P$12=0,0,P111/P$12)</f>
        <v>0</v>
      </c>
      <c r="S111" s="1"/>
      <c r="T111" s="1">
        <f>SUM(OSRRefT22_13x_0)</f>
        <v>1391.47</v>
      </c>
      <c r="U111" s="1"/>
      <c r="V111" s="5">
        <f t="shared" ref="V111:V114" si="84">IF(T$12=0,0,T111/T$12)</f>
        <v>3.0161998024113526E-4</v>
      </c>
      <c r="W111" s="1"/>
      <c r="X111" s="1">
        <f t="shared" ref="X111:X114" si="85">+P111-T111</f>
        <v>-1391.47</v>
      </c>
      <c r="Y111" s="1"/>
      <c r="Z111" s="5">
        <f t="shared" ref="Z111:Z114" si="86">IF(T111=0,0,X111/T111)</f>
        <v>-1</v>
      </c>
    </row>
    <row r="112" spans="1:26" s="24" customFormat="1" hidden="1" outlineLevel="2" x14ac:dyDescent="0.25">
      <c r="A112" s="25"/>
      <c r="B112" s="11" t="str">
        <f>CONCATENATE("          ", "6376", " - ", "TRAINING")</f>
        <v xml:space="preserve">          6376 - TRAINING</v>
      </c>
      <c r="C112" s="11"/>
      <c r="D112" s="6"/>
      <c r="E112" s="2"/>
      <c r="F112" s="7">
        <f t="shared" si="79"/>
        <v>0</v>
      </c>
      <c r="G112" s="2"/>
      <c r="H112" s="6">
        <v>844</v>
      </c>
      <c r="I112" s="2"/>
      <c r="J112" s="7">
        <f t="shared" si="80"/>
        <v>5.0446252691567571E-4</v>
      </c>
      <c r="K112" s="2"/>
      <c r="L112" s="6">
        <f t="shared" si="81"/>
        <v>-844</v>
      </c>
      <c r="M112" s="2"/>
      <c r="N112" s="7">
        <f t="shared" si="82"/>
        <v>-1</v>
      </c>
      <c r="O112" s="11"/>
      <c r="P112" s="6"/>
      <c r="Q112" s="2"/>
      <c r="R112" s="7">
        <f t="shared" si="83"/>
        <v>0</v>
      </c>
      <c r="S112" s="2"/>
      <c r="T112" s="6">
        <v>1391.47</v>
      </c>
      <c r="U112" s="2"/>
      <c r="V112" s="7">
        <f t="shared" si="84"/>
        <v>3.0161998024113526E-4</v>
      </c>
      <c r="W112" s="2"/>
      <c r="X112" s="6">
        <f t="shared" si="85"/>
        <v>-1391.47</v>
      </c>
      <c r="Y112" s="2"/>
      <c r="Z112" s="7">
        <f t="shared" si="86"/>
        <v>-1</v>
      </c>
    </row>
    <row r="113" spans="1:26" s="26" customFormat="1" outlineLevel="1" collapsed="1" x14ac:dyDescent="0.25">
      <c r="A113" s="27"/>
      <c r="B113" s="13" t="str">
        <f>CONCATENATE("     ","Travel                                            ")</f>
        <v xml:space="preserve">     Travel                                            </v>
      </c>
      <c r="C113" s="13"/>
      <c r="D113" s="1">
        <f>SUM(OSRRefD22_14x_0)</f>
        <v>0</v>
      </c>
      <c r="E113" s="1"/>
      <c r="F113" s="5">
        <f t="shared" si="79"/>
        <v>0</v>
      </c>
      <c r="G113" s="1"/>
      <c r="H113" s="1">
        <f>SUM(OSRRefH22_14x_0)</f>
        <v>0</v>
      </c>
      <c r="I113" s="1"/>
      <c r="J113" s="5">
        <f t="shared" si="80"/>
        <v>0</v>
      </c>
      <c r="K113" s="1"/>
      <c r="L113" s="1">
        <f t="shared" si="81"/>
        <v>0</v>
      </c>
      <c r="M113" s="1"/>
      <c r="N113" s="5">
        <f t="shared" si="82"/>
        <v>0</v>
      </c>
      <c r="O113" s="13"/>
      <c r="P113" s="1">
        <f>SUM(OSRRefP22_14x_0)</f>
        <v>0.16</v>
      </c>
      <c r="Q113" s="1"/>
      <c r="R113" s="5">
        <f t="shared" si="83"/>
        <v>6.2477856480960057E-8</v>
      </c>
      <c r="S113" s="1"/>
      <c r="T113" s="1">
        <f>SUM(OSRRefT22_14x_0)</f>
        <v>83.93</v>
      </c>
      <c r="U113" s="1"/>
      <c r="V113" s="5">
        <f t="shared" si="84"/>
        <v>1.8192964951913073E-5</v>
      </c>
      <c r="W113" s="1"/>
      <c r="X113" s="1">
        <f t="shared" si="85"/>
        <v>-83.77000000000001</v>
      </c>
      <c r="Y113" s="1"/>
      <c r="Z113" s="5">
        <f t="shared" si="86"/>
        <v>-0.99809364946979628</v>
      </c>
    </row>
    <row r="114" spans="1:26" s="24" customFormat="1" hidden="1" outlineLevel="2" x14ac:dyDescent="0.25">
      <c r="A114" s="25"/>
      <c r="B114" s="11" t="str">
        <f>CONCATENATE("          ", "6292", " - ", "TRAVEL/CONFERENCE")</f>
        <v xml:space="preserve">          6292 - TRAVEL/CONFERENCE</v>
      </c>
      <c r="C114" s="11"/>
      <c r="D114" s="6"/>
      <c r="E114" s="2"/>
      <c r="F114" s="7">
        <f t="shared" si="79"/>
        <v>0</v>
      </c>
      <c r="G114" s="2"/>
      <c r="H114" s="6"/>
      <c r="I114" s="2"/>
      <c r="J114" s="7">
        <f t="shared" si="80"/>
        <v>0</v>
      </c>
      <c r="K114" s="2"/>
      <c r="L114" s="6">
        <f t="shared" si="81"/>
        <v>0</v>
      </c>
      <c r="M114" s="2"/>
      <c r="N114" s="7">
        <f t="shared" si="82"/>
        <v>0</v>
      </c>
      <c r="O114" s="11"/>
      <c r="P114" s="6">
        <v>0.16</v>
      </c>
      <c r="Q114" s="2"/>
      <c r="R114" s="7">
        <f t="shared" si="83"/>
        <v>6.2477856480960057E-8</v>
      </c>
      <c r="S114" s="2"/>
      <c r="T114" s="6">
        <v>83.93</v>
      </c>
      <c r="U114" s="2"/>
      <c r="V114" s="7">
        <f t="shared" si="84"/>
        <v>1.8192964951913073E-5</v>
      </c>
      <c r="W114" s="2"/>
      <c r="X114" s="6">
        <f t="shared" si="85"/>
        <v>-83.77000000000001</v>
      </c>
      <c r="Y114" s="2"/>
      <c r="Z114" s="7">
        <f t="shared" si="86"/>
        <v>-0.99809364946979628</v>
      </c>
    </row>
    <row r="115" spans="1:26" s="61" customFormat="1" x14ac:dyDescent="0.25">
      <c r="A115" s="37"/>
      <c r="B115" s="37"/>
      <c r="C115" s="37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7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collapsed="1" x14ac:dyDescent="0.25">
      <c r="A116" s="10"/>
      <c r="B116" s="29" t="s">
        <v>0</v>
      </c>
      <c r="C116" s="10"/>
      <c r="D116" s="4">
        <f>SUM(OSRRefD25x_0)</f>
        <v>7055.88</v>
      </c>
      <c r="E116" s="4"/>
      <c r="F116" s="12">
        <f t="shared" ref="F116:F119" si="87">IF(D$12=0,0,D116/D$12)</f>
        <v>7.1346836511292696E-3</v>
      </c>
      <c r="G116" s="4"/>
      <c r="H116" s="4">
        <f>SUM(OSRRefH25x_0)</f>
        <v>-37238.14</v>
      </c>
      <c r="I116" s="4"/>
      <c r="J116" s="12">
        <f t="shared" ref="J116:J119" si="88">IF(H$12=0,0,H116/H$12)</f>
        <v>-2.2257400713317183E-2</v>
      </c>
      <c r="K116" s="4"/>
      <c r="L116" s="4">
        <f t="shared" ref="L116:L119" si="89">+D116-H116</f>
        <v>44294.02</v>
      </c>
      <c r="M116" s="4"/>
      <c r="N116" s="12">
        <f t="shared" ref="N116:N119" si="90">IF(H116=0,0,L116/H116)</f>
        <v>-1.1894799256890918</v>
      </c>
      <c r="O116" s="10"/>
      <c r="P116" s="4">
        <f>SUM(OSRRefP25x_0)</f>
        <v>180821.69000000003</v>
      </c>
      <c r="Q116" s="4"/>
      <c r="R116" s="12">
        <f t="shared" ref="R116:R119" si="91">IF(P$12=0,0,P116/P$12)</f>
        <v>7.0608447477904068E-2</v>
      </c>
      <c r="S116" s="4"/>
      <c r="T116" s="4">
        <f>SUM(OSRRefT25x_0)</f>
        <v>108810.67</v>
      </c>
      <c r="U116" s="4"/>
      <c r="V116" s="12">
        <f t="shared" ref="V116:V119" si="92">IF(T$12=0,0,T116/T$12)</f>
        <v>2.3586187366903124E-2</v>
      </c>
      <c r="W116" s="4"/>
      <c r="X116" s="4">
        <f t="shared" ref="X116:X119" si="93">+P116-T116</f>
        <v>72011.020000000033</v>
      </c>
      <c r="Y116" s="4"/>
      <c r="Z116" s="12">
        <f t="shared" ref="Z116:Z119" si="94">IF(T116=0,0,X116/T116)</f>
        <v>0.66180108991149522</v>
      </c>
    </row>
    <row r="117" spans="1:26" s="24" customFormat="1" hidden="1" outlineLevel="1" x14ac:dyDescent="0.25">
      <c r="A117" s="44"/>
      <c r="B117" s="11" t="str">
        <f>CONCATENATE("          ", "9150", " - ", "MISC. INCOME")</f>
        <v xml:space="preserve">          9150 - MISC. INCOME</v>
      </c>
      <c r="C117" s="11"/>
      <c r="D117" s="2">
        <f>--4937.55</f>
        <v>4937.55</v>
      </c>
      <c r="E117" s="2"/>
      <c r="F117" s="19">
        <f t="shared" si="87"/>
        <v>4.9926950659072043E-3</v>
      </c>
      <c r="G117" s="2"/>
      <c r="H117" s="2">
        <f>-37707.24</f>
        <v>-37707.24</v>
      </c>
      <c r="I117" s="2"/>
      <c r="J117" s="19">
        <f t="shared" si="88"/>
        <v>-2.253778385475811E-2</v>
      </c>
      <c r="K117" s="2"/>
      <c r="L117" s="2">
        <f t="shared" si="89"/>
        <v>42644.79</v>
      </c>
      <c r="M117" s="2"/>
      <c r="N117" s="19">
        <f t="shared" si="90"/>
        <v>-1.1309443491488638</v>
      </c>
      <c r="O117" s="11"/>
      <c r="P117" s="2">
        <f>--28332.04</f>
        <v>28332.04</v>
      </c>
      <c r="Q117" s="2"/>
      <c r="R117" s="19">
        <f t="shared" si="91"/>
        <v>1.1063282055830122E-2</v>
      </c>
      <c r="S117" s="2"/>
      <c r="T117" s="2">
        <f>--16434.61</f>
        <v>16434.61</v>
      </c>
      <c r="U117" s="2"/>
      <c r="V117" s="19">
        <f t="shared" si="92"/>
        <v>3.5624244457090446E-3</v>
      </c>
      <c r="W117" s="2"/>
      <c r="X117" s="2">
        <f t="shared" si="93"/>
        <v>11897.43</v>
      </c>
      <c r="Y117" s="2"/>
      <c r="Z117" s="19">
        <f t="shared" si="94"/>
        <v>0.72392530154351087</v>
      </c>
    </row>
    <row r="118" spans="1:26" s="24" customFormat="1" hidden="1" outlineLevel="1" x14ac:dyDescent="0.25">
      <c r="A118" s="44"/>
      <c r="B118" s="11" t="str">
        <f>CONCATENATE("          ", "9151", " - ", "MISC. INCOME")</f>
        <v xml:space="preserve">          9151 - MISC. INCOME</v>
      </c>
      <c r="C118" s="11"/>
      <c r="D118" s="2">
        <f>--1972</f>
        <v>1972</v>
      </c>
      <c r="E118" s="2"/>
      <c r="F118" s="19">
        <f t="shared" si="87"/>
        <v>1.9940242974691917E-3</v>
      </c>
      <c r="G118" s="2"/>
      <c r="H118" s="2">
        <f>0</f>
        <v>0</v>
      </c>
      <c r="I118" s="2"/>
      <c r="J118" s="19">
        <f t="shared" si="88"/>
        <v>0</v>
      </c>
      <c r="K118" s="2"/>
      <c r="L118" s="2">
        <f t="shared" si="89"/>
        <v>1972</v>
      </c>
      <c r="M118" s="2"/>
      <c r="N118" s="19">
        <f t="shared" si="90"/>
        <v>0</v>
      </c>
      <c r="O118" s="11"/>
      <c r="P118" s="2">
        <f>--149257.39</f>
        <v>149257.39000000001</v>
      </c>
      <c r="Q118" s="2"/>
      <c r="R118" s="19">
        <f t="shared" si="91"/>
        <v>5.8283011194641771E-2</v>
      </c>
      <c r="S118" s="2"/>
      <c r="T118" s="2">
        <f>--87676.2</f>
        <v>87676.2</v>
      </c>
      <c r="U118" s="2"/>
      <c r="V118" s="19">
        <f t="shared" si="92"/>
        <v>1.9005004571868472E-2</v>
      </c>
      <c r="W118" s="2"/>
      <c r="X118" s="2">
        <f t="shared" si="93"/>
        <v>61581.190000000017</v>
      </c>
      <c r="Y118" s="2"/>
      <c r="Z118" s="19">
        <f t="shared" si="94"/>
        <v>0.70237065475009208</v>
      </c>
    </row>
    <row r="119" spans="1:26" s="24" customFormat="1" hidden="1" outlineLevel="1" x14ac:dyDescent="0.25">
      <c r="A119" s="44"/>
      <c r="B119" s="11" t="str">
        <f>CONCATENATE("          ", "9152", " - ", "MISC. INCOME")</f>
        <v xml:space="preserve">          9152 - MISC. INCOME</v>
      </c>
      <c r="C119" s="11"/>
      <c r="D119" s="2">
        <f>--146.33</f>
        <v>146.33000000000001</v>
      </c>
      <c r="E119" s="2"/>
      <c r="F119" s="19">
        <f t="shared" si="87"/>
        <v>1.4796428775287366E-4</v>
      </c>
      <c r="G119" s="2"/>
      <c r="H119" s="2">
        <f>--469.1</f>
        <v>469.1</v>
      </c>
      <c r="I119" s="2"/>
      <c r="J119" s="19">
        <f t="shared" si="88"/>
        <v>2.8038314144092835E-4</v>
      </c>
      <c r="K119" s="2"/>
      <c r="L119" s="2">
        <f t="shared" si="89"/>
        <v>-322.77</v>
      </c>
      <c r="M119" s="2"/>
      <c r="N119" s="19">
        <f t="shared" si="90"/>
        <v>-0.68806224685568107</v>
      </c>
      <c r="O119" s="11"/>
      <c r="P119" s="2">
        <f>--3232.26</f>
        <v>3232.26</v>
      </c>
      <c r="Q119" s="2"/>
      <c r="R119" s="19">
        <f t="shared" si="91"/>
        <v>1.2621542274321748E-3</v>
      </c>
      <c r="S119" s="2"/>
      <c r="T119" s="2">
        <f>--4699.86</f>
        <v>4699.8599999999997</v>
      </c>
      <c r="U119" s="2"/>
      <c r="V119" s="19">
        <f t="shared" si="92"/>
        <v>1.0187583493256067E-3</v>
      </c>
      <c r="W119" s="2"/>
      <c r="X119" s="2">
        <f t="shared" si="93"/>
        <v>-1467.5999999999995</v>
      </c>
      <c r="Y119" s="2"/>
      <c r="Z119" s="19">
        <f t="shared" si="94"/>
        <v>-0.31226462064827454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10"/>
      <c r="B121" s="28" t="s">
        <v>3</v>
      </c>
      <c r="C121" s="28"/>
      <c r="D121" s="20">
        <f>+D61-D63+D116</f>
        <v>250252.83000000005</v>
      </c>
      <c r="E121" s="14"/>
      <c r="F121" s="22">
        <f>IF(D$12=0,0,D121/D$12)</f>
        <v>0.25304778069494277</v>
      </c>
      <c r="G121" s="14"/>
      <c r="H121" s="20">
        <f>+H61-H63+H116</f>
        <v>580687.98000000021</v>
      </c>
      <c r="I121" s="14"/>
      <c r="J121" s="22">
        <f>IF(H$12=0,0,H121/H$12)</f>
        <v>0.34707976983454913</v>
      </c>
      <c r="K121" s="15"/>
      <c r="L121" s="20">
        <f>+D121-H121</f>
        <v>-330435.15000000014</v>
      </c>
      <c r="M121" s="15"/>
      <c r="N121" s="22">
        <f>IF(H121=0,0,L121/H121)</f>
        <v>-0.56904079536828023</v>
      </c>
      <c r="O121" s="29"/>
      <c r="P121" s="20">
        <f>+P61-P63+P116</f>
        <v>609162.44999999949</v>
      </c>
      <c r="Q121" s="14"/>
      <c r="R121" s="22">
        <f>IF(P$12=0,0,P121/P$12)</f>
        <v>0.23786977577931231</v>
      </c>
      <c r="S121" s="14"/>
      <c r="T121" s="20">
        <f>+T61-T63+T116</f>
        <v>1256887.8699999978</v>
      </c>
      <c r="U121" s="14"/>
      <c r="V121" s="22">
        <f>IF(T$12=0,0,T121/T$12)</f>
        <v>0.27244747965441002</v>
      </c>
      <c r="W121" s="15"/>
      <c r="X121" s="20">
        <f>+P121-T121</f>
        <v>-647725.4199999983</v>
      </c>
      <c r="Y121" s="15"/>
      <c r="Z121" s="22">
        <f>IF(T121=0,0,X121/T121)</f>
        <v>-0.51534065644216887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51"/>
      <c r="B123" s="10" t="s">
        <v>13</v>
      </c>
      <c r="C123" s="10"/>
      <c r="D123" s="4">
        <v>179764.56</v>
      </c>
      <c r="E123" s="4"/>
      <c r="F123" s="12">
        <f>IF(D$12=0,0,D123/D$12)</f>
        <v>0.18177226189850829</v>
      </c>
      <c r="G123" s="4"/>
      <c r="H123" s="4">
        <v>163534.04999999999</v>
      </c>
      <c r="I123" s="4"/>
      <c r="J123" s="12">
        <f>IF(H$12=0,0,H123/H$12)</f>
        <v>9.7745023814874946E-2</v>
      </c>
      <c r="K123" s="4"/>
      <c r="L123" s="4">
        <f>+D123-H123</f>
        <v>16230.510000000009</v>
      </c>
      <c r="M123" s="4"/>
      <c r="N123" s="12">
        <f>IF(H123=0,0,L123/H123)</f>
        <v>9.9248505127831246E-2</v>
      </c>
      <c r="O123" s="10"/>
      <c r="P123" s="4">
        <v>464872.43</v>
      </c>
      <c r="Q123" s="4"/>
      <c r="R123" s="12">
        <f>IF(P$12=0,0,P123/P$12)</f>
        <v>0.18152645602184467</v>
      </c>
      <c r="S123" s="4"/>
      <c r="T123" s="4">
        <v>481104.11</v>
      </c>
      <c r="U123" s="4"/>
      <c r="V123" s="12">
        <f>IF(T$12=0,0,T123/T$12)</f>
        <v>0.10428583595199965</v>
      </c>
      <c r="W123" s="4"/>
      <c r="X123" s="4">
        <f>+P123-T123</f>
        <v>-16231.679999999993</v>
      </c>
      <c r="Y123" s="4"/>
      <c r="Z123" s="12">
        <f>IF(T123=0,0,X123/T123)</f>
        <v>-3.3738393962171709E-2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8" t="s">
        <v>4</v>
      </c>
      <c r="C125" s="28"/>
      <c r="D125" s="30">
        <f>+D121-D123</f>
        <v>70488.270000000048</v>
      </c>
      <c r="E125" s="14"/>
      <c r="F125" s="36">
        <f>IF(D$12=0,0,D125/D$12)</f>
        <v>7.1275518796434484E-2</v>
      </c>
      <c r="G125" s="14"/>
      <c r="H125" s="30">
        <f>+H121-H123</f>
        <v>417153.93000000023</v>
      </c>
      <c r="I125" s="14"/>
      <c r="J125" s="36">
        <f>IF(H$12=0,0,H125/H$12)</f>
        <v>0.2493347460196742</v>
      </c>
      <c r="K125" s="15"/>
      <c r="L125" s="30">
        <f>D125-H125</f>
        <v>-346665.66000000015</v>
      </c>
      <c r="M125" s="15"/>
      <c r="N125" s="36">
        <f>IF(H125=0,0,L125/H125)</f>
        <v>-0.83102575588824001</v>
      </c>
      <c r="O125" s="29"/>
      <c r="P125" s="30">
        <f>+P121-P123</f>
        <v>144290.01999999949</v>
      </c>
      <c r="Q125" s="14"/>
      <c r="R125" s="36">
        <f>IF(P$12=0,0,P125/P$12)</f>
        <v>5.6343319757467647E-2</v>
      </c>
      <c r="S125" s="14"/>
      <c r="T125" s="30">
        <f>+T121-T123</f>
        <v>775783.7599999978</v>
      </c>
      <c r="U125" s="14"/>
      <c r="V125" s="36">
        <f>IF(T$12=0,0,T125/T$12)</f>
        <v>0.16816164370241035</v>
      </c>
      <c r="W125" s="15"/>
      <c r="X125" s="30">
        <f>P125-T125</f>
        <v>-631493.73999999836</v>
      </c>
      <c r="Y125" s="15"/>
      <c r="Z125" s="36">
        <f>IF(T125=0,0,X125/T125)</f>
        <v>-0.8140074239244196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8" t="s">
        <v>5</v>
      </c>
      <c r="C128" s="28"/>
      <c r="D128" s="32">
        <f>SUM(D125:D127)</f>
        <v>70488.270000000048</v>
      </c>
      <c r="E128" s="14"/>
      <c r="F128" s="31">
        <f>IF(D$12=0,0,D128/D$12)</f>
        <v>7.1275518796434484E-2</v>
      </c>
      <c r="G128" s="14"/>
      <c r="H128" s="32">
        <f>SUM(H125:H127)</f>
        <v>417153.93000000023</v>
      </c>
      <c r="I128" s="14"/>
      <c r="J128" s="31">
        <f>IF(H$12=0,0,H128/H$12)</f>
        <v>0.2493347460196742</v>
      </c>
      <c r="K128" s="15"/>
      <c r="L128" s="32">
        <f>+D128-H128</f>
        <v>-346665.66000000015</v>
      </c>
      <c r="M128" s="15"/>
      <c r="N128" s="31">
        <f>IF(H128=0,0,L128/H128)</f>
        <v>-0.83102575588824001</v>
      </c>
      <c r="O128" s="29"/>
      <c r="P128" s="32">
        <f>SUM(P125:P127)</f>
        <v>144290.01999999949</v>
      </c>
      <c r="Q128" s="14"/>
      <c r="R128" s="31">
        <f>IF(P$12=0,0,P128/P$12)</f>
        <v>5.6343319757467647E-2</v>
      </c>
      <c r="S128" s="14"/>
      <c r="T128" s="32">
        <f>SUM(T125:T127)</f>
        <v>775783.7599999978</v>
      </c>
      <c r="U128" s="14"/>
      <c r="V128" s="31">
        <f>IF(T$12=0,0,T128/T$12)</f>
        <v>0.16816164370241035</v>
      </c>
      <c r="W128" s="15"/>
      <c r="X128" s="32">
        <f>+P128-T128</f>
        <v>-631493.73999999836</v>
      </c>
      <c r="Y128" s="15"/>
      <c r="Z128" s="31">
        <f>IF(T128=0,0,X128/T128)</f>
        <v>-0.8140074239244196</v>
      </c>
    </row>
    <row r="129" spans="1:24" ht="15.75" thickTop="1" x14ac:dyDescent="0.25">
      <c r="A129" s="9"/>
      <c r="C129" s="9"/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A130" s="9"/>
      <c r="B130" s="62">
        <v>44238.495874652777</v>
      </c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  <row r="131" spans="1:24" x14ac:dyDescent="0.25">
      <c r="A131" s="9"/>
      <c r="B131" s="59" t="s">
        <v>313</v>
      </c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4" x14ac:dyDescent="0.25">
      <c r="A132" s="9"/>
      <c r="B132" s="56"/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4" x14ac:dyDescent="0.25"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","311", " - ", "Textbooks")</f>
        <v>Department 311 - Textbooks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707881.4800000001</v>
      </c>
      <c r="E12" s="4"/>
      <c r="F12" s="12"/>
      <c r="G12" s="4"/>
      <c r="H12" s="4">
        <f>SUM(OSRRefH13x_0)</f>
        <v>1092908.1500000001</v>
      </c>
      <c r="I12" s="4"/>
      <c r="J12" s="12"/>
      <c r="K12" s="4"/>
      <c r="L12" s="4">
        <f t="shared" ref="L12:L40" si="0">+D12-H12</f>
        <v>-385026.67000000004</v>
      </c>
      <c r="M12" s="4"/>
      <c r="N12" s="12">
        <f t="shared" ref="N12:N40" si="1">IF(H12=0,0,L12/H12)</f>
        <v>-0.35229554285966297</v>
      </c>
      <c r="O12" s="10"/>
      <c r="P12" s="4">
        <f>SUM(OSRRefP13x_0)</f>
        <v>1803635.5499999996</v>
      </c>
      <c r="Q12" s="4"/>
      <c r="R12" s="12"/>
      <c r="S12" s="4"/>
      <c r="T12" s="4">
        <f>SUM(OSRRefT13x_0)</f>
        <v>3130187.82</v>
      </c>
      <c r="U12" s="4"/>
      <c r="V12" s="12"/>
      <c r="W12" s="4"/>
      <c r="X12" s="4">
        <f t="shared" ref="X12:X40" si="2">+P12-T12</f>
        <v>-1326552.2700000003</v>
      </c>
      <c r="Y12" s="4"/>
      <c r="Z12" s="12">
        <f t="shared" ref="Z12:Z40" si="3">IF(T12=0,0,X12/T12)</f>
        <v>-0.42379318631429608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-835.3</f>
        <v>-835.3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-835.3</v>
      </c>
      <c r="M13" s="2"/>
      <c r="N13" s="19">
        <f t="shared" si="1"/>
        <v>0</v>
      </c>
      <c r="O13" s="11"/>
      <c r="P13" s="2">
        <f>-7761.03</f>
        <v>-7761.03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-7761.03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--378754.92</f>
        <v>378754.92</v>
      </c>
      <c r="E14" s="2"/>
      <c r="F14" s="19"/>
      <c r="G14" s="2"/>
      <c r="H14" s="2">
        <f>--614719.15</f>
        <v>614719.15</v>
      </c>
      <c r="I14" s="2"/>
      <c r="J14" s="19"/>
      <c r="K14" s="2"/>
      <c r="L14" s="2">
        <f t="shared" si="0"/>
        <v>-235964.23000000004</v>
      </c>
      <c r="M14" s="2"/>
      <c r="N14" s="19">
        <f t="shared" si="1"/>
        <v>-0.38385696947947701</v>
      </c>
      <c r="O14" s="11"/>
      <c r="P14" s="2">
        <f>--933601.72</f>
        <v>933601.72</v>
      </c>
      <c r="Q14" s="2"/>
      <c r="R14" s="19"/>
      <c r="S14" s="2"/>
      <c r="T14" s="2">
        <f>--1898269.92</f>
        <v>1898269.92</v>
      </c>
      <c r="U14" s="2"/>
      <c r="V14" s="19"/>
      <c r="W14" s="2"/>
      <c r="X14" s="2">
        <f t="shared" si="2"/>
        <v>-964668.2</v>
      </c>
      <c r="Y14" s="2"/>
      <c r="Z14" s="19">
        <f t="shared" si="3"/>
        <v>-0.50818284050984697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--151517.66</f>
        <v>151517.66</v>
      </c>
      <c r="E15" s="2"/>
      <c r="F15" s="19"/>
      <c r="G15" s="2"/>
      <c r="H15" s="2">
        <f>--277674.65</f>
        <v>277674.65000000002</v>
      </c>
      <c r="I15" s="2"/>
      <c r="J15" s="19"/>
      <c r="K15" s="2"/>
      <c r="L15" s="2">
        <f t="shared" si="0"/>
        <v>-126156.99000000002</v>
      </c>
      <c r="M15" s="2"/>
      <c r="N15" s="19">
        <f t="shared" si="1"/>
        <v>-0.45433383998143156</v>
      </c>
      <c r="O15" s="11"/>
      <c r="P15" s="2">
        <f>--340180.21</f>
        <v>340180.21</v>
      </c>
      <c r="Q15" s="2"/>
      <c r="R15" s="19"/>
      <c r="S15" s="2"/>
      <c r="T15" s="2">
        <f>--648207.53</f>
        <v>648207.53</v>
      </c>
      <c r="U15" s="2"/>
      <c r="V15" s="19"/>
      <c r="W15" s="2"/>
      <c r="X15" s="2">
        <f t="shared" si="2"/>
        <v>-308027.32</v>
      </c>
      <c r="Y15" s="2"/>
      <c r="Z15" s="19">
        <f t="shared" si="3"/>
        <v>-0.47519861424627385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--7222.26</f>
        <v>7222.26</v>
      </c>
      <c r="E16" s="2"/>
      <c r="F16" s="19"/>
      <c r="G16" s="2"/>
      <c r="H16" s="2">
        <f>--15841.34</f>
        <v>15841.34</v>
      </c>
      <c r="I16" s="2"/>
      <c r="J16" s="19"/>
      <c r="K16" s="2"/>
      <c r="L16" s="2">
        <f t="shared" si="0"/>
        <v>-8619.08</v>
      </c>
      <c r="M16" s="2"/>
      <c r="N16" s="19">
        <f t="shared" si="1"/>
        <v>-0.54408781075338319</v>
      </c>
      <c r="O16" s="11"/>
      <c r="P16" s="2">
        <f>--17887.89</f>
        <v>17887.89</v>
      </c>
      <c r="Q16" s="2"/>
      <c r="R16" s="19"/>
      <c r="S16" s="2"/>
      <c r="T16" s="2">
        <f>--32272.01</f>
        <v>32272.01</v>
      </c>
      <c r="U16" s="2"/>
      <c r="V16" s="19"/>
      <c r="W16" s="2"/>
      <c r="X16" s="2">
        <f t="shared" si="2"/>
        <v>-14384.119999999999</v>
      </c>
      <c r="Y16" s="2"/>
      <c r="Z16" s="19">
        <f t="shared" si="3"/>
        <v>-0.44571503293411224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--200.1</f>
        <v>200.1</v>
      </c>
      <c r="E17" s="2"/>
      <c r="F17" s="19"/>
      <c r="G17" s="2"/>
      <c r="H17" s="2">
        <f>--10921.53</f>
        <v>10921.53</v>
      </c>
      <c r="I17" s="2"/>
      <c r="J17" s="19"/>
      <c r="K17" s="2"/>
      <c r="L17" s="2">
        <f t="shared" si="0"/>
        <v>-10721.43</v>
      </c>
      <c r="M17" s="2"/>
      <c r="N17" s="19">
        <f t="shared" si="1"/>
        <v>-0.98167839121441769</v>
      </c>
      <c r="O17" s="11"/>
      <c r="P17" s="2">
        <f>--2659.66</f>
        <v>2659.66</v>
      </c>
      <c r="Q17" s="2"/>
      <c r="R17" s="19"/>
      <c r="S17" s="2"/>
      <c r="T17" s="2">
        <f>--41201.41</f>
        <v>41201.410000000003</v>
      </c>
      <c r="U17" s="2"/>
      <c r="V17" s="19"/>
      <c r="W17" s="2"/>
      <c r="X17" s="2">
        <f t="shared" si="2"/>
        <v>-38541.75</v>
      </c>
      <c r="Y17" s="2"/>
      <c r="Z17" s="19">
        <f t="shared" si="3"/>
        <v>-0.93544735483567176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--13.22</f>
        <v>13.22</v>
      </c>
      <c r="U18" s="2"/>
      <c r="V18" s="19"/>
      <c r="W18" s="2"/>
      <c r="X18" s="2">
        <f t="shared" si="2"/>
        <v>-13.22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--346.55</f>
        <v>346.55</v>
      </c>
      <c r="E19" s="2"/>
      <c r="F19" s="19"/>
      <c r="G19" s="2"/>
      <c r="H19" s="2">
        <f>--229.57</f>
        <v>229.57</v>
      </c>
      <c r="I19" s="2"/>
      <c r="J19" s="19"/>
      <c r="K19" s="2"/>
      <c r="L19" s="2">
        <f t="shared" si="0"/>
        <v>116.98000000000002</v>
      </c>
      <c r="M19" s="2"/>
      <c r="N19" s="19">
        <f t="shared" si="1"/>
        <v>0.50956135383543155</v>
      </c>
      <c r="O19" s="11"/>
      <c r="P19" s="2">
        <f>--930.52</f>
        <v>930.52</v>
      </c>
      <c r="Q19" s="2"/>
      <c r="R19" s="19"/>
      <c r="S19" s="2"/>
      <c r="T19" s="2">
        <f>--1509.89</f>
        <v>1509.89</v>
      </c>
      <c r="U19" s="2"/>
      <c r="V19" s="19"/>
      <c r="W19" s="2"/>
      <c r="X19" s="2">
        <f t="shared" si="2"/>
        <v>-579.37000000000012</v>
      </c>
      <c r="Y19" s="2"/>
      <c r="Z19" s="19">
        <f t="shared" si="3"/>
        <v>-0.38371669459364594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--3.98</f>
        <v>3.98</v>
      </c>
      <c r="E20" s="2"/>
      <c r="F20" s="19"/>
      <c r="G20" s="2"/>
      <c r="H20" s="2">
        <f>--107.48</f>
        <v>107.48</v>
      </c>
      <c r="I20" s="2"/>
      <c r="J20" s="19"/>
      <c r="K20" s="2"/>
      <c r="L20" s="2">
        <f t="shared" si="0"/>
        <v>-103.5</v>
      </c>
      <c r="M20" s="2"/>
      <c r="N20" s="19">
        <f t="shared" si="1"/>
        <v>-0.96296985485671749</v>
      </c>
      <c r="O20" s="11"/>
      <c r="P20" s="2">
        <f>--380.04</f>
        <v>380.04</v>
      </c>
      <c r="Q20" s="2"/>
      <c r="R20" s="19"/>
      <c r="S20" s="2"/>
      <c r="T20" s="2">
        <f>--1100.17</f>
        <v>1100.17</v>
      </c>
      <c r="U20" s="2"/>
      <c r="V20" s="19"/>
      <c r="W20" s="2"/>
      <c r="X20" s="2">
        <f t="shared" si="2"/>
        <v>-720.13000000000011</v>
      </c>
      <c r="Y20" s="2"/>
      <c r="Z20" s="19">
        <f t="shared" si="3"/>
        <v>-0.65456247670814516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--100.3</f>
        <v>100.3</v>
      </c>
      <c r="E21" s="2"/>
      <c r="F21" s="19"/>
      <c r="G21" s="2"/>
      <c r="H21" s="2">
        <f>--737.51</f>
        <v>737.51</v>
      </c>
      <c r="I21" s="2"/>
      <c r="J21" s="19"/>
      <c r="K21" s="2"/>
      <c r="L21" s="2">
        <f t="shared" si="0"/>
        <v>-637.21</v>
      </c>
      <c r="M21" s="2"/>
      <c r="N21" s="19">
        <f t="shared" si="1"/>
        <v>-0.86400184404279268</v>
      </c>
      <c r="O21" s="11"/>
      <c r="P21" s="2">
        <f>--291.14</f>
        <v>291.14</v>
      </c>
      <c r="Q21" s="2"/>
      <c r="R21" s="19"/>
      <c r="S21" s="2"/>
      <c r="T21" s="2">
        <f>--3627.9</f>
        <v>3627.9</v>
      </c>
      <c r="U21" s="2"/>
      <c r="V21" s="19"/>
      <c r="W21" s="2"/>
      <c r="X21" s="2">
        <f t="shared" si="2"/>
        <v>-3336.76</v>
      </c>
      <c r="Y21" s="2"/>
      <c r="Z21" s="19">
        <f t="shared" si="3"/>
        <v>-0.91974971746740541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--22084.7</f>
        <v>22084.7</v>
      </c>
      <c r="E22" s="2"/>
      <c r="F22" s="19"/>
      <c r="G22" s="2"/>
      <c r="H22" s="2">
        <f>--37117.66</f>
        <v>37117.660000000003</v>
      </c>
      <c r="I22" s="2"/>
      <c r="J22" s="19"/>
      <c r="K22" s="2"/>
      <c r="L22" s="2">
        <f t="shared" si="0"/>
        <v>-15032.960000000003</v>
      </c>
      <c r="M22" s="2"/>
      <c r="N22" s="19">
        <f t="shared" si="1"/>
        <v>-0.40500828985447901</v>
      </c>
      <c r="O22" s="11"/>
      <c r="P22" s="2">
        <f>--104225.63</f>
        <v>104225.63</v>
      </c>
      <c r="Q22" s="2"/>
      <c r="R22" s="19"/>
      <c r="S22" s="2"/>
      <c r="T22" s="2">
        <f>--132405.23</f>
        <v>132405.23000000001</v>
      </c>
      <c r="U22" s="2"/>
      <c r="V22" s="19"/>
      <c r="W22" s="2"/>
      <c r="X22" s="2">
        <f t="shared" si="2"/>
        <v>-28179.600000000006</v>
      </c>
      <c r="Y22" s="2"/>
      <c r="Z22" s="19">
        <f t="shared" si="3"/>
        <v>-0.21282845096073624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--9330.01</f>
        <v>9330.01</v>
      </c>
      <c r="E23" s="2"/>
      <c r="F23" s="19"/>
      <c r="G23" s="2"/>
      <c r="H23" s="2">
        <f>--28414.21</f>
        <v>28414.21</v>
      </c>
      <c r="I23" s="2"/>
      <c r="J23" s="19"/>
      <c r="K23" s="2"/>
      <c r="L23" s="2">
        <f t="shared" si="0"/>
        <v>-19084.199999999997</v>
      </c>
      <c r="M23" s="2"/>
      <c r="N23" s="19">
        <f t="shared" si="1"/>
        <v>-0.67164281533781856</v>
      </c>
      <c r="O23" s="11"/>
      <c r="P23" s="2">
        <f>--42961.32</f>
        <v>42961.32</v>
      </c>
      <c r="Q23" s="2"/>
      <c r="R23" s="19"/>
      <c r="S23" s="2"/>
      <c r="T23" s="2">
        <f>--66616.8</f>
        <v>66616.800000000003</v>
      </c>
      <c r="U23" s="2"/>
      <c r="V23" s="19"/>
      <c r="W23" s="2"/>
      <c r="X23" s="2">
        <f t="shared" si="2"/>
        <v>-23655.480000000003</v>
      </c>
      <c r="Y23" s="2"/>
      <c r="Z23" s="19">
        <f t="shared" si="3"/>
        <v>-0.35509781316424688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--853.98</f>
        <v>853.98</v>
      </c>
      <c r="E24" s="2"/>
      <c r="F24" s="19"/>
      <c r="G24" s="2"/>
      <c r="H24" s="2">
        <f>--334.99</f>
        <v>334.99</v>
      </c>
      <c r="I24" s="2"/>
      <c r="J24" s="19"/>
      <c r="K24" s="2"/>
      <c r="L24" s="2">
        <f t="shared" si="0"/>
        <v>518.99</v>
      </c>
      <c r="M24" s="2"/>
      <c r="N24" s="19">
        <f t="shared" si="1"/>
        <v>1.5492701274664915</v>
      </c>
      <c r="O24" s="11"/>
      <c r="P24" s="2">
        <f>--1138.95</f>
        <v>1138.95</v>
      </c>
      <c r="Q24" s="2"/>
      <c r="R24" s="19"/>
      <c r="S24" s="2"/>
      <c r="T24" s="2">
        <f>--664.97</f>
        <v>664.97</v>
      </c>
      <c r="U24" s="2"/>
      <c r="V24" s="19"/>
      <c r="W24" s="2"/>
      <c r="X24" s="2">
        <f t="shared" si="2"/>
        <v>473.98</v>
      </c>
      <c r="Y24" s="2"/>
      <c r="Z24" s="19">
        <f t="shared" si="3"/>
        <v>0.71278403537001667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--161977.12</f>
        <v>161977.12</v>
      </c>
      <c r="E25" s="2"/>
      <c r="F25" s="19"/>
      <c r="G25" s="2"/>
      <c r="H25" s="2">
        <f>--169179.13</f>
        <v>169179.13</v>
      </c>
      <c r="I25" s="2"/>
      <c r="J25" s="19"/>
      <c r="K25" s="2"/>
      <c r="L25" s="2">
        <f t="shared" si="0"/>
        <v>-7202.0100000000093</v>
      </c>
      <c r="M25" s="2"/>
      <c r="N25" s="19">
        <f t="shared" si="1"/>
        <v>-4.2570321764865499E-2</v>
      </c>
      <c r="O25" s="11"/>
      <c r="P25" s="2">
        <f>--458168.13</f>
        <v>458168.13</v>
      </c>
      <c r="Q25" s="2"/>
      <c r="R25" s="19"/>
      <c r="S25" s="2"/>
      <c r="T25" s="2">
        <f>--502067.96</f>
        <v>502067.96</v>
      </c>
      <c r="U25" s="2"/>
      <c r="V25" s="19"/>
      <c r="W25" s="2"/>
      <c r="X25" s="2">
        <f t="shared" si="2"/>
        <v>-43899.830000000016</v>
      </c>
      <c r="Y25" s="2"/>
      <c r="Z25" s="19">
        <f t="shared" si="3"/>
        <v>-8.743802333054676E-2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0</f>
        <v>0</v>
      </c>
      <c r="E26" s="2"/>
      <c r="F26" s="19"/>
      <c r="G26" s="2"/>
      <c r="H26" s="2">
        <f>--4684.53</f>
        <v>4684.53</v>
      </c>
      <c r="I26" s="2"/>
      <c r="J26" s="19"/>
      <c r="K26" s="2"/>
      <c r="L26" s="2">
        <f t="shared" si="0"/>
        <v>-4684.53</v>
      </c>
      <c r="M26" s="2"/>
      <c r="N26" s="19">
        <f t="shared" si="1"/>
        <v>-1</v>
      </c>
      <c r="O26" s="11"/>
      <c r="P26" s="2">
        <f>0</f>
        <v>0</v>
      </c>
      <c r="Q26" s="2"/>
      <c r="R26" s="19"/>
      <c r="S26" s="2"/>
      <c r="T26" s="2">
        <f>--12708.5</f>
        <v>12708.5</v>
      </c>
      <c r="U26" s="2"/>
      <c r="V26" s="19"/>
      <c r="W26" s="2"/>
      <c r="X26" s="2">
        <f t="shared" si="2"/>
        <v>-12708.5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--4661.75</f>
        <v>4661.75</v>
      </c>
      <c r="E27" s="2"/>
      <c r="F27" s="19"/>
      <c r="G27" s="2"/>
      <c r="H27" s="2">
        <f t="shared" ref="H27:H28" si="4">0</f>
        <v>0</v>
      </c>
      <c r="I27" s="2"/>
      <c r="J27" s="19"/>
      <c r="K27" s="2"/>
      <c r="L27" s="2">
        <f t="shared" si="0"/>
        <v>4661.75</v>
      </c>
      <c r="M27" s="2"/>
      <c r="N27" s="19">
        <f t="shared" si="1"/>
        <v>0</v>
      </c>
      <c r="O27" s="11"/>
      <c r="P27" s="2">
        <f>--6989.25</f>
        <v>6989.25</v>
      </c>
      <c r="Q27" s="2"/>
      <c r="R27" s="19"/>
      <c r="S27" s="2"/>
      <c r="T27" s="2">
        <f>--1146.72</f>
        <v>1146.72</v>
      </c>
      <c r="U27" s="2"/>
      <c r="V27" s="19"/>
      <c r="W27" s="2"/>
      <c r="X27" s="2">
        <f t="shared" si="2"/>
        <v>5842.53</v>
      </c>
      <c r="Y27" s="2"/>
      <c r="Z27" s="19">
        <f t="shared" si="3"/>
        <v>5.0949926747593128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--538.3</f>
        <v>538.29999999999995</v>
      </c>
      <c r="E28" s="2"/>
      <c r="F28" s="19"/>
      <c r="G28" s="2"/>
      <c r="H28" s="2">
        <f t="shared" si="4"/>
        <v>0</v>
      </c>
      <c r="I28" s="2"/>
      <c r="J28" s="19"/>
      <c r="K28" s="2"/>
      <c r="L28" s="2">
        <f t="shared" si="0"/>
        <v>538.29999999999995</v>
      </c>
      <c r="M28" s="2"/>
      <c r="N28" s="19">
        <f t="shared" si="1"/>
        <v>0</v>
      </c>
      <c r="O28" s="11"/>
      <c r="P28" s="2">
        <f>--771.73</f>
        <v>771.73</v>
      </c>
      <c r="Q28" s="2"/>
      <c r="R28" s="19"/>
      <c r="S28" s="2"/>
      <c r="T28" s="2">
        <f>--41.91</f>
        <v>41.91</v>
      </c>
      <c r="U28" s="2"/>
      <c r="V28" s="19"/>
      <c r="W28" s="2"/>
      <c r="X28" s="2">
        <f t="shared" si="2"/>
        <v>729.82</v>
      </c>
      <c r="Y28" s="2"/>
      <c r="Z28" s="19">
        <f t="shared" si="3"/>
        <v>17.413982343116203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-12741.9</f>
        <v>-12741.9</v>
      </c>
      <c r="E29" s="2"/>
      <c r="F29" s="19"/>
      <c r="G29" s="2"/>
      <c r="H29" s="2">
        <f>-37895.48</f>
        <v>-37895.480000000003</v>
      </c>
      <c r="I29" s="2"/>
      <c r="J29" s="19"/>
      <c r="K29" s="2"/>
      <c r="L29" s="2">
        <f t="shared" si="0"/>
        <v>25153.58</v>
      </c>
      <c r="M29" s="2"/>
      <c r="N29" s="19">
        <f t="shared" si="1"/>
        <v>-0.66376201066723528</v>
      </c>
      <c r="O29" s="11"/>
      <c r="P29" s="2">
        <f>-48517.74</f>
        <v>-48517.74</v>
      </c>
      <c r="Q29" s="2"/>
      <c r="R29" s="19"/>
      <c r="S29" s="2"/>
      <c r="T29" s="2">
        <f>-116625.85</f>
        <v>-116625.85</v>
      </c>
      <c r="U29" s="2"/>
      <c r="V29" s="19"/>
      <c r="W29" s="2"/>
      <c r="X29" s="2">
        <f t="shared" si="2"/>
        <v>68108.110000000015</v>
      </c>
      <c r="Y29" s="2"/>
      <c r="Z29" s="19">
        <f t="shared" si="3"/>
        <v>-0.58398811241247128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-4670.3</f>
        <v>-4670.3</v>
      </c>
      <c r="E30" s="2"/>
      <c r="F30" s="19"/>
      <c r="G30" s="2"/>
      <c r="H30" s="2">
        <f>-16170.8</f>
        <v>-16170.8</v>
      </c>
      <c r="I30" s="2"/>
      <c r="J30" s="19"/>
      <c r="K30" s="2"/>
      <c r="L30" s="2">
        <f t="shared" si="0"/>
        <v>11500.5</v>
      </c>
      <c r="M30" s="2"/>
      <c r="N30" s="19">
        <f t="shared" si="1"/>
        <v>-0.71118930417790094</v>
      </c>
      <c r="O30" s="11"/>
      <c r="P30" s="2">
        <f>-18536.3</f>
        <v>-18536.3</v>
      </c>
      <c r="Q30" s="2"/>
      <c r="R30" s="19"/>
      <c r="S30" s="2"/>
      <c r="T30" s="2">
        <f>-43379.15</f>
        <v>-43379.15</v>
      </c>
      <c r="U30" s="2"/>
      <c r="V30" s="19"/>
      <c r="W30" s="2"/>
      <c r="X30" s="2">
        <f t="shared" si="2"/>
        <v>24842.850000000002</v>
      </c>
      <c r="Y30" s="2"/>
      <c r="Z30" s="19">
        <f t="shared" si="3"/>
        <v>-0.57269102783249559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 t="shared" ref="D31:D35" si="5"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-144.99</f>
        <v>-144.99</v>
      </c>
      <c r="U31" s="2"/>
      <c r="V31" s="19"/>
      <c r="W31" s="2"/>
      <c r="X31" s="2">
        <f t="shared" si="2"/>
        <v>144.99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 t="shared" si="5"/>
        <v>0</v>
      </c>
      <c r="E32" s="2"/>
      <c r="F32" s="19"/>
      <c r="G32" s="2"/>
      <c r="H32" s="2">
        <f>-4891.98</f>
        <v>-4891.9799999999996</v>
      </c>
      <c r="I32" s="2"/>
      <c r="J32" s="19"/>
      <c r="K32" s="2"/>
      <c r="L32" s="2">
        <f t="shared" si="0"/>
        <v>4891.9799999999996</v>
      </c>
      <c r="M32" s="2"/>
      <c r="N32" s="19">
        <f t="shared" si="1"/>
        <v>-1</v>
      </c>
      <c r="O32" s="11"/>
      <c r="P32" s="2">
        <f>-1630.85</f>
        <v>-1630.85</v>
      </c>
      <c r="Q32" s="2"/>
      <c r="R32" s="19"/>
      <c r="S32" s="2"/>
      <c r="T32" s="2">
        <f>-16261.44</f>
        <v>-16261.44</v>
      </c>
      <c r="U32" s="2"/>
      <c r="V32" s="19"/>
      <c r="W32" s="2"/>
      <c r="X32" s="2">
        <f t="shared" si="2"/>
        <v>14630.59</v>
      </c>
      <c r="Y32" s="2"/>
      <c r="Z32" s="19">
        <f t="shared" si="3"/>
        <v>-0.89971060373497058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 t="shared" si="5"/>
        <v>0</v>
      </c>
      <c r="E33" s="2"/>
      <c r="F33" s="19"/>
      <c r="G33" s="2"/>
      <c r="H33" s="2">
        <f>-13.95</f>
        <v>-13.95</v>
      </c>
      <c r="I33" s="2"/>
      <c r="J33" s="19"/>
      <c r="K33" s="2"/>
      <c r="L33" s="2">
        <f t="shared" si="0"/>
        <v>13.95</v>
      </c>
      <c r="M33" s="2"/>
      <c r="N33" s="19">
        <f t="shared" si="1"/>
        <v>-1</v>
      </c>
      <c r="O33" s="11"/>
      <c r="P33" s="2">
        <f t="shared" ref="P33:P35" si="6">0</f>
        <v>0</v>
      </c>
      <c r="Q33" s="2"/>
      <c r="R33" s="19"/>
      <c r="S33" s="2"/>
      <c r="T33" s="2">
        <f>-116.66</f>
        <v>-116.66</v>
      </c>
      <c r="U33" s="2"/>
      <c r="V33" s="19"/>
      <c r="W33" s="2"/>
      <c r="X33" s="2">
        <f t="shared" si="2"/>
        <v>116.66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 t="shared" si="5"/>
        <v>0</v>
      </c>
      <c r="E34" s="2"/>
      <c r="F34" s="19"/>
      <c r="G34" s="2"/>
      <c r="H34" s="2">
        <f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 t="shared" si="6"/>
        <v>0</v>
      </c>
      <c r="Q34" s="2"/>
      <c r="R34" s="19"/>
      <c r="S34" s="2"/>
      <c r="T34" s="2">
        <f>-11.94</f>
        <v>-11.94</v>
      </c>
      <c r="U34" s="2"/>
      <c r="V34" s="19"/>
      <c r="W34" s="2"/>
      <c r="X34" s="2">
        <f t="shared" si="2"/>
        <v>11.94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si="5"/>
        <v>0</v>
      </c>
      <c r="E35" s="2"/>
      <c r="F35" s="19"/>
      <c r="G35" s="2"/>
      <c r="H35" s="2">
        <f>-6.5</f>
        <v>-6.5</v>
      </c>
      <c r="I35" s="2"/>
      <c r="J35" s="19"/>
      <c r="K35" s="2"/>
      <c r="L35" s="2">
        <f t="shared" si="0"/>
        <v>6.5</v>
      </c>
      <c r="M35" s="2"/>
      <c r="N35" s="19">
        <f t="shared" si="1"/>
        <v>-1</v>
      </c>
      <c r="O35" s="11"/>
      <c r="P35" s="2">
        <f t="shared" si="6"/>
        <v>0</v>
      </c>
      <c r="Q35" s="2"/>
      <c r="R35" s="19"/>
      <c r="S35" s="2"/>
      <c r="T35" s="2">
        <f>-39.25</f>
        <v>-39.25</v>
      </c>
      <c r="U35" s="2"/>
      <c r="V35" s="19"/>
      <c r="W35" s="2"/>
      <c r="X35" s="2">
        <f t="shared" si="2"/>
        <v>39.25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>-256.69</f>
        <v>-256.69</v>
      </c>
      <c r="E36" s="2"/>
      <c r="F36" s="19"/>
      <c r="G36" s="2"/>
      <c r="H36" s="2">
        <f>-2910.64</f>
        <v>-2910.64</v>
      </c>
      <c r="I36" s="2"/>
      <c r="J36" s="19"/>
      <c r="K36" s="2"/>
      <c r="L36" s="2">
        <f t="shared" si="0"/>
        <v>2653.95</v>
      </c>
      <c r="M36" s="2"/>
      <c r="N36" s="19">
        <f t="shared" si="1"/>
        <v>-0.91180977379545392</v>
      </c>
      <c r="O36" s="11"/>
      <c r="P36" s="2">
        <f>-3005.79</f>
        <v>-3005.79</v>
      </c>
      <c r="Q36" s="2"/>
      <c r="R36" s="19"/>
      <c r="S36" s="2"/>
      <c r="T36" s="2">
        <f>-15221.62</f>
        <v>-15221.62</v>
      </c>
      <c r="U36" s="2"/>
      <c r="V36" s="19"/>
      <c r="W36" s="2"/>
      <c r="X36" s="2">
        <f t="shared" si="2"/>
        <v>12215.830000000002</v>
      </c>
      <c r="Y36" s="2"/>
      <c r="Z36" s="19">
        <f t="shared" si="3"/>
        <v>-0.80253153080946715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>-532.96</f>
        <v>-532.96</v>
      </c>
      <c r="E37" s="2"/>
      <c r="F37" s="19"/>
      <c r="G37" s="2"/>
      <c r="H37" s="2">
        <f>-614.47</f>
        <v>-614.47</v>
      </c>
      <c r="I37" s="2"/>
      <c r="J37" s="19"/>
      <c r="K37" s="2"/>
      <c r="L37" s="2">
        <f t="shared" si="0"/>
        <v>81.509999999999991</v>
      </c>
      <c r="M37" s="2"/>
      <c r="N37" s="19">
        <f t="shared" si="1"/>
        <v>-0.13265090240369748</v>
      </c>
      <c r="O37" s="11"/>
      <c r="P37" s="2">
        <f>-2003.16</f>
        <v>-2003.16</v>
      </c>
      <c r="Q37" s="2"/>
      <c r="R37" s="19"/>
      <c r="S37" s="2"/>
      <c r="T37" s="2">
        <f>-1312.37</f>
        <v>-1312.37</v>
      </c>
      <c r="U37" s="2"/>
      <c r="V37" s="19"/>
      <c r="W37" s="2"/>
      <c r="X37" s="2">
        <f t="shared" si="2"/>
        <v>-690.79000000000019</v>
      </c>
      <c r="Y37" s="2"/>
      <c r="Z37" s="19">
        <f t="shared" si="3"/>
        <v>0.52636832600562355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>0</f>
        <v>0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0</f>
        <v>0</v>
      </c>
      <c r="Q38" s="2"/>
      <c r="R38" s="19"/>
      <c r="S38" s="2"/>
      <c r="T38" s="2">
        <f>-184.99</f>
        <v>-184.99</v>
      </c>
      <c r="U38" s="2"/>
      <c r="V38" s="19"/>
      <c r="W38" s="2"/>
      <c r="X38" s="2">
        <f t="shared" si="2"/>
        <v>184.99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-10673</f>
        <v>-10673</v>
      </c>
      <c r="E39" s="2"/>
      <c r="F39" s="19"/>
      <c r="G39" s="2"/>
      <c r="H39" s="2">
        <f>-4312.43</f>
        <v>-4312.43</v>
      </c>
      <c r="I39" s="2"/>
      <c r="J39" s="19"/>
      <c r="K39" s="2"/>
      <c r="L39" s="2">
        <f t="shared" si="0"/>
        <v>-6360.57</v>
      </c>
      <c r="M39" s="2"/>
      <c r="N39" s="19">
        <f t="shared" si="1"/>
        <v>1.4749387236430502</v>
      </c>
      <c r="O39" s="11"/>
      <c r="P39" s="2">
        <f>-25095.77</f>
        <v>-25095.77</v>
      </c>
      <c r="Q39" s="2"/>
      <c r="R39" s="19"/>
      <c r="S39" s="2"/>
      <c r="T39" s="2">
        <f>-17742.75</f>
        <v>-17742.75</v>
      </c>
      <c r="U39" s="2"/>
      <c r="V39" s="19"/>
      <c r="W39" s="2"/>
      <c r="X39" s="2">
        <f t="shared" si="2"/>
        <v>-7353.02</v>
      </c>
      <c r="Y39" s="2"/>
      <c r="Z39" s="19">
        <f t="shared" si="3"/>
        <v>0.41442391962914432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0</f>
        <v>0</v>
      </c>
      <c r="E40" s="2"/>
      <c r="F40" s="19"/>
      <c r="G40" s="2"/>
      <c r="H40" s="2">
        <f>-237.35</f>
        <v>-237.35</v>
      </c>
      <c r="I40" s="2"/>
      <c r="J40" s="19"/>
      <c r="K40" s="2"/>
      <c r="L40" s="2">
        <f t="shared" si="0"/>
        <v>237.35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-625.31</f>
        <v>-625.30999999999995</v>
      </c>
      <c r="U40" s="2"/>
      <c r="V40" s="19"/>
      <c r="W40" s="2"/>
      <c r="X40" s="2">
        <f t="shared" si="2"/>
        <v>625.30999999999995</v>
      </c>
      <c r="Y40" s="2"/>
      <c r="Z40" s="19">
        <f t="shared" si="3"/>
        <v>-1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9" t="s">
        <v>8</v>
      </c>
      <c r="C42" s="10"/>
      <c r="D42" s="4">
        <f>SUM(OSRRefD16x_0)</f>
        <v>499754.00000000006</v>
      </c>
      <c r="E42" s="4"/>
      <c r="F42" s="12">
        <f t="shared" ref="F42:F58" si="7">IF(D$12=0,0,D42/D$12)</f>
        <v>0.70598541439451135</v>
      </c>
      <c r="G42" s="4"/>
      <c r="H42" s="4">
        <f>SUM(OSRRefH16x_0)</f>
        <v>571532.92000000016</v>
      </c>
      <c r="I42" s="4"/>
      <c r="J42" s="12">
        <f t="shared" ref="J42:J58" si="8">IF(H$12=0,0,H42/H$12)</f>
        <v>0.52294689174017051</v>
      </c>
      <c r="K42" s="4"/>
      <c r="L42" s="4">
        <f t="shared" ref="L42:L58" si="9">+D42-H42</f>
        <v>-71778.9200000001</v>
      </c>
      <c r="M42" s="4"/>
      <c r="N42" s="12">
        <f t="shared" ref="N42:N58" si="10">IF(H42=0,0,L42/H42)</f>
        <v>-0.12559017597796479</v>
      </c>
      <c r="O42" s="10"/>
      <c r="P42" s="4">
        <f>SUM(OSRRefP16x_0)</f>
        <v>1279451.0000000002</v>
      </c>
      <c r="Q42" s="4"/>
      <c r="R42" s="12">
        <f t="shared" ref="R42:R58" si="11">IF(P$12=0,0,P42/P$12)</f>
        <v>0.70937335427880677</v>
      </c>
      <c r="S42" s="4"/>
      <c r="T42" s="4">
        <f>SUM(OSRRefT16x_0)</f>
        <v>2056937.1099999999</v>
      </c>
      <c r="U42" s="4"/>
      <c r="V42" s="12">
        <f t="shared" ref="V42:V58" si="12">IF(T$12=0,0,T42/T$12)</f>
        <v>0.65712897381346269</v>
      </c>
      <c r="W42" s="4"/>
      <c r="X42" s="4">
        <f t="shared" ref="X42:X58" si="13">+P42-T42</f>
        <v>-777486.10999999964</v>
      </c>
      <c r="Y42" s="4"/>
      <c r="Z42" s="12">
        <f t="shared" ref="Z42:Z58" si="14">IF(T42=0,0,X42/T42)</f>
        <v>-0.37798244108688361</v>
      </c>
    </row>
    <row r="43" spans="1:26" s="24" customFormat="1" hidden="1" outlineLevel="1" x14ac:dyDescent="0.25">
      <c r="A43" s="44"/>
      <c r="B43" s="11" t="str">
        <f>CONCATENATE("          ", "5001", " - ", "PURCHASES @ COST-NEW TEXT")</f>
        <v xml:space="preserve">          5001 - PURCHASES @ COST-NEW TEXT</v>
      </c>
      <c r="C43" s="11"/>
      <c r="D43" s="2">
        <v>292656.37</v>
      </c>
      <c r="E43" s="2"/>
      <c r="F43" s="19">
        <f t="shared" si="7"/>
        <v>0.4134256627253477</v>
      </c>
      <c r="G43" s="2"/>
      <c r="H43" s="2">
        <v>739345.02</v>
      </c>
      <c r="I43" s="2"/>
      <c r="J43" s="19">
        <f t="shared" si="8"/>
        <v>0.67649328079399895</v>
      </c>
      <c r="K43" s="2"/>
      <c r="L43" s="2">
        <f t="shared" si="9"/>
        <v>-446688.65</v>
      </c>
      <c r="M43" s="2"/>
      <c r="N43" s="19">
        <f t="shared" si="10"/>
        <v>-0.60416806486368169</v>
      </c>
      <c r="O43" s="11"/>
      <c r="P43" s="2">
        <v>1366198.05</v>
      </c>
      <c r="Q43" s="2"/>
      <c r="R43" s="19">
        <f t="shared" si="11"/>
        <v>0.75746901861631655</v>
      </c>
      <c r="S43" s="2"/>
      <c r="T43" s="2">
        <v>2174334.31</v>
      </c>
      <c r="U43" s="2"/>
      <c r="V43" s="19">
        <f t="shared" si="12"/>
        <v>0.69463381593504514</v>
      </c>
      <c r="W43" s="2"/>
      <c r="X43" s="2">
        <f t="shared" si="13"/>
        <v>-808136.26</v>
      </c>
      <c r="Y43" s="2"/>
      <c r="Z43" s="19">
        <f t="shared" si="14"/>
        <v>-0.37167065629387969</v>
      </c>
    </row>
    <row r="44" spans="1:26" s="24" customFormat="1" hidden="1" outlineLevel="1" x14ac:dyDescent="0.25">
      <c r="A44" s="44"/>
      <c r="B44" s="11" t="str">
        <f>CONCATENATE("          ", "5002", " - ", "PURCHASES @ COST-USED TEXT")</f>
        <v xml:space="preserve">          5002 - PURCHASES @ COST-USED TEXT</v>
      </c>
      <c r="C44" s="11"/>
      <c r="D44" s="2">
        <v>-2814.66</v>
      </c>
      <c r="E44" s="2"/>
      <c r="F44" s="19">
        <f t="shared" si="7"/>
        <v>-3.9761740906118911E-3</v>
      </c>
      <c r="G44" s="2"/>
      <c r="H44" s="2">
        <v>-21642.639999999999</v>
      </c>
      <c r="I44" s="2"/>
      <c r="J44" s="19">
        <f t="shared" si="8"/>
        <v>-1.9802798615784864E-2</v>
      </c>
      <c r="K44" s="2"/>
      <c r="L44" s="2">
        <f t="shared" si="9"/>
        <v>18827.98</v>
      </c>
      <c r="M44" s="2"/>
      <c r="N44" s="19">
        <f t="shared" si="10"/>
        <v>-0.86994839816214653</v>
      </c>
      <c r="O44" s="11"/>
      <c r="P44" s="2">
        <v>23022.47</v>
      </c>
      <c r="Q44" s="2"/>
      <c r="R44" s="19">
        <f t="shared" si="11"/>
        <v>1.2764480052525028E-2</v>
      </c>
      <c r="S44" s="2"/>
      <c r="T44" s="2">
        <v>-136150.99</v>
      </c>
      <c r="U44" s="2"/>
      <c r="V44" s="19">
        <f t="shared" si="12"/>
        <v>-4.3496108805381524E-2</v>
      </c>
      <c r="W44" s="2"/>
      <c r="X44" s="2">
        <f t="shared" si="13"/>
        <v>159173.46</v>
      </c>
      <c r="Y44" s="2"/>
      <c r="Z44" s="19">
        <f t="shared" si="14"/>
        <v>-1.1690951347470921</v>
      </c>
    </row>
    <row r="45" spans="1:26" s="24" customFormat="1" hidden="1" outlineLevel="1" x14ac:dyDescent="0.25">
      <c r="A45" s="44"/>
      <c r="B45" s="11" t="str">
        <f>CONCATENATE("          ", "5003", " - ", "PURCHASES @ COST-RENTAL TEXT")</f>
        <v xml:space="preserve">          5003 - PURCHASES @ COST-RENTAL TEXT</v>
      </c>
      <c r="C45" s="11"/>
      <c r="D45" s="2"/>
      <c r="E45" s="2"/>
      <c r="F45" s="19">
        <f t="shared" si="7"/>
        <v>0</v>
      </c>
      <c r="G45" s="2"/>
      <c r="H45" s="2"/>
      <c r="I45" s="2"/>
      <c r="J45" s="19">
        <f t="shared" si="8"/>
        <v>0</v>
      </c>
      <c r="K45" s="2"/>
      <c r="L45" s="2">
        <f t="shared" si="9"/>
        <v>0</v>
      </c>
      <c r="M45" s="2"/>
      <c r="N45" s="19">
        <f t="shared" si="10"/>
        <v>0</v>
      </c>
      <c r="O45" s="11"/>
      <c r="P45" s="2">
        <v>32.520000000000003</v>
      </c>
      <c r="Q45" s="2"/>
      <c r="R45" s="19">
        <f t="shared" si="11"/>
        <v>1.803025006908963E-5</v>
      </c>
      <c r="S45" s="2"/>
      <c r="T45" s="2">
        <v>-78.400000000000006</v>
      </c>
      <c r="U45" s="2"/>
      <c r="V45" s="19">
        <f t="shared" si="12"/>
        <v>-2.5046420377420039E-5</v>
      </c>
      <c r="W45" s="2"/>
      <c r="X45" s="2">
        <f t="shared" si="13"/>
        <v>110.92000000000002</v>
      </c>
      <c r="Y45" s="2"/>
      <c r="Z45" s="19">
        <f t="shared" si="14"/>
        <v>-1.4147959183673471</v>
      </c>
    </row>
    <row r="46" spans="1:26" s="24" customFormat="1" hidden="1" outlineLevel="1" x14ac:dyDescent="0.25">
      <c r="A46" s="44"/>
      <c r="B46" s="11" t="str">
        <f>CONCATENATE("          ", "5004", " - ", "PURCHASES @ COST-DIGITAL TEXT")</f>
        <v xml:space="preserve">          5004 - PURCHASES @ COST-DIGITAL TEXT</v>
      </c>
      <c r="C46" s="11"/>
      <c r="D46" s="2">
        <v>18888.449999999997</v>
      </c>
      <c r="E46" s="2"/>
      <c r="F46" s="19">
        <f t="shared" si="7"/>
        <v>2.6683068470727607E-2</v>
      </c>
      <c r="G46" s="2"/>
      <c r="H46" s="2">
        <v>119541.49999999999</v>
      </c>
      <c r="I46" s="2"/>
      <c r="J46" s="19">
        <f t="shared" si="8"/>
        <v>0.10937927400394989</v>
      </c>
      <c r="K46" s="2"/>
      <c r="L46" s="2">
        <f t="shared" si="9"/>
        <v>-100653.04999999999</v>
      </c>
      <c r="M46" s="2"/>
      <c r="N46" s="19">
        <f t="shared" si="10"/>
        <v>-0.84199252979090944</v>
      </c>
      <c r="O46" s="11"/>
      <c r="P46" s="2">
        <v>216726.56</v>
      </c>
      <c r="Q46" s="2"/>
      <c r="R46" s="19">
        <f t="shared" si="11"/>
        <v>0.12016094936696055</v>
      </c>
      <c r="S46" s="2"/>
      <c r="T46" s="2">
        <v>473893.77</v>
      </c>
      <c r="U46" s="2"/>
      <c r="V46" s="19">
        <f t="shared" si="12"/>
        <v>0.15139467573546433</v>
      </c>
      <c r="W46" s="2"/>
      <c r="X46" s="2">
        <f t="shared" si="13"/>
        <v>-257167.21000000002</v>
      </c>
      <c r="Y46" s="2"/>
      <c r="Z46" s="19">
        <f t="shared" si="14"/>
        <v>-0.5426684761017222</v>
      </c>
    </row>
    <row r="47" spans="1:26" s="24" customFormat="1" hidden="1" outlineLevel="1" x14ac:dyDescent="0.25">
      <c r="A47" s="44"/>
      <c r="B47" s="11" t="str">
        <f>CONCATENATE("          ", "5011", " - ", "PURCHASES @ COST-NO VALUE TEXT")</f>
        <v xml:space="preserve">          5011 - PURCHASES @ COST-NO VALUE TEXT</v>
      </c>
      <c r="C47" s="11"/>
      <c r="D47" s="2"/>
      <c r="E47" s="2"/>
      <c r="F47" s="19">
        <f t="shared" si="7"/>
        <v>0</v>
      </c>
      <c r="G47" s="2"/>
      <c r="H47" s="2">
        <v>573</v>
      </c>
      <c r="I47" s="2"/>
      <c r="J47" s="19">
        <f t="shared" si="8"/>
        <v>5.2428925523155805E-4</v>
      </c>
      <c r="K47" s="2"/>
      <c r="L47" s="2">
        <f t="shared" si="9"/>
        <v>-573</v>
      </c>
      <c r="M47" s="2"/>
      <c r="N47" s="19">
        <f t="shared" si="10"/>
        <v>-1</v>
      </c>
      <c r="O47" s="11"/>
      <c r="P47" s="2">
        <v>67.17</v>
      </c>
      <c r="Q47" s="2"/>
      <c r="R47" s="19">
        <f t="shared" si="11"/>
        <v>3.724144825156059E-5</v>
      </c>
      <c r="S47" s="2"/>
      <c r="T47" s="2">
        <v>5475</v>
      </c>
      <c r="U47" s="2"/>
      <c r="V47" s="19">
        <f t="shared" si="12"/>
        <v>1.7490963209996773E-3</v>
      </c>
      <c r="W47" s="2"/>
      <c r="X47" s="2">
        <f t="shared" si="13"/>
        <v>-5407.83</v>
      </c>
      <c r="Y47" s="2"/>
      <c r="Z47" s="19">
        <f t="shared" si="14"/>
        <v>-0.9877315068493151</v>
      </c>
    </row>
    <row r="48" spans="1:26" s="24" customFormat="1" hidden="1" outlineLevel="1" x14ac:dyDescent="0.25">
      <c r="A48" s="44"/>
      <c r="B48" s="11" t="str">
        <f>CONCATENATE("          ", "5013", " - ", "PURCHASES @ COST-TRADE BOOKS")</f>
        <v xml:space="preserve">          5013 - PURCHASES @ COST-TRADE BOOKS</v>
      </c>
      <c r="C48" s="11"/>
      <c r="D48" s="2">
        <v>3531.13</v>
      </c>
      <c r="E48" s="2"/>
      <c r="F48" s="19">
        <f t="shared" si="7"/>
        <v>4.9883067996071883E-3</v>
      </c>
      <c r="G48" s="2"/>
      <c r="H48" s="2">
        <v>-276.85000000000002</v>
      </c>
      <c r="I48" s="2"/>
      <c r="J48" s="19">
        <f t="shared" si="8"/>
        <v>-2.5331497436449711E-4</v>
      </c>
      <c r="K48" s="2"/>
      <c r="L48" s="2">
        <f t="shared" si="9"/>
        <v>3807.98</v>
      </c>
      <c r="M48" s="2"/>
      <c r="N48" s="19">
        <f t="shared" si="10"/>
        <v>-13.754668593100956</v>
      </c>
      <c r="O48" s="11"/>
      <c r="P48" s="2">
        <v>5656.98</v>
      </c>
      <c r="Q48" s="2"/>
      <c r="R48" s="19">
        <f t="shared" si="11"/>
        <v>3.1364318584206222E-3</v>
      </c>
      <c r="S48" s="2"/>
      <c r="T48" s="2">
        <v>458.46</v>
      </c>
      <c r="U48" s="2"/>
      <c r="V48" s="19">
        <f t="shared" si="12"/>
        <v>1.464640546713264E-4</v>
      </c>
      <c r="W48" s="2"/>
      <c r="X48" s="2">
        <f t="shared" si="13"/>
        <v>5198.5199999999995</v>
      </c>
      <c r="Y48" s="2"/>
      <c r="Z48" s="19">
        <f t="shared" si="14"/>
        <v>11.339091741918596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/>
      <c r="E49" s="2"/>
      <c r="F49" s="19">
        <f t="shared" si="7"/>
        <v>0</v>
      </c>
      <c r="G49" s="2"/>
      <c r="H49" s="2">
        <v>69.599999999999994</v>
      </c>
      <c r="I49" s="2"/>
      <c r="J49" s="19">
        <f t="shared" si="8"/>
        <v>6.3683302206136885E-5</v>
      </c>
      <c r="K49" s="2"/>
      <c r="L49" s="2">
        <f t="shared" si="9"/>
        <v>-69.599999999999994</v>
      </c>
      <c r="M49" s="2"/>
      <c r="N49" s="19">
        <f t="shared" si="10"/>
        <v>-1</v>
      </c>
      <c r="O49" s="11"/>
      <c r="P49" s="2">
        <v>90.41</v>
      </c>
      <c r="Q49" s="2"/>
      <c r="R49" s="19">
        <f t="shared" si="11"/>
        <v>5.0126534709298683E-5</v>
      </c>
      <c r="S49" s="2"/>
      <c r="T49" s="2">
        <v>568.92999999999995</v>
      </c>
      <c r="U49" s="2"/>
      <c r="V49" s="19">
        <f t="shared" si="12"/>
        <v>1.8175586664956098E-4</v>
      </c>
      <c r="W49" s="2"/>
      <c r="X49" s="2">
        <f t="shared" si="13"/>
        <v>-478.52</v>
      </c>
      <c r="Y49" s="2"/>
      <c r="Z49" s="19">
        <f t="shared" si="14"/>
        <v>-0.84108765577487565</v>
      </c>
    </row>
    <row r="50" spans="1:26" s="24" customFormat="1" hidden="1" outlineLevel="1" x14ac:dyDescent="0.25">
      <c r="A50" s="44"/>
      <c r="B50" s="11" t="str">
        <f>CONCATENATE("          ", "5018", " - ", "PURCHASES @ COST-STUDY GUIDES")</f>
        <v xml:space="preserve">          5018 - PURCHASES @ COST-STUDY GUIDES</v>
      </c>
      <c r="C50" s="11"/>
      <c r="D50" s="2">
        <v>416</v>
      </c>
      <c r="E50" s="2"/>
      <c r="F50" s="19">
        <f t="shared" si="7"/>
        <v>5.8766899792321158E-4</v>
      </c>
      <c r="G50" s="2"/>
      <c r="H50" s="2">
        <v>1032.75</v>
      </c>
      <c r="I50" s="2"/>
      <c r="J50" s="19">
        <f t="shared" si="8"/>
        <v>9.4495589588200978E-4</v>
      </c>
      <c r="K50" s="2"/>
      <c r="L50" s="2">
        <f t="shared" si="9"/>
        <v>-616.75</v>
      </c>
      <c r="M50" s="2"/>
      <c r="N50" s="19">
        <f t="shared" si="10"/>
        <v>-0.59719196320503509</v>
      </c>
      <c r="O50" s="11"/>
      <c r="P50" s="2">
        <v>522.34</v>
      </c>
      <c r="Q50" s="2"/>
      <c r="R50" s="19">
        <f t="shared" si="11"/>
        <v>2.8960396128807739E-4</v>
      </c>
      <c r="S50" s="2"/>
      <c r="T50" s="2">
        <v>2031.15</v>
      </c>
      <c r="U50" s="2"/>
      <c r="V50" s="19">
        <f t="shared" si="12"/>
        <v>6.4889077486730503E-4</v>
      </c>
      <c r="W50" s="2"/>
      <c r="X50" s="2">
        <f t="shared" si="13"/>
        <v>-1508.81</v>
      </c>
      <c r="Y50" s="2"/>
      <c r="Z50" s="19">
        <f t="shared" si="14"/>
        <v>-0.74283533958594883</v>
      </c>
    </row>
    <row r="51" spans="1:26" s="24" customFormat="1" hidden="1" outlineLevel="1" x14ac:dyDescent="0.25">
      <c r="A51" s="44"/>
      <c r="B51" s="11" t="str">
        <f>CONCATENATE("          ", "5200", " - ", "PURCHASES OFFSET")</f>
        <v xml:space="preserve">          5200 - PURCHASES OFFSET</v>
      </c>
      <c r="C51" s="11"/>
      <c r="D51" s="2">
        <v>-321969.30000000005</v>
      </c>
      <c r="E51" s="2"/>
      <c r="F51" s="19">
        <f t="shared" si="7"/>
        <v>-0.45483503820441806</v>
      </c>
      <c r="G51" s="2"/>
      <c r="H51" s="2">
        <v>-846175</v>
      </c>
      <c r="I51" s="2"/>
      <c r="J51" s="19">
        <f t="shared" si="8"/>
        <v>-0.77424164144077423</v>
      </c>
      <c r="K51" s="2"/>
      <c r="L51" s="2">
        <f t="shared" si="9"/>
        <v>524205.69999999995</v>
      </c>
      <c r="M51" s="2"/>
      <c r="N51" s="19">
        <f t="shared" si="10"/>
        <v>-0.61950033976423313</v>
      </c>
      <c r="O51" s="11"/>
      <c r="P51" s="2">
        <v>-1672643.0999999999</v>
      </c>
      <c r="Q51" s="2"/>
      <c r="R51" s="19">
        <f t="shared" si="11"/>
        <v>-0.92737310483816993</v>
      </c>
      <c r="S51" s="2"/>
      <c r="T51" s="2">
        <v>-2574540</v>
      </c>
      <c r="U51" s="2"/>
      <c r="V51" s="19">
        <f t="shared" si="12"/>
        <v>-0.82248738671534416</v>
      </c>
      <c r="W51" s="2"/>
      <c r="X51" s="2">
        <f t="shared" si="13"/>
        <v>901896.90000000014</v>
      </c>
      <c r="Y51" s="2"/>
      <c r="Z51" s="19">
        <f t="shared" si="14"/>
        <v>-0.35031380363093995</v>
      </c>
    </row>
    <row r="52" spans="1:26" s="24" customFormat="1" hidden="1" outlineLevel="1" x14ac:dyDescent="0.25">
      <c r="A52" s="44"/>
      <c r="B52" s="11" t="str">
        <f>CONCATENATE("          ", "5300", " - ", "COG$ OFFSET")</f>
        <v xml:space="preserve">          5300 - COG$ OFFSET</v>
      </c>
      <c r="C52" s="11"/>
      <c r="D52" s="2">
        <v>499754.00000000006</v>
      </c>
      <c r="E52" s="2"/>
      <c r="F52" s="19">
        <f t="shared" si="7"/>
        <v>0.70598541439451135</v>
      </c>
      <c r="G52" s="2"/>
      <c r="H52" s="2">
        <v>571526</v>
      </c>
      <c r="I52" s="2"/>
      <c r="J52" s="19">
        <f t="shared" si="8"/>
        <v>0.5229405600095488</v>
      </c>
      <c r="K52" s="2"/>
      <c r="L52" s="2">
        <f t="shared" si="9"/>
        <v>-71771.999999999942</v>
      </c>
      <c r="M52" s="2"/>
      <c r="N52" s="19">
        <f t="shared" si="10"/>
        <v>-0.12557958868012994</v>
      </c>
      <c r="O52" s="11"/>
      <c r="P52" s="2">
        <v>1279451</v>
      </c>
      <c r="Q52" s="2"/>
      <c r="R52" s="19">
        <f t="shared" si="11"/>
        <v>0.70937335427880666</v>
      </c>
      <c r="S52" s="2"/>
      <c r="T52" s="2">
        <v>2056933.4699999997</v>
      </c>
      <c r="U52" s="2"/>
      <c r="V52" s="19">
        <f t="shared" si="12"/>
        <v>0.65712781094394512</v>
      </c>
      <c r="W52" s="2"/>
      <c r="X52" s="2">
        <f t="shared" si="13"/>
        <v>-777482.46999999974</v>
      </c>
      <c r="Y52" s="2"/>
      <c r="Z52" s="19">
        <f t="shared" si="14"/>
        <v>-0.37798134034933073</v>
      </c>
    </row>
    <row r="53" spans="1:26" s="24" customFormat="1" hidden="1" outlineLevel="1" x14ac:dyDescent="0.25">
      <c r="A53" s="44"/>
      <c r="B53" s="11" t="str">
        <f>CONCATENATE("          ", "5500", " - ", "FREIGHT-IN")</f>
        <v xml:space="preserve">          5500 - FREIGHT-IN</v>
      </c>
      <c r="C53" s="11"/>
      <c r="D53" s="2"/>
      <c r="E53" s="2"/>
      <c r="F53" s="19">
        <f t="shared" si="7"/>
        <v>0</v>
      </c>
      <c r="G53" s="2"/>
      <c r="H53" s="2">
        <v>7.3</v>
      </c>
      <c r="I53" s="2"/>
      <c r="J53" s="19">
        <f t="shared" si="8"/>
        <v>6.679426811850565E-6</v>
      </c>
      <c r="K53" s="2"/>
      <c r="L53" s="2">
        <f t="shared" si="9"/>
        <v>-7.3</v>
      </c>
      <c r="M53" s="2"/>
      <c r="N53" s="19">
        <f t="shared" si="10"/>
        <v>-1</v>
      </c>
      <c r="O53" s="11"/>
      <c r="P53" s="2"/>
      <c r="Q53" s="2"/>
      <c r="R53" s="19">
        <f t="shared" si="11"/>
        <v>0</v>
      </c>
      <c r="S53" s="2"/>
      <c r="T53" s="2">
        <v>7.3</v>
      </c>
      <c r="U53" s="2"/>
      <c r="V53" s="19">
        <f t="shared" si="12"/>
        <v>2.3321284279995696E-6</v>
      </c>
      <c r="W53" s="2"/>
      <c r="X53" s="2">
        <f t="shared" si="13"/>
        <v>-7.3</v>
      </c>
      <c r="Y53" s="2"/>
      <c r="Z53" s="19">
        <f t="shared" si="14"/>
        <v>-1</v>
      </c>
    </row>
    <row r="54" spans="1:26" s="24" customFormat="1" hidden="1" outlineLevel="1" x14ac:dyDescent="0.25">
      <c r="A54" s="44"/>
      <c r="B54" s="11" t="str">
        <f>CONCATENATE("          ", "5501", " - ", "FREIGHT-IN-NEW TEXT")</f>
        <v xml:space="preserve">          5501 - FREIGHT-IN-NEW TEXT</v>
      </c>
      <c r="C54" s="11"/>
      <c r="D54" s="2">
        <v>7155.21</v>
      </c>
      <c r="E54" s="2"/>
      <c r="F54" s="19">
        <f t="shared" si="7"/>
        <v>1.0107920890937844E-2</v>
      </c>
      <c r="G54" s="2"/>
      <c r="H54" s="2">
        <v>3407.43</v>
      </c>
      <c r="I54" s="2"/>
      <c r="J54" s="19">
        <f t="shared" si="8"/>
        <v>3.1177642878772562E-3</v>
      </c>
      <c r="K54" s="2"/>
      <c r="L54" s="2">
        <f t="shared" si="9"/>
        <v>3747.78</v>
      </c>
      <c r="M54" s="2"/>
      <c r="N54" s="19">
        <f t="shared" si="10"/>
        <v>1.0998846638082074</v>
      </c>
      <c r="O54" s="11"/>
      <c r="P54" s="2">
        <v>44618.79</v>
      </c>
      <c r="Q54" s="2"/>
      <c r="R54" s="19">
        <f t="shared" si="11"/>
        <v>2.4738251583031844E-2</v>
      </c>
      <c r="S54" s="2"/>
      <c r="T54" s="2">
        <v>42077.369999999995</v>
      </c>
      <c r="U54" s="2"/>
      <c r="V54" s="19">
        <f t="shared" si="12"/>
        <v>1.3442442568829623E-2</v>
      </c>
      <c r="W54" s="2"/>
      <c r="X54" s="2">
        <f t="shared" si="13"/>
        <v>2541.4200000000055</v>
      </c>
      <c r="Y54" s="2"/>
      <c r="Z54" s="19">
        <f t="shared" si="14"/>
        <v>6.0398736898242593E-2</v>
      </c>
    </row>
    <row r="55" spans="1:26" s="24" customFormat="1" hidden="1" outlineLevel="1" x14ac:dyDescent="0.25">
      <c r="A55" s="44"/>
      <c r="B55" s="11" t="str">
        <f>CONCATENATE("          ", "5502", " - ", "FREIGHT-IN-USED TEXT")</f>
        <v xml:space="preserve">          5502 - FREIGHT-IN-USED TEXT</v>
      </c>
      <c r="C55" s="11"/>
      <c r="D55" s="2">
        <v>2129.7399999999998</v>
      </c>
      <c r="E55" s="2"/>
      <c r="F55" s="19">
        <f t="shared" si="7"/>
        <v>3.0086109895119725E-3</v>
      </c>
      <c r="G55" s="2"/>
      <c r="H55" s="2">
        <v>4124.8100000000004</v>
      </c>
      <c r="I55" s="2"/>
      <c r="J55" s="19">
        <f t="shared" si="8"/>
        <v>3.7741597955875798E-3</v>
      </c>
      <c r="K55" s="2"/>
      <c r="L55" s="2">
        <f t="shared" si="9"/>
        <v>-1995.0700000000006</v>
      </c>
      <c r="M55" s="2"/>
      <c r="N55" s="19">
        <f t="shared" si="10"/>
        <v>-0.48367561172514623</v>
      </c>
      <c r="O55" s="11"/>
      <c r="P55" s="2">
        <v>15652.310000000001</v>
      </c>
      <c r="Q55" s="2"/>
      <c r="R55" s="19">
        <f t="shared" si="11"/>
        <v>8.6781999833613864E-3</v>
      </c>
      <c r="S55" s="2"/>
      <c r="T55" s="2">
        <v>11778.23</v>
      </c>
      <c r="U55" s="2"/>
      <c r="V55" s="19">
        <f t="shared" si="12"/>
        <v>3.7627869882900511E-3</v>
      </c>
      <c r="W55" s="2"/>
      <c r="X55" s="2">
        <f t="shared" si="13"/>
        <v>3874.0800000000017</v>
      </c>
      <c r="Y55" s="2"/>
      <c r="Z55" s="19">
        <f t="shared" si="14"/>
        <v>0.32891869151816544</v>
      </c>
    </row>
    <row r="56" spans="1:26" s="24" customFormat="1" hidden="1" outlineLevel="1" x14ac:dyDescent="0.25">
      <c r="A56" s="44"/>
      <c r="B56" s="11" t="str">
        <f>CONCATENATE("          ", "5504", " - ", "FREIGHT-IN-DIGITAL TEXT")</f>
        <v xml:space="preserve">          5504 - FREIGHT-IN-DIGITAL TEXT</v>
      </c>
      <c r="C56" s="11"/>
      <c r="D56" s="2"/>
      <c r="E56" s="2"/>
      <c r="F56" s="19">
        <f t="shared" si="7"/>
        <v>0</v>
      </c>
      <c r="G56" s="2"/>
      <c r="H56" s="2"/>
      <c r="I56" s="2"/>
      <c r="J56" s="19">
        <f t="shared" si="8"/>
        <v>0</v>
      </c>
      <c r="K56" s="2"/>
      <c r="L56" s="2">
        <f t="shared" si="9"/>
        <v>0</v>
      </c>
      <c r="M56" s="2"/>
      <c r="N56" s="19">
        <f t="shared" si="10"/>
        <v>0</v>
      </c>
      <c r="O56" s="11"/>
      <c r="P56" s="2">
        <v>21.98</v>
      </c>
      <c r="Q56" s="2"/>
      <c r="R56" s="19">
        <f t="shared" si="11"/>
        <v>1.2186497432920971E-5</v>
      </c>
      <c r="S56" s="2"/>
      <c r="T56" s="2">
        <v>105.97</v>
      </c>
      <c r="U56" s="2"/>
      <c r="V56" s="19">
        <f t="shared" si="12"/>
        <v>3.3854198563714304E-5</v>
      </c>
      <c r="W56" s="2"/>
      <c r="X56" s="2">
        <f t="shared" si="13"/>
        <v>-83.99</v>
      </c>
      <c r="Y56" s="2"/>
      <c r="Z56" s="19">
        <f t="shared" si="14"/>
        <v>-0.79258280645465695</v>
      </c>
    </row>
    <row r="57" spans="1:26" s="24" customFormat="1" hidden="1" outlineLevel="1" x14ac:dyDescent="0.25">
      <c r="A57" s="44"/>
      <c r="B57" s="11" t="str">
        <f>CONCATENATE("          ", "5513", " - ", "FREIGHT-IN-TRADE BOOKS")</f>
        <v xml:space="preserve">          5513 - FREIGHT-IN-TRADE BOOKS</v>
      </c>
      <c r="C57" s="11"/>
      <c r="D57" s="2">
        <v>7.06</v>
      </c>
      <c r="E57" s="2"/>
      <c r="F57" s="19">
        <f t="shared" si="7"/>
        <v>9.9734209743698884E-6</v>
      </c>
      <c r="G57" s="2"/>
      <c r="H57" s="2"/>
      <c r="I57" s="2"/>
      <c r="J57" s="19">
        <f t="shared" si="8"/>
        <v>0</v>
      </c>
      <c r="K57" s="2"/>
      <c r="L57" s="2">
        <f t="shared" si="9"/>
        <v>7.06</v>
      </c>
      <c r="M57" s="2"/>
      <c r="N57" s="19">
        <f t="shared" si="10"/>
        <v>0</v>
      </c>
      <c r="O57" s="11"/>
      <c r="P57" s="2">
        <v>33.520000000000003</v>
      </c>
      <c r="Q57" s="2"/>
      <c r="R57" s="19">
        <f t="shared" si="11"/>
        <v>1.8584685803071474E-5</v>
      </c>
      <c r="S57" s="2"/>
      <c r="T57" s="2">
        <v>21.41</v>
      </c>
      <c r="U57" s="2"/>
      <c r="V57" s="19">
        <f t="shared" si="12"/>
        <v>6.8398451566398343E-6</v>
      </c>
      <c r="W57" s="2"/>
      <c r="X57" s="2">
        <f t="shared" si="13"/>
        <v>12.110000000000003</v>
      </c>
      <c r="Y57" s="2"/>
      <c r="Z57" s="19">
        <f t="shared" si="14"/>
        <v>0.56562354040168161</v>
      </c>
    </row>
    <row r="58" spans="1:26" s="24" customFormat="1" hidden="1" outlineLevel="1" x14ac:dyDescent="0.25">
      <c r="A58" s="44"/>
      <c r="B58" s="11" t="str">
        <f>CONCATENATE("          ", "5518", " - ", "FREIGHT-IN-STUDY GUIDES")</f>
        <v xml:space="preserve">          5518 - FREIGHT-IN-STUDY GUIDES</v>
      </c>
      <c r="C58" s="11"/>
      <c r="D58" s="2"/>
      <c r="E58" s="2"/>
      <c r="F58" s="19">
        <f t="shared" si="7"/>
        <v>0</v>
      </c>
      <c r="G58" s="2"/>
      <c r="H58" s="2"/>
      <c r="I58" s="2"/>
      <c r="J58" s="19">
        <f t="shared" si="8"/>
        <v>0</v>
      </c>
      <c r="K58" s="2"/>
      <c r="L58" s="2">
        <f t="shared" si="9"/>
        <v>0</v>
      </c>
      <c r="M58" s="2"/>
      <c r="N58" s="19">
        <f t="shared" si="10"/>
        <v>0</v>
      </c>
      <c r="O58" s="11"/>
      <c r="P58" s="2"/>
      <c r="Q58" s="2"/>
      <c r="R58" s="19">
        <f t="shared" si="11"/>
        <v>0</v>
      </c>
      <c r="S58" s="2"/>
      <c r="T58" s="2">
        <v>21.13</v>
      </c>
      <c r="U58" s="2"/>
      <c r="V58" s="19">
        <f t="shared" si="12"/>
        <v>6.7503936552919055E-6</v>
      </c>
      <c r="W58" s="2"/>
      <c r="X58" s="2">
        <f t="shared" si="13"/>
        <v>-21.13</v>
      </c>
      <c r="Y58" s="2"/>
      <c r="Z58" s="19">
        <f t="shared" si="14"/>
        <v>-1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8" t="s">
        <v>6</v>
      </c>
      <c r="C60" s="28"/>
      <c r="D60" s="20">
        <f>D12-D42</f>
        <v>208127.48000000004</v>
      </c>
      <c r="E60" s="14"/>
      <c r="F60" s="22">
        <f>IF(D$12=0,0,D60/D$12)</f>
        <v>0.29401458560548865</v>
      </c>
      <c r="G60" s="14"/>
      <c r="H60" s="20">
        <f>H12-H42</f>
        <v>521375.23</v>
      </c>
      <c r="I60" s="14"/>
      <c r="J60" s="22">
        <f>IF(H$12=0,0,H60/H$12)</f>
        <v>0.47705310825982944</v>
      </c>
      <c r="K60" s="15"/>
      <c r="L60" s="20">
        <f>+D60-H60</f>
        <v>-313247.74999999994</v>
      </c>
      <c r="M60" s="15"/>
      <c r="N60" s="22">
        <f>IF(H60=0,0,L60/H60)</f>
        <v>-0.60081057168749641</v>
      </c>
      <c r="O60" s="29"/>
      <c r="P60" s="20">
        <f>P12-P42</f>
        <v>524184.54999999935</v>
      </c>
      <c r="Q60" s="14"/>
      <c r="R60" s="22">
        <f>IF(P$12=0,0,P60/P$12)</f>
        <v>0.29062664572119323</v>
      </c>
      <c r="S60" s="14"/>
      <c r="T60" s="20">
        <f>T12-T42</f>
        <v>1073250.71</v>
      </c>
      <c r="U60" s="14"/>
      <c r="V60" s="22">
        <f>IF(T$12=0,0,T60/T$12)</f>
        <v>0.34287102618653725</v>
      </c>
      <c r="W60" s="15"/>
      <c r="X60" s="20">
        <f>+P60-T60</f>
        <v>-549066.16000000061</v>
      </c>
      <c r="Y60" s="15"/>
      <c r="Z60" s="22">
        <f>IF(T60=0,0,X60/T60)</f>
        <v>-0.51159170442104873</v>
      </c>
    </row>
    <row r="61" spans="1:26" x14ac:dyDescent="0.25">
      <c r="A61" s="9"/>
      <c r="B61" s="10"/>
      <c r="C61" s="9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9" t="s">
        <v>9</v>
      </c>
      <c r="C62" s="10"/>
      <c r="D62" s="21">
        <f>SUM(OSRRefD22x_0)</f>
        <v>58886.079999999994</v>
      </c>
      <c r="E62" s="21"/>
      <c r="F62" s="35">
        <f t="shared" ref="F62:F72" si="15">IF(D$12=0,0,D62/D$12)</f>
        <v>8.3186354868331897E-2</v>
      </c>
      <c r="G62" s="21"/>
      <c r="H62" s="21">
        <f>SUM(OSRRefH22x_0)</f>
        <v>51001.53</v>
      </c>
      <c r="I62" s="21"/>
      <c r="J62" s="35">
        <f t="shared" ref="J62:J72" si="16">IF(H$12=0,0,H62/H$12)</f>
        <v>4.6665888620191907E-2</v>
      </c>
      <c r="K62" s="4"/>
      <c r="L62" s="21">
        <f t="shared" ref="L62:L72" si="17">+D62-H62</f>
        <v>7884.5499999999956</v>
      </c>
      <c r="M62" s="4"/>
      <c r="N62" s="35">
        <f t="shared" ref="N62:N72" si="18">IF(H62=0,0,L62/H62)</f>
        <v>0.15459438177638976</v>
      </c>
      <c r="O62" s="10"/>
      <c r="P62" s="21">
        <f>SUM(OSRRefP22x_0)</f>
        <v>322990.58999999991</v>
      </c>
      <c r="Q62" s="21"/>
      <c r="R62" s="35">
        <f t="shared" ref="R62:R72" si="19">IF(P$12=0,0,P62/P$12)</f>
        <v>0.17907752483587938</v>
      </c>
      <c r="S62" s="21"/>
      <c r="T62" s="21">
        <f>SUM(OSRRefT22x_0)</f>
        <v>306588.51999999996</v>
      </c>
      <c r="U62" s="21"/>
      <c r="V62" s="35">
        <f t="shared" ref="V62:V72" si="20">IF(T$12=0,0,T62/T$12)</f>
        <v>9.7945726464426661E-2</v>
      </c>
      <c r="W62" s="4"/>
      <c r="X62" s="21">
        <f t="shared" ref="X62:X72" si="21">+P62-T62</f>
        <v>16402.069999999949</v>
      </c>
      <c r="Y62" s="4"/>
      <c r="Z62" s="35">
        <f t="shared" ref="Z62:Z72" si="22">IF(T62=0,0,X62/T62)</f>
        <v>5.3498643719601606E-2</v>
      </c>
    </row>
    <row r="63" spans="1:26" s="26" customFormat="1" outlineLevel="1" collapsed="1" x14ac:dyDescent="0.25">
      <c r="A63" s="27"/>
      <c r="B63" s="13" t="str">
        <f>CONCATENATE("     ","*Benefits                                         ")</f>
        <v xml:space="preserve">     *Benefits                                         </v>
      </c>
      <c r="C63" s="13"/>
      <c r="D63" s="1">
        <f>SUM(OSRRefD22_0x_0)</f>
        <v>13034.259999999998</v>
      </c>
      <c r="E63" s="1"/>
      <c r="F63" s="5">
        <f t="shared" si="15"/>
        <v>1.8413054117477401E-2</v>
      </c>
      <c r="G63" s="1"/>
      <c r="H63" s="1">
        <f>SUM(OSRRefH22_0x_0)</f>
        <v>10868.34</v>
      </c>
      <c r="I63" s="1"/>
      <c r="J63" s="5">
        <f t="shared" si="16"/>
        <v>9.9444221364805435E-3</v>
      </c>
      <c r="K63" s="1"/>
      <c r="L63" s="1">
        <f t="shared" si="17"/>
        <v>2165.9199999999983</v>
      </c>
      <c r="M63" s="1"/>
      <c r="N63" s="5">
        <f t="shared" si="18"/>
        <v>0.19928710364232241</v>
      </c>
      <c r="O63" s="13"/>
      <c r="P63" s="1">
        <f>SUM(OSRRefP22_0x_0)</f>
        <v>81797.209999999992</v>
      </c>
      <c r="Q63" s="1"/>
      <c r="R63" s="5">
        <f t="shared" si="19"/>
        <v>4.5351296164017174E-2</v>
      </c>
      <c r="S63" s="1"/>
      <c r="T63" s="1">
        <f>SUM(OSRRefT22_0x_0)</f>
        <v>71759.13</v>
      </c>
      <c r="U63" s="1"/>
      <c r="V63" s="5">
        <f t="shared" si="20"/>
        <v>2.292486397828997E-2</v>
      </c>
      <c r="W63" s="1"/>
      <c r="X63" s="1">
        <f t="shared" si="21"/>
        <v>10038.079999999987</v>
      </c>
      <c r="Y63" s="1"/>
      <c r="Z63" s="5">
        <f t="shared" si="22"/>
        <v>0.13988575391033847</v>
      </c>
    </row>
    <row r="64" spans="1:26" s="24" customFormat="1" hidden="1" outlineLevel="2" x14ac:dyDescent="0.25">
      <c r="A64" s="25"/>
      <c r="B64" s="11" t="str">
        <f>CONCATENATE("          ", "6111", " - ", "F.I.C.A.")</f>
        <v xml:space="preserve">          6111 - F.I.C.A.</v>
      </c>
      <c r="C64" s="11"/>
      <c r="D64" s="6">
        <v>2182.61</v>
      </c>
      <c r="E64" s="2"/>
      <c r="F64" s="7">
        <f t="shared" si="15"/>
        <v>3.0832986335509157E-3</v>
      </c>
      <c r="G64" s="2"/>
      <c r="H64" s="6">
        <v>1676.57</v>
      </c>
      <c r="I64" s="2"/>
      <c r="J64" s="7">
        <f t="shared" si="16"/>
        <v>1.5340447410882605E-3</v>
      </c>
      <c r="K64" s="2"/>
      <c r="L64" s="6">
        <f t="shared" si="17"/>
        <v>506.04000000000019</v>
      </c>
      <c r="M64" s="2"/>
      <c r="N64" s="7">
        <f t="shared" si="18"/>
        <v>0.30183052303214314</v>
      </c>
      <c r="O64" s="11"/>
      <c r="P64" s="6">
        <v>15125.609999999999</v>
      </c>
      <c r="Q64" s="2"/>
      <c r="R64" s="7">
        <f t="shared" si="19"/>
        <v>8.386178682273147E-3</v>
      </c>
      <c r="S64" s="2"/>
      <c r="T64" s="6">
        <v>12311.48</v>
      </c>
      <c r="U64" s="2"/>
      <c r="V64" s="7">
        <f t="shared" si="20"/>
        <v>3.9331441779107048E-3</v>
      </c>
      <c r="W64" s="2"/>
      <c r="X64" s="6">
        <f t="shared" si="21"/>
        <v>2814.1299999999992</v>
      </c>
      <c r="Y64" s="2"/>
      <c r="Z64" s="7">
        <f t="shared" si="22"/>
        <v>0.22857771770737551</v>
      </c>
    </row>
    <row r="65" spans="1:26" s="24" customFormat="1" hidden="1" outlineLevel="2" x14ac:dyDescent="0.25">
      <c r="A65" s="25"/>
      <c r="B65" s="11" t="str">
        <f>CONCATENATE("          ", "6112", " - ", "COMPENSATION INSURANCE")</f>
        <v xml:space="preserve">          6112 - COMPENSATION INSURANCE</v>
      </c>
      <c r="C65" s="11"/>
      <c r="D65" s="6">
        <v>-125.07</v>
      </c>
      <c r="E65" s="2"/>
      <c r="F65" s="7">
        <f t="shared" si="15"/>
        <v>-1.7668211915926939E-4</v>
      </c>
      <c r="G65" s="2"/>
      <c r="H65" s="6">
        <v>89.99</v>
      </c>
      <c r="I65" s="2"/>
      <c r="J65" s="7">
        <f t="shared" si="16"/>
        <v>8.2339947780607169E-5</v>
      </c>
      <c r="K65" s="2"/>
      <c r="L65" s="6">
        <f t="shared" si="17"/>
        <v>-215.06</v>
      </c>
      <c r="M65" s="2"/>
      <c r="N65" s="7">
        <f t="shared" si="18"/>
        <v>-2.3898210912323594</v>
      </c>
      <c r="O65" s="11"/>
      <c r="P65" s="6">
        <v>856.97</v>
      </c>
      <c r="Q65" s="2"/>
      <c r="R65" s="7">
        <f t="shared" si="19"/>
        <v>4.7513479095042245E-4</v>
      </c>
      <c r="S65" s="2"/>
      <c r="T65" s="6">
        <v>473.32</v>
      </c>
      <c r="U65" s="2"/>
      <c r="V65" s="7">
        <f t="shared" si="20"/>
        <v>1.5121137363572005E-4</v>
      </c>
      <c r="W65" s="2"/>
      <c r="X65" s="6">
        <f t="shared" si="21"/>
        <v>383.65000000000003</v>
      </c>
      <c r="Y65" s="2"/>
      <c r="Z65" s="7">
        <f t="shared" si="22"/>
        <v>0.81055100143666026</v>
      </c>
    </row>
    <row r="66" spans="1:26" s="24" customFormat="1" hidden="1" outlineLevel="2" x14ac:dyDescent="0.25">
      <c r="A66" s="25"/>
      <c r="B66" s="11" t="str">
        <f>CONCATENATE("          ", "6113", " - ", "GROUP INSURANCE")</f>
        <v xml:space="preserve">          6113 - GROUP INSURANCE</v>
      </c>
      <c r="C66" s="11"/>
      <c r="D66" s="6">
        <v>4943.91</v>
      </c>
      <c r="E66" s="2"/>
      <c r="F66" s="7">
        <f t="shared" si="15"/>
        <v>6.9840928738522717E-3</v>
      </c>
      <c r="G66" s="2"/>
      <c r="H66" s="6">
        <v>4248.21</v>
      </c>
      <c r="I66" s="2"/>
      <c r="J66" s="7">
        <f t="shared" si="16"/>
        <v>3.8870695584070805E-3</v>
      </c>
      <c r="K66" s="2"/>
      <c r="L66" s="6">
        <f t="shared" si="17"/>
        <v>695.69999999999982</v>
      </c>
      <c r="M66" s="2"/>
      <c r="N66" s="7">
        <f t="shared" si="18"/>
        <v>0.16376309080765777</v>
      </c>
      <c r="O66" s="11"/>
      <c r="P66" s="6">
        <v>30332.129999999997</v>
      </c>
      <c r="Q66" s="2"/>
      <c r="R66" s="7">
        <f t="shared" si="19"/>
        <v>1.6817216759782764E-2</v>
      </c>
      <c r="S66" s="2"/>
      <c r="T66" s="6">
        <v>29259.63</v>
      </c>
      <c r="U66" s="2"/>
      <c r="V66" s="7">
        <f t="shared" si="20"/>
        <v>9.3475636870889115E-3</v>
      </c>
      <c r="W66" s="2"/>
      <c r="X66" s="6">
        <f t="shared" si="21"/>
        <v>1072.4999999999964</v>
      </c>
      <c r="Y66" s="2"/>
      <c r="Z66" s="7">
        <f t="shared" si="22"/>
        <v>3.6654598844892992E-2</v>
      </c>
    </row>
    <row r="67" spans="1:26" s="24" customFormat="1" hidden="1" outlineLevel="2" x14ac:dyDescent="0.25">
      <c r="A67" s="25"/>
      <c r="B67" s="11" t="str">
        <f>CONCATENATE("          ", "6114", " - ", "STATE UNEMPLOYMENT INSURANCE")</f>
        <v xml:space="preserve">          6114 - STATE UNEMPLOYMENT INSURANCE</v>
      </c>
      <c r="C67" s="11"/>
      <c r="D67" s="6">
        <v>149.4</v>
      </c>
      <c r="E67" s="2"/>
      <c r="F67" s="7">
        <f t="shared" si="15"/>
        <v>2.1105227954261492E-4</v>
      </c>
      <c r="G67" s="2"/>
      <c r="H67" s="6">
        <v>68.81</v>
      </c>
      <c r="I67" s="2"/>
      <c r="J67" s="7">
        <f t="shared" si="16"/>
        <v>6.2960460126498271E-5</v>
      </c>
      <c r="K67" s="2"/>
      <c r="L67" s="6">
        <f t="shared" si="17"/>
        <v>80.59</v>
      </c>
      <c r="M67" s="2"/>
      <c r="N67" s="7">
        <f t="shared" si="18"/>
        <v>1.1711960470861793</v>
      </c>
      <c r="O67" s="11"/>
      <c r="P67" s="6">
        <v>532.15</v>
      </c>
      <c r="Q67" s="2"/>
      <c r="R67" s="7">
        <f t="shared" si="19"/>
        <v>2.9504297583843927E-4</v>
      </c>
      <c r="S67" s="2"/>
      <c r="T67" s="6">
        <v>460.4</v>
      </c>
      <c r="U67" s="2"/>
      <c r="V67" s="7">
        <f t="shared" si="20"/>
        <v>1.4708382578780847E-4</v>
      </c>
      <c r="W67" s="2"/>
      <c r="X67" s="6">
        <f t="shared" si="21"/>
        <v>71.75</v>
      </c>
      <c r="Y67" s="2"/>
      <c r="Z67" s="7">
        <f t="shared" si="22"/>
        <v>0.15584274543874893</v>
      </c>
    </row>
    <row r="68" spans="1:26" s="24" customFormat="1" hidden="1" outlineLevel="2" x14ac:dyDescent="0.25">
      <c r="A68" s="25"/>
      <c r="B68" s="11" t="str">
        <f>CONCATENATE("          ", "6115", " - ", "P.E.R.S.")</f>
        <v xml:space="preserve">          6115 - P.E.R.S.</v>
      </c>
      <c r="C68" s="11"/>
      <c r="D68" s="6">
        <v>2689.05</v>
      </c>
      <c r="E68" s="2"/>
      <c r="F68" s="7">
        <f t="shared" si="15"/>
        <v>3.7987291318880103E-3</v>
      </c>
      <c r="G68" s="2"/>
      <c r="H68" s="6">
        <v>1997.27</v>
      </c>
      <c r="I68" s="2"/>
      <c r="J68" s="7">
        <f t="shared" si="16"/>
        <v>1.8274820258225722E-3</v>
      </c>
      <c r="K68" s="2"/>
      <c r="L68" s="6">
        <f t="shared" si="17"/>
        <v>691.7800000000002</v>
      </c>
      <c r="M68" s="2"/>
      <c r="N68" s="7">
        <f t="shared" si="18"/>
        <v>0.34636278520180058</v>
      </c>
      <c r="O68" s="11"/>
      <c r="P68" s="6">
        <v>13175.29</v>
      </c>
      <c r="Q68" s="2"/>
      <c r="R68" s="7">
        <f t="shared" si="19"/>
        <v>7.304851581573674E-3</v>
      </c>
      <c r="S68" s="2"/>
      <c r="T68" s="6">
        <v>10429.67</v>
      </c>
      <c r="U68" s="2"/>
      <c r="V68" s="7">
        <f t="shared" si="20"/>
        <v>3.3319630002266129E-3</v>
      </c>
      <c r="W68" s="2"/>
      <c r="X68" s="6">
        <f t="shared" si="21"/>
        <v>2745.6200000000008</v>
      </c>
      <c r="Y68" s="2"/>
      <c r="Z68" s="7">
        <f t="shared" si="22"/>
        <v>0.26325089863821205</v>
      </c>
    </row>
    <row r="69" spans="1:26" s="24" customFormat="1" hidden="1" outlineLevel="2" x14ac:dyDescent="0.25">
      <c r="A69" s="25"/>
      <c r="B69" s="11" t="str">
        <f>CONCATENATE("          ", "6117", " - ", "RETIREMENT STAFF HOURLY")</f>
        <v xml:space="preserve">          6117 - RETIREMENT STAFF HOURLY</v>
      </c>
      <c r="C69" s="11"/>
      <c r="D69" s="6">
        <v>297.92</v>
      </c>
      <c r="E69" s="2"/>
      <c r="F69" s="7">
        <f t="shared" si="15"/>
        <v>4.2086141312808461E-4</v>
      </c>
      <c r="G69" s="2"/>
      <c r="H69" s="6">
        <v>213.49</v>
      </c>
      <c r="I69" s="2"/>
      <c r="J69" s="7">
        <f t="shared" si="16"/>
        <v>1.9534120959753112E-4</v>
      </c>
      <c r="K69" s="2"/>
      <c r="L69" s="6">
        <f t="shared" si="17"/>
        <v>84.43</v>
      </c>
      <c r="M69" s="2"/>
      <c r="N69" s="7">
        <f t="shared" si="18"/>
        <v>0.39547519790154106</v>
      </c>
      <c r="O69" s="11"/>
      <c r="P69" s="6">
        <v>1842.08</v>
      </c>
      <c r="Q69" s="2"/>
      <c r="R69" s="7">
        <f t="shared" si="19"/>
        <v>1.0213149768532786E-3</v>
      </c>
      <c r="S69" s="2"/>
      <c r="T69" s="6">
        <v>952.23</v>
      </c>
      <c r="U69" s="2"/>
      <c r="V69" s="7">
        <f t="shared" si="20"/>
        <v>3.0420858260192199E-4</v>
      </c>
      <c r="W69" s="2"/>
      <c r="X69" s="6">
        <f t="shared" si="21"/>
        <v>889.84999999999991</v>
      </c>
      <c r="Y69" s="2"/>
      <c r="Z69" s="7">
        <f t="shared" si="22"/>
        <v>0.9344906167627568</v>
      </c>
    </row>
    <row r="70" spans="1:26" s="24" customFormat="1" hidden="1" outlineLevel="2" x14ac:dyDescent="0.25">
      <c r="A70" s="25"/>
      <c r="B70" s="11" t="str">
        <f>CONCATENATE("          ", "6118", " - ", "VACATION")</f>
        <v xml:space="preserve">          6118 - VACATION</v>
      </c>
      <c r="C70" s="11"/>
      <c r="D70" s="6">
        <v>1526.05</v>
      </c>
      <c r="E70" s="2"/>
      <c r="F70" s="7">
        <f t="shared" si="15"/>
        <v>2.1557987362517237E-3</v>
      </c>
      <c r="G70" s="2"/>
      <c r="H70" s="6">
        <v>781.18</v>
      </c>
      <c r="I70" s="2"/>
      <c r="J70" s="7">
        <f t="shared" si="16"/>
        <v>7.1477186806594845E-4</v>
      </c>
      <c r="K70" s="2"/>
      <c r="L70" s="6">
        <f t="shared" si="17"/>
        <v>744.87</v>
      </c>
      <c r="M70" s="2"/>
      <c r="N70" s="7">
        <f t="shared" si="18"/>
        <v>0.95351903530556348</v>
      </c>
      <c r="O70" s="11"/>
      <c r="P70" s="6">
        <v>9302.7000000000007</v>
      </c>
      <c r="Q70" s="2"/>
      <c r="R70" s="7">
        <f t="shared" si="19"/>
        <v>5.157749302512918E-3</v>
      </c>
      <c r="S70" s="2"/>
      <c r="T70" s="6">
        <v>6417.64</v>
      </c>
      <c r="U70" s="2"/>
      <c r="V70" s="7">
        <f t="shared" si="20"/>
        <v>2.0502411896804328E-3</v>
      </c>
      <c r="W70" s="2"/>
      <c r="X70" s="6">
        <f t="shared" si="21"/>
        <v>2885.0600000000004</v>
      </c>
      <c r="Y70" s="2"/>
      <c r="Z70" s="7">
        <f t="shared" si="22"/>
        <v>0.44955154854432472</v>
      </c>
    </row>
    <row r="71" spans="1:26" s="24" customFormat="1" hidden="1" outlineLevel="2" x14ac:dyDescent="0.25">
      <c r="A71" s="25"/>
      <c r="B71" s="11" t="str">
        <f>CONCATENATE("          ", "6119", " - ", "SICK LEAVE")</f>
        <v xml:space="preserve">          6119 - SICK LEAVE</v>
      </c>
      <c r="C71" s="11"/>
      <c r="D71" s="6">
        <v>1147.56</v>
      </c>
      <c r="E71" s="2"/>
      <c r="F71" s="7">
        <f t="shared" si="15"/>
        <v>1.6211188347518286E-3</v>
      </c>
      <c r="G71" s="2"/>
      <c r="H71" s="6">
        <v>925.42</v>
      </c>
      <c r="I71" s="2"/>
      <c r="J71" s="7">
        <f t="shared" si="16"/>
        <v>8.4675002194832191E-4</v>
      </c>
      <c r="K71" s="2"/>
      <c r="L71" s="6">
        <f t="shared" si="17"/>
        <v>222.14</v>
      </c>
      <c r="M71" s="2"/>
      <c r="N71" s="7">
        <f t="shared" si="18"/>
        <v>0.24004235914503685</v>
      </c>
      <c r="O71" s="11"/>
      <c r="P71" s="6">
        <v>7591.9</v>
      </c>
      <c r="Q71" s="2"/>
      <c r="R71" s="7">
        <f t="shared" si="19"/>
        <v>4.2092206488167751E-3</v>
      </c>
      <c r="S71" s="2"/>
      <c r="T71" s="6">
        <v>7045.53</v>
      </c>
      <c r="U71" s="2"/>
      <c r="V71" s="7">
        <f t="shared" si="20"/>
        <v>2.2508329867566863E-3</v>
      </c>
      <c r="W71" s="2"/>
      <c r="X71" s="6">
        <f t="shared" si="21"/>
        <v>546.36999999999989</v>
      </c>
      <c r="Y71" s="2"/>
      <c r="Z71" s="7">
        <f t="shared" si="22"/>
        <v>7.7548459803591763E-2</v>
      </c>
    </row>
    <row r="72" spans="1:26" s="24" customFormat="1" hidden="1" outlineLevel="2" x14ac:dyDescent="0.25">
      <c r="A72" s="25"/>
      <c r="B72" s="11" t="str">
        <f>CONCATENATE("          ", "6156", " - ", "EMPLOYEE MEALS")</f>
        <v xml:space="preserve">          6156 - EMPLOYEE MEALS</v>
      </c>
      <c r="C72" s="11"/>
      <c r="D72" s="6">
        <v>222.83</v>
      </c>
      <c r="E72" s="2"/>
      <c r="F72" s="7">
        <f t="shared" si="15"/>
        <v>3.1478433367122414E-4</v>
      </c>
      <c r="G72" s="2"/>
      <c r="H72" s="6">
        <v>867.4</v>
      </c>
      <c r="I72" s="2"/>
      <c r="J72" s="7">
        <f t="shared" si="16"/>
        <v>7.9366230364372333E-4</v>
      </c>
      <c r="K72" s="2"/>
      <c r="L72" s="6">
        <f t="shared" si="17"/>
        <v>-644.56999999999994</v>
      </c>
      <c r="M72" s="2"/>
      <c r="N72" s="7">
        <f t="shared" si="18"/>
        <v>-0.74310583352547843</v>
      </c>
      <c r="O72" s="11"/>
      <c r="P72" s="6">
        <v>3038.38</v>
      </c>
      <c r="Q72" s="2"/>
      <c r="R72" s="7">
        <f t="shared" si="19"/>
        <v>1.6845864454157608E-3</v>
      </c>
      <c r="S72" s="2"/>
      <c r="T72" s="6">
        <v>4409.2299999999996</v>
      </c>
      <c r="U72" s="2"/>
      <c r="V72" s="7">
        <f t="shared" si="20"/>
        <v>1.4086151546011702E-3</v>
      </c>
      <c r="W72" s="2"/>
      <c r="X72" s="6">
        <f t="shared" si="21"/>
        <v>-1370.8499999999995</v>
      </c>
      <c r="Y72" s="2"/>
      <c r="Z72" s="7">
        <f t="shared" si="22"/>
        <v>-0.31090462507059047</v>
      </c>
    </row>
    <row r="73" spans="1:26" s="26" customFormat="1" outlineLevel="1" collapsed="1" x14ac:dyDescent="0.25">
      <c r="A73" s="27"/>
      <c r="B73" s="13" t="str">
        <f>CONCATENATE("     ","*Payroll                                          ")</f>
        <v xml:space="preserve">     *Payroll                                          </v>
      </c>
      <c r="C73" s="13"/>
      <c r="D73" s="1">
        <f>SUM(OSRRefD22_1x_0)</f>
        <v>38361.300000000003</v>
      </c>
      <c r="E73" s="1"/>
      <c r="F73" s="5">
        <f t="shared" ref="F73:F80" si="23">IF(D$12=0,0,D73/D$12)</f>
        <v>5.4191698870268507E-2</v>
      </c>
      <c r="G73" s="1"/>
      <c r="H73" s="1">
        <f>SUM(OSRRefH22_1x_0)</f>
        <v>34667.289999999994</v>
      </c>
      <c r="I73" s="1"/>
      <c r="J73" s="5">
        <f t="shared" ref="J73:J80" si="24">IF(H$12=0,0,H73/H$12)</f>
        <v>3.1720222783588894E-2</v>
      </c>
      <c r="K73" s="1"/>
      <c r="L73" s="1">
        <f t="shared" ref="L73:L80" si="25">+D73-H73</f>
        <v>3694.0100000000093</v>
      </c>
      <c r="M73" s="1"/>
      <c r="N73" s="5">
        <f t="shared" ref="N73:N80" si="26">IF(H73=0,0,L73/H73)</f>
        <v>0.10655606480921959</v>
      </c>
      <c r="O73" s="13"/>
      <c r="P73" s="1">
        <f>SUM(OSRRefP22_1x_0)</f>
        <v>203768.37</v>
      </c>
      <c r="Q73" s="1"/>
      <c r="R73" s="5">
        <f t="shared" ref="R73:R80" si="27">IF(P$12=0,0,P73/P$12)</f>
        <v>0.11297646578323434</v>
      </c>
      <c r="S73" s="1"/>
      <c r="T73" s="1">
        <f>SUM(OSRRefT22_1x_0)</f>
        <v>177685.43</v>
      </c>
      <c r="U73" s="1"/>
      <c r="V73" s="5">
        <f t="shared" ref="V73:V80" si="28">IF(T$12=0,0,T73/T$12)</f>
        <v>5.6765101718401038E-2</v>
      </c>
      <c r="W73" s="1"/>
      <c r="X73" s="1">
        <f t="shared" ref="X73:X80" si="29">+P73-T73</f>
        <v>26082.940000000002</v>
      </c>
      <c r="Y73" s="1"/>
      <c r="Z73" s="5">
        <f t="shared" ref="Z73:Z80" si="30">IF(T73=0,0,X73/T73)</f>
        <v>0.14679278993218522</v>
      </c>
    </row>
    <row r="74" spans="1:26" s="24" customFormat="1" hidden="1" outlineLevel="2" x14ac:dyDescent="0.25">
      <c r="A74" s="25"/>
      <c r="B74" s="11" t="str">
        <f>CONCATENATE("          ", "6001", " - ", "ADMINISTRATIVE SALARIES")</f>
        <v xml:space="preserve">          6001 - ADMINISTRATIVE SALARIES</v>
      </c>
      <c r="C74" s="11"/>
      <c r="D74" s="6"/>
      <c r="E74" s="2"/>
      <c r="F74" s="7">
        <f t="shared" si="23"/>
        <v>0</v>
      </c>
      <c r="G74" s="2"/>
      <c r="H74" s="6"/>
      <c r="I74" s="2"/>
      <c r="J74" s="7">
        <f t="shared" si="24"/>
        <v>0</v>
      </c>
      <c r="K74" s="2"/>
      <c r="L74" s="6">
        <f t="shared" si="25"/>
        <v>0</v>
      </c>
      <c r="M74" s="2"/>
      <c r="N74" s="7">
        <f t="shared" si="26"/>
        <v>0</v>
      </c>
      <c r="O74" s="11"/>
      <c r="P74" s="6">
        <v>-311.32</v>
      </c>
      <c r="Q74" s="2"/>
      <c r="R74" s="7">
        <f t="shared" si="27"/>
        <v>-1.7260693270322824E-4</v>
      </c>
      <c r="S74" s="2"/>
      <c r="T74" s="6"/>
      <c r="U74" s="2"/>
      <c r="V74" s="7">
        <f t="shared" si="28"/>
        <v>0</v>
      </c>
      <c r="W74" s="2"/>
      <c r="X74" s="6">
        <f t="shared" si="29"/>
        <v>-311.32</v>
      </c>
      <c r="Y74" s="2"/>
      <c r="Z74" s="7">
        <f t="shared" si="30"/>
        <v>0</v>
      </c>
    </row>
    <row r="75" spans="1:26" s="24" customFormat="1" hidden="1" outlineLevel="2" x14ac:dyDescent="0.25">
      <c r="A75" s="25"/>
      <c r="B75" s="11" t="str">
        <f>CONCATENATE("          ", "6002", " - ", "STAFF SALARIES")</f>
        <v xml:space="preserve">          6002 - STAFF SALARIES</v>
      </c>
      <c r="C75" s="11"/>
      <c r="D75" s="6">
        <v>24862.47</v>
      </c>
      <c r="E75" s="2"/>
      <c r="F75" s="7">
        <f t="shared" si="23"/>
        <v>3.5122362574028634E-2</v>
      </c>
      <c r="G75" s="2"/>
      <c r="H75" s="6">
        <v>18107.66</v>
      </c>
      <c r="I75" s="2"/>
      <c r="J75" s="7">
        <f t="shared" si="24"/>
        <v>1.656832735669507E-2</v>
      </c>
      <c r="K75" s="2"/>
      <c r="L75" s="6">
        <f t="shared" si="25"/>
        <v>6754.8100000000013</v>
      </c>
      <c r="M75" s="2"/>
      <c r="N75" s="7">
        <f t="shared" si="26"/>
        <v>0.37303605214588753</v>
      </c>
      <c r="O75" s="11"/>
      <c r="P75" s="6">
        <v>121360.67000000001</v>
      </c>
      <c r="Q75" s="2"/>
      <c r="R75" s="7">
        <f t="shared" si="27"/>
        <v>6.7286692147978583E-2</v>
      </c>
      <c r="S75" s="2"/>
      <c r="T75" s="6">
        <v>107136.24</v>
      </c>
      <c r="U75" s="2"/>
      <c r="V75" s="7">
        <f t="shared" si="28"/>
        <v>3.4226776845614336E-2</v>
      </c>
      <c r="W75" s="2"/>
      <c r="X75" s="6">
        <f t="shared" si="29"/>
        <v>14224.430000000008</v>
      </c>
      <c r="Y75" s="2"/>
      <c r="Z75" s="7">
        <f t="shared" si="30"/>
        <v>0.13276954651385942</v>
      </c>
    </row>
    <row r="76" spans="1:26" s="24" customFormat="1" hidden="1" outlineLevel="2" x14ac:dyDescent="0.25">
      <c r="A76" s="25"/>
      <c r="B76" s="11" t="str">
        <f>CONCATENATE("          ", "6004", " - ", "STAFF HOURLY")</f>
        <v xml:space="preserve">          6004 - STAFF HOURLY</v>
      </c>
      <c r="C76" s="11"/>
      <c r="D76" s="6">
        <v>8056.36</v>
      </c>
      <c r="E76" s="2"/>
      <c r="F76" s="7">
        <f t="shared" si="23"/>
        <v>1.1380944731030396E-2</v>
      </c>
      <c r="G76" s="2"/>
      <c r="H76" s="6">
        <v>3344.03</v>
      </c>
      <c r="I76" s="2"/>
      <c r="J76" s="7">
        <f t="shared" si="24"/>
        <v>3.0597539235113214E-3</v>
      </c>
      <c r="K76" s="2"/>
      <c r="L76" s="6">
        <f t="shared" si="25"/>
        <v>4712.33</v>
      </c>
      <c r="M76" s="2"/>
      <c r="N76" s="7">
        <f t="shared" si="26"/>
        <v>1.4091769511637156</v>
      </c>
      <c r="O76" s="11"/>
      <c r="P76" s="6">
        <v>47894.409999999996</v>
      </c>
      <c r="Q76" s="2"/>
      <c r="R76" s="7">
        <f t="shared" si="27"/>
        <v>2.6554372361977455E-2</v>
      </c>
      <c r="S76" s="2"/>
      <c r="T76" s="6">
        <v>21895.89</v>
      </c>
      <c r="U76" s="2"/>
      <c r="V76" s="7">
        <f t="shared" si="28"/>
        <v>6.9950722637467811E-3</v>
      </c>
      <c r="W76" s="2"/>
      <c r="X76" s="6">
        <f t="shared" si="29"/>
        <v>25998.519999999997</v>
      </c>
      <c r="Y76" s="2"/>
      <c r="Z76" s="7">
        <f t="shared" si="30"/>
        <v>1.1873698671303152</v>
      </c>
    </row>
    <row r="77" spans="1:26" s="24" customFormat="1" hidden="1" outlineLevel="2" x14ac:dyDescent="0.25">
      <c r="A77" s="25"/>
      <c r="B77" s="11" t="str">
        <f>CONCATENATE("          ", "6005", " - ", "TEMPORARY WAGES-HOURLY")</f>
        <v xml:space="preserve">          6005 - TEMPORARY WAGES-HOURLY</v>
      </c>
      <c r="C77" s="11"/>
      <c r="D77" s="6"/>
      <c r="E77" s="2"/>
      <c r="F77" s="7">
        <f t="shared" si="23"/>
        <v>0</v>
      </c>
      <c r="G77" s="2"/>
      <c r="H77" s="6">
        <v>4271.78</v>
      </c>
      <c r="I77" s="2"/>
      <c r="J77" s="7">
        <f t="shared" si="24"/>
        <v>3.9086358720995893E-3</v>
      </c>
      <c r="K77" s="2"/>
      <c r="L77" s="6">
        <f t="shared" si="25"/>
        <v>-4271.78</v>
      </c>
      <c r="M77" s="2"/>
      <c r="N77" s="7">
        <f t="shared" si="26"/>
        <v>-1</v>
      </c>
      <c r="O77" s="11"/>
      <c r="P77" s="6">
        <v>12838</v>
      </c>
      <c r="Q77" s="2"/>
      <c r="R77" s="7">
        <f t="shared" si="27"/>
        <v>7.117845952858937E-3</v>
      </c>
      <c r="S77" s="2"/>
      <c r="T77" s="6">
        <v>17825.05</v>
      </c>
      <c r="U77" s="2"/>
      <c r="V77" s="7">
        <f t="shared" si="28"/>
        <v>5.694562443221059E-3</v>
      </c>
      <c r="W77" s="2"/>
      <c r="X77" s="6">
        <f t="shared" si="29"/>
        <v>-4987.0499999999993</v>
      </c>
      <c r="Y77" s="2"/>
      <c r="Z77" s="7">
        <f t="shared" si="30"/>
        <v>-0.27977761633207199</v>
      </c>
    </row>
    <row r="78" spans="1:26" s="24" customFormat="1" hidden="1" outlineLevel="2" x14ac:dyDescent="0.25">
      <c r="A78" s="25"/>
      <c r="B78" s="11" t="str">
        <f>CONCATENATE("          ", "6006", " - ", "TEMPORARY PART TIME")</f>
        <v xml:space="preserve">          6006 - TEMPORARY PART TIME</v>
      </c>
      <c r="C78" s="11"/>
      <c r="D78" s="6"/>
      <c r="E78" s="2"/>
      <c r="F78" s="7">
        <f t="shared" si="23"/>
        <v>0</v>
      </c>
      <c r="G78" s="2"/>
      <c r="H78" s="6"/>
      <c r="I78" s="2"/>
      <c r="J78" s="7">
        <f t="shared" si="24"/>
        <v>0</v>
      </c>
      <c r="K78" s="2"/>
      <c r="L78" s="6">
        <f t="shared" si="25"/>
        <v>0</v>
      </c>
      <c r="M78" s="2"/>
      <c r="N78" s="7">
        <f t="shared" si="26"/>
        <v>0</v>
      </c>
      <c r="O78" s="11"/>
      <c r="P78" s="6">
        <v>502.29</v>
      </c>
      <c r="Q78" s="2"/>
      <c r="R78" s="7">
        <f t="shared" si="27"/>
        <v>2.7848752482174136E-4</v>
      </c>
      <c r="S78" s="2"/>
      <c r="T78" s="6"/>
      <c r="U78" s="2"/>
      <c r="V78" s="7">
        <f t="shared" si="28"/>
        <v>0</v>
      </c>
      <c r="W78" s="2"/>
      <c r="X78" s="6">
        <f t="shared" si="29"/>
        <v>502.29</v>
      </c>
      <c r="Y78" s="2"/>
      <c r="Z78" s="7">
        <f t="shared" si="30"/>
        <v>0</v>
      </c>
    </row>
    <row r="79" spans="1:26" s="24" customFormat="1" hidden="1" outlineLevel="2" x14ac:dyDescent="0.25">
      <c r="A79" s="25"/>
      <c r="B79" s="11" t="str">
        <f>CONCATENATE("          ", "6007", " - ", "STUDENT HOURLY")</f>
        <v xml:space="preserve">          6007 - STUDENT HOURLY</v>
      </c>
      <c r="C79" s="11"/>
      <c r="D79" s="6">
        <v>4760.1099999999997</v>
      </c>
      <c r="E79" s="2"/>
      <c r="F79" s="7">
        <f t="shared" si="23"/>
        <v>6.7244448887121598E-3</v>
      </c>
      <c r="G79" s="2"/>
      <c r="H79" s="6">
        <v>8943.82</v>
      </c>
      <c r="I79" s="2"/>
      <c r="J79" s="7">
        <f t="shared" si="24"/>
        <v>8.1835056312829207E-3</v>
      </c>
      <c r="K79" s="2"/>
      <c r="L79" s="6">
        <f t="shared" si="25"/>
        <v>-4183.71</v>
      </c>
      <c r="M79" s="2"/>
      <c r="N79" s="7">
        <f t="shared" si="26"/>
        <v>-0.46777663235619682</v>
      </c>
      <c r="O79" s="11"/>
      <c r="P79" s="6">
        <v>20801.96</v>
      </c>
      <c r="Q79" s="2"/>
      <c r="R79" s="7">
        <f t="shared" si="27"/>
        <v>1.1533349960860998E-2</v>
      </c>
      <c r="S79" s="2"/>
      <c r="T79" s="6">
        <v>30828.25</v>
      </c>
      <c r="U79" s="2"/>
      <c r="V79" s="7">
        <f t="shared" si="28"/>
        <v>9.8486901658188675E-3</v>
      </c>
      <c r="W79" s="2"/>
      <c r="X79" s="6">
        <f t="shared" si="29"/>
        <v>-10026.290000000001</v>
      </c>
      <c r="Y79" s="2"/>
      <c r="Z79" s="7">
        <f t="shared" si="30"/>
        <v>-0.32523059207058463</v>
      </c>
    </row>
    <row r="80" spans="1:26" s="24" customFormat="1" hidden="1" outlineLevel="2" x14ac:dyDescent="0.25">
      <c r="A80" s="25"/>
      <c r="B80" s="11" t="str">
        <f>CONCATENATE("          ", "6008", " - ", "STUDENT HOURLY-FICA EXEMPT")</f>
        <v xml:space="preserve">          6008 - STUDENT HOURLY-FICA EXEMPT</v>
      </c>
      <c r="C80" s="11"/>
      <c r="D80" s="6">
        <v>682.36</v>
      </c>
      <c r="E80" s="2"/>
      <c r="F80" s="7">
        <f t="shared" si="23"/>
        <v>9.6394667649731414E-4</v>
      </c>
      <c r="G80" s="2"/>
      <c r="H80" s="6"/>
      <c r="I80" s="2"/>
      <c r="J80" s="7">
        <f t="shared" si="24"/>
        <v>0</v>
      </c>
      <c r="K80" s="2"/>
      <c r="L80" s="6">
        <f t="shared" si="25"/>
        <v>682.36</v>
      </c>
      <c r="M80" s="2"/>
      <c r="N80" s="7">
        <f t="shared" si="26"/>
        <v>0</v>
      </c>
      <c r="O80" s="11"/>
      <c r="P80" s="6">
        <v>682.36</v>
      </c>
      <c r="Q80" s="2"/>
      <c r="R80" s="7">
        <f t="shared" si="27"/>
        <v>3.7832476743985237E-4</v>
      </c>
      <c r="S80" s="2"/>
      <c r="T80" s="6"/>
      <c r="U80" s="2"/>
      <c r="V80" s="7">
        <f t="shared" si="28"/>
        <v>0</v>
      </c>
      <c r="W80" s="2"/>
      <c r="X80" s="6">
        <f t="shared" si="29"/>
        <v>682.36</v>
      </c>
      <c r="Y80" s="2"/>
      <c r="Z80" s="7">
        <f t="shared" si="30"/>
        <v>0</v>
      </c>
    </row>
    <row r="81" spans="1:26" s="26" customFormat="1" outlineLevel="1" collapsed="1" x14ac:dyDescent="0.25">
      <c r="A81" s="27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569.11</v>
      </c>
      <c r="E81" s="1"/>
      <c r="F81" s="5">
        <f t="shared" ref="F81:F85" si="31">IF(D$12=0,0,D81/D$12)</f>
        <v>8.0396226780788207E-4</v>
      </c>
      <c r="G81" s="1"/>
      <c r="H81" s="1">
        <f>SUM(OSRRefH22_2x_0)</f>
        <v>-365.85</v>
      </c>
      <c r="I81" s="1"/>
      <c r="J81" s="5">
        <f t="shared" ref="J81:J85" si="32">IF(H$12=0,0,H81/H$12)</f>
        <v>-3.3474908207062044E-4</v>
      </c>
      <c r="K81" s="1"/>
      <c r="L81" s="1">
        <f t="shared" ref="L81:L85" si="33">+D81-H81</f>
        <v>934.96</v>
      </c>
      <c r="M81" s="1"/>
      <c r="N81" s="5">
        <f t="shared" ref="N81:N85" si="34">IF(H81=0,0,L81/H81)</f>
        <v>-2.555582889162225</v>
      </c>
      <c r="O81" s="13"/>
      <c r="P81" s="1">
        <f>SUM(OSRRefP22_2x_0)</f>
        <v>1999.55</v>
      </c>
      <c r="Q81" s="1"/>
      <c r="R81" s="5">
        <f t="shared" ref="R81:R85" si="35">IF(P$12=0,0,P81/P$12)</f>
        <v>1.1086219718833999E-3</v>
      </c>
      <c r="S81" s="1"/>
      <c r="T81" s="1">
        <f>SUM(OSRRefT22_2x_0)</f>
        <v>3981.09</v>
      </c>
      <c r="U81" s="1"/>
      <c r="V81" s="5">
        <f t="shared" ref="V81:V85" si="36">IF(T$12=0,0,T81/T$12)</f>
        <v>1.2718374196472339E-3</v>
      </c>
      <c r="W81" s="1"/>
      <c r="X81" s="1">
        <f t="shared" ref="X81:X85" si="37">+P81-T81</f>
        <v>-1981.5400000000002</v>
      </c>
      <c r="Y81" s="1"/>
      <c r="Z81" s="5">
        <f t="shared" ref="Z81:Z85" si="38">IF(T81=0,0,X81/T81)</f>
        <v>-0.49773805666287374</v>
      </c>
    </row>
    <row r="82" spans="1:26" s="24" customFormat="1" hidden="1" outlineLevel="2" x14ac:dyDescent="0.25">
      <c r="A82" s="25"/>
      <c r="B82" s="11" t="str">
        <f>CONCATENATE("          ", "6362", " - ", "ADVERTISING EXPENSE")</f>
        <v xml:space="preserve">          6362 - ADVERTISING EXPENSE</v>
      </c>
      <c r="C82" s="11"/>
      <c r="D82" s="6">
        <v>569.11</v>
      </c>
      <c r="E82" s="2"/>
      <c r="F82" s="7">
        <f t="shared" si="31"/>
        <v>8.0396226780788207E-4</v>
      </c>
      <c r="G82" s="2"/>
      <c r="H82" s="6">
        <v>-365.85</v>
      </c>
      <c r="I82" s="2"/>
      <c r="J82" s="7">
        <f t="shared" si="32"/>
        <v>-3.3474908207062044E-4</v>
      </c>
      <c r="K82" s="2"/>
      <c r="L82" s="6">
        <f t="shared" si="33"/>
        <v>934.96</v>
      </c>
      <c r="M82" s="2"/>
      <c r="N82" s="7">
        <f t="shared" si="34"/>
        <v>-2.555582889162225</v>
      </c>
      <c r="O82" s="11"/>
      <c r="P82" s="6">
        <v>1999.55</v>
      </c>
      <c r="Q82" s="2"/>
      <c r="R82" s="7">
        <f t="shared" si="35"/>
        <v>1.1086219718833999E-3</v>
      </c>
      <c r="S82" s="2"/>
      <c r="T82" s="6">
        <v>3981.09</v>
      </c>
      <c r="U82" s="2"/>
      <c r="V82" s="7">
        <f t="shared" si="36"/>
        <v>1.2718374196472339E-3</v>
      </c>
      <c r="W82" s="2"/>
      <c r="X82" s="6">
        <f t="shared" si="37"/>
        <v>-1981.5400000000002</v>
      </c>
      <c r="Y82" s="2"/>
      <c r="Z82" s="7">
        <f t="shared" si="38"/>
        <v>-0.49773805666287374</v>
      </c>
    </row>
    <row r="83" spans="1:26" s="26" customFormat="1" outlineLevel="1" collapsed="1" x14ac:dyDescent="0.25">
      <c r="A83" s="27"/>
      <c r="B83" s="13" t="str">
        <f>CONCATENATE("     ","Discounts and Markdowns                           ")</f>
        <v xml:space="preserve">     Discounts and Markdowns                           </v>
      </c>
      <c r="C83" s="13"/>
      <c r="D83" s="1">
        <f>SUM(OSRRefD22_3x_0)</f>
        <v>-42.86</v>
      </c>
      <c r="E83" s="1"/>
      <c r="F83" s="5">
        <f t="shared" si="31"/>
        <v>-6.0546858776415498E-5</v>
      </c>
      <c r="G83" s="1"/>
      <c r="H83" s="1">
        <f>SUM(OSRRefH22_3x_0)</f>
        <v>2330.11</v>
      </c>
      <c r="I83" s="1"/>
      <c r="J83" s="5">
        <f t="shared" si="32"/>
        <v>2.132027288843989E-3</v>
      </c>
      <c r="K83" s="1"/>
      <c r="L83" s="1">
        <f t="shared" si="33"/>
        <v>-2372.9700000000003</v>
      </c>
      <c r="M83" s="1"/>
      <c r="N83" s="5">
        <f t="shared" si="34"/>
        <v>-1.0183939814000198</v>
      </c>
      <c r="O83" s="13"/>
      <c r="P83" s="1">
        <f>SUM(OSRRefP22_3x_0)</f>
        <v>-42.86</v>
      </c>
      <c r="Q83" s="1"/>
      <c r="R83" s="5">
        <f t="shared" si="35"/>
        <v>-2.3763115558461914E-5</v>
      </c>
      <c r="S83" s="1"/>
      <c r="T83" s="1">
        <f>SUM(OSRRefT22_3x_0)</f>
        <v>491.94000000000005</v>
      </c>
      <c r="U83" s="1"/>
      <c r="V83" s="5">
        <f t="shared" si="36"/>
        <v>1.5715989847535732E-4</v>
      </c>
      <c r="W83" s="1"/>
      <c r="X83" s="1">
        <f t="shared" si="37"/>
        <v>-534.80000000000007</v>
      </c>
      <c r="Y83" s="1"/>
      <c r="Z83" s="5">
        <f t="shared" si="38"/>
        <v>-1.0871244460706591</v>
      </c>
    </row>
    <row r="84" spans="1:26" s="24" customFormat="1" hidden="1" outlineLevel="2" x14ac:dyDescent="0.25">
      <c r="A84" s="25"/>
      <c r="B84" s="11" t="str">
        <f>CONCATENATE("          ", "6382", " - ", "DISCOUNTS/MARK DOWNS")</f>
        <v xml:space="preserve">          6382 - DISCOUNTS/MARK DOWNS</v>
      </c>
      <c r="C84" s="11"/>
      <c r="D84" s="6"/>
      <c r="E84" s="2"/>
      <c r="F84" s="7">
        <f t="shared" si="31"/>
        <v>0</v>
      </c>
      <c r="G84" s="2"/>
      <c r="H84" s="6">
        <v>2330.11</v>
      </c>
      <c r="I84" s="2"/>
      <c r="J84" s="7">
        <f t="shared" si="32"/>
        <v>2.132027288843989E-3</v>
      </c>
      <c r="K84" s="2"/>
      <c r="L84" s="6">
        <f t="shared" si="33"/>
        <v>-2330.11</v>
      </c>
      <c r="M84" s="2"/>
      <c r="N84" s="7">
        <f t="shared" si="34"/>
        <v>-1</v>
      </c>
      <c r="O84" s="11"/>
      <c r="P84" s="6"/>
      <c r="Q84" s="2"/>
      <c r="R84" s="7">
        <f t="shared" si="35"/>
        <v>0</v>
      </c>
      <c r="S84" s="2"/>
      <c r="T84" s="6">
        <v>925.57</v>
      </c>
      <c r="U84" s="2"/>
      <c r="V84" s="7">
        <f t="shared" si="36"/>
        <v>2.9569152179500851E-4</v>
      </c>
      <c r="W84" s="2"/>
      <c r="X84" s="6">
        <f t="shared" si="37"/>
        <v>-925.57</v>
      </c>
      <c r="Y84" s="2"/>
      <c r="Z84" s="7">
        <f t="shared" si="38"/>
        <v>-1</v>
      </c>
    </row>
    <row r="85" spans="1:26" s="24" customFormat="1" hidden="1" outlineLevel="2" x14ac:dyDescent="0.25">
      <c r="A85" s="25"/>
      <c r="B85" s="11" t="str">
        <f>CONCATENATE("          ", "9175", " - ", "EARNED DISCOUNTS")</f>
        <v xml:space="preserve">          9175 - EARNED DISCOUNTS</v>
      </c>
      <c r="C85" s="11"/>
      <c r="D85" s="6">
        <v>-42.86</v>
      </c>
      <c r="E85" s="2"/>
      <c r="F85" s="7">
        <f t="shared" si="31"/>
        <v>-6.0546858776415498E-5</v>
      </c>
      <c r="G85" s="2"/>
      <c r="H85" s="6"/>
      <c r="I85" s="2"/>
      <c r="J85" s="7">
        <f t="shared" si="32"/>
        <v>0</v>
      </c>
      <c r="K85" s="2"/>
      <c r="L85" s="6">
        <f t="shared" si="33"/>
        <v>-42.86</v>
      </c>
      <c r="M85" s="2"/>
      <c r="N85" s="7">
        <f t="shared" si="34"/>
        <v>0</v>
      </c>
      <c r="O85" s="11"/>
      <c r="P85" s="6">
        <v>-42.86</v>
      </c>
      <c r="Q85" s="2"/>
      <c r="R85" s="7">
        <f t="shared" si="35"/>
        <v>-2.3763115558461914E-5</v>
      </c>
      <c r="S85" s="2"/>
      <c r="T85" s="6">
        <v>-433.63</v>
      </c>
      <c r="U85" s="2"/>
      <c r="V85" s="7">
        <f t="shared" si="36"/>
        <v>-1.3853162331965116E-4</v>
      </c>
      <c r="W85" s="2"/>
      <c r="X85" s="6">
        <f t="shared" si="37"/>
        <v>390.77</v>
      </c>
      <c r="Y85" s="2"/>
      <c r="Z85" s="7">
        <f t="shared" si="38"/>
        <v>-0.90115997509397405</v>
      </c>
    </row>
    <row r="86" spans="1:26" s="26" customFormat="1" outlineLevel="1" collapsed="1" x14ac:dyDescent="0.25">
      <c r="A86" s="27"/>
      <c r="B86" s="13" t="str">
        <f>CONCATENATE("     ","Employees' Appreciation                           ")</f>
        <v xml:space="preserve">     Employees' Appreciation                           </v>
      </c>
      <c r="C86" s="13"/>
      <c r="D86" s="1">
        <f>SUM(OSRRefD22_4x_0)</f>
        <v>0</v>
      </c>
      <c r="E86" s="1"/>
      <c r="F86" s="5">
        <f t="shared" ref="F86:F92" si="39">IF(D$12=0,0,D86/D$12)</f>
        <v>0</v>
      </c>
      <c r="G86" s="1"/>
      <c r="H86" s="1">
        <f>SUM(OSRRefH22_4x_0)</f>
        <v>0</v>
      </c>
      <c r="I86" s="1"/>
      <c r="J86" s="5">
        <f t="shared" ref="J86:J92" si="40">IF(H$12=0,0,H86/H$12)</f>
        <v>0</v>
      </c>
      <c r="K86" s="1"/>
      <c r="L86" s="1">
        <f t="shared" ref="L86:L92" si="41">+D86-H86</f>
        <v>0</v>
      </c>
      <c r="M86" s="1"/>
      <c r="N86" s="5">
        <f t="shared" ref="N86:N92" si="42">IF(H86=0,0,L86/H86)</f>
        <v>0</v>
      </c>
      <c r="O86" s="13"/>
      <c r="P86" s="1">
        <f>SUM(OSRRefP22_4x_0)</f>
        <v>107.7</v>
      </c>
      <c r="Q86" s="1"/>
      <c r="R86" s="5">
        <f t="shared" ref="R86:R92" si="43">IF(P$12=0,0,P86/P$12)</f>
        <v>5.9712728549844802E-5</v>
      </c>
      <c r="S86" s="1"/>
      <c r="T86" s="1">
        <f>SUM(OSRRefT22_4x_0)</f>
        <v>37.880000000000003</v>
      </c>
      <c r="U86" s="1"/>
      <c r="V86" s="5">
        <f t="shared" ref="V86:V92" si="44">IF(T$12=0,0,T86/T$12)</f>
        <v>1.210151025378407E-5</v>
      </c>
      <c r="W86" s="1"/>
      <c r="X86" s="1">
        <f t="shared" ref="X86:X92" si="45">+P86-T86</f>
        <v>69.819999999999993</v>
      </c>
      <c r="Y86" s="1"/>
      <c r="Z86" s="5">
        <f t="shared" ref="Z86:Z92" si="46">IF(T86=0,0,X86/T86)</f>
        <v>1.8431890179514252</v>
      </c>
    </row>
    <row r="87" spans="1:26" s="24" customFormat="1" hidden="1" outlineLevel="2" x14ac:dyDescent="0.25">
      <c r="A87" s="25"/>
      <c r="B87" s="11" t="str">
        <f>CONCATENATE("          ", "6277", " - ", "EMPLOYEE APPRECIATION")</f>
        <v xml:space="preserve">          6277 - EMPLOYEE APPRECIATION</v>
      </c>
      <c r="C87" s="11"/>
      <c r="D87" s="6"/>
      <c r="E87" s="2"/>
      <c r="F87" s="7">
        <f t="shared" si="39"/>
        <v>0</v>
      </c>
      <c r="G87" s="2"/>
      <c r="H87" s="6"/>
      <c r="I87" s="2"/>
      <c r="J87" s="7">
        <f t="shared" si="40"/>
        <v>0</v>
      </c>
      <c r="K87" s="2"/>
      <c r="L87" s="6">
        <f t="shared" si="41"/>
        <v>0</v>
      </c>
      <c r="M87" s="2"/>
      <c r="N87" s="7">
        <f t="shared" si="42"/>
        <v>0</v>
      </c>
      <c r="O87" s="11"/>
      <c r="P87" s="6">
        <v>107.7</v>
      </c>
      <c r="Q87" s="2"/>
      <c r="R87" s="7">
        <f t="shared" si="43"/>
        <v>5.9712728549844802E-5</v>
      </c>
      <c r="S87" s="2"/>
      <c r="T87" s="6">
        <v>37.880000000000003</v>
      </c>
      <c r="U87" s="2"/>
      <c r="V87" s="7">
        <f t="shared" si="44"/>
        <v>1.210151025378407E-5</v>
      </c>
      <c r="W87" s="2"/>
      <c r="X87" s="6">
        <f t="shared" si="45"/>
        <v>69.819999999999993</v>
      </c>
      <c r="Y87" s="2"/>
      <c r="Z87" s="7">
        <f t="shared" si="46"/>
        <v>1.8431890179514252</v>
      </c>
    </row>
    <row r="88" spans="1:26" s="26" customFormat="1" outlineLevel="1" collapsed="1" x14ac:dyDescent="0.25">
      <c r="A88" s="27"/>
      <c r="B88" s="13" t="str">
        <f>CONCATENATE("     ","Equipment Rental                                  ")</f>
        <v xml:space="preserve">     Equipment Rental                                  </v>
      </c>
      <c r="C88" s="13"/>
      <c r="D88" s="1">
        <f>SUM(OSRRefD22_5x_0)</f>
        <v>91.26</v>
      </c>
      <c r="E88" s="1"/>
      <c r="F88" s="5">
        <f t="shared" si="39"/>
        <v>1.2891988641940456E-4</v>
      </c>
      <c r="G88" s="1"/>
      <c r="H88" s="1">
        <f>SUM(OSRRefH22_5x_0)</f>
        <v>91.26</v>
      </c>
      <c r="I88" s="1"/>
      <c r="J88" s="5">
        <f t="shared" si="40"/>
        <v>8.3501985047874323E-5</v>
      </c>
      <c r="K88" s="1"/>
      <c r="L88" s="1">
        <f t="shared" si="41"/>
        <v>0</v>
      </c>
      <c r="M88" s="1"/>
      <c r="N88" s="5">
        <f t="shared" si="42"/>
        <v>0</v>
      </c>
      <c r="O88" s="13"/>
      <c r="P88" s="1">
        <f>SUM(OSRRefP22_5x_0)</f>
        <v>638.82000000000005</v>
      </c>
      <c r="Q88" s="1"/>
      <c r="R88" s="5">
        <f t="shared" si="43"/>
        <v>3.5418463558228278E-4</v>
      </c>
      <c r="S88" s="1"/>
      <c r="T88" s="1">
        <f>SUM(OSRRefT22_5x_0)</f>
        <v>638.82000000000005</v>
      </c>
      <c r="U88" s="1"/>
      <c r="V88" s="5">
        <f t="shared" si="44"/>
        <v>2.0408360032529935E-4</v>
      </c>
      <c r="W88" s="1"/>
      <c r="X88" s="1">
        <f t="shared" si="45"/>
        <v>0</v>
      </c>
      <c r="Y88" s="1"/>
      <c r="Z88" s="5">
        <f t="shared" si="46"/>
        <v>0</v>
      </c>
    </row>
    <row r="89" spans="1:26" s="24" customFormat="1" hidden="1" outlineLevel="2" x14ac:dyDescent="0.25">
      <c r="A89" s="25"/>
      <c r="B89" s="11" t="str">
        <f>CONCATENATE("          ", "6351", " - ", "EQUIPMENT RENTAL")</f>
        <v xml:space="preserve">          6351 - EQUIPMENT RENTAL</v>
      </c>
      <c r="C89" s="11"/>
      <c r="D89" s="6">
        <v>91.26</v>
      </c>
      <c r="E89" s="2"/>
      <c r="F89" s="7">
        <f t="shared" si="39"/>
        <v>1.2891988641940456E-4</v>
      </c>
      <c r="G89" s="2"/>
      <c r="H89" s="6">
        <v>91.26</v>
      </c>
      <c r="I89" s="2"/>
      <c r="J89" s="7">
        <f t="shared" si="40"/>
        <v>8.3501985047874323E-5</v>
      </c>
      <c r="K89" s="2"/>
      <c r="L89" s="6">
        <f t="shared" si="41"/>
        <v>0</v>
      </c>
      <c r="M89" s="2"/>
      <c r="N89" s="7">
        <f t="shared" si="42"/>
        <v>0</v>
      </c>
      <c r="O89" s="11"/>
      <c r="P89" s="6">
        <v>638.82000000000005</v>
      </c>
      <c r="Q89" s="2"/>
      <c r="R89" s="7">
        <f t="shared" si="43"/>
        <v>3.5418463558228278E-4</v>
      </c>
      <c r="S89" s="2"/>
      <c r="T89" s="6">
        <v>638.82000000000005</v>
      </c>
      <c r="U89" s="2"/>
      <c r="V89" s="7">
        <f t="shared" si="44"/>
        <v>2.0408360032529935E-4</v>
      </c>
      <c r="W89" s="2"/>
      <c r="X89" s="6">
        <f t="shared" si="45"/>
        <v>0</v>
      </c>
      <c r="Y89" s="2"/>
      <c r="Z89" s="7">
        <f t="shared" si="46"/>
        <v>0</v>
      </c>
    </row>
    <row r="90" spans="1:26" s="26" customFormat="1" outlineLevel="1" collapsed="1" x14ac:dyDescent="0.25">
      <c r="A90" s="27"/>
      <c r="B90" s="13" t="str">
        <f>CONCATENATE("     ","Freight out/Postage                               ")</f>
        <v xml:space="preserve">     Freight out/Postage                               </v>
      </c>
      <c r="C90" s="13"/>
      <c r="D90" s="1">
        <f>SUM(OSRRefD22_6x_0)</f>
        <v>272.02</v>
      </c>
      <c r="E90" s="1"/>
      <c r="F90" s="5">
        <f t="shared" si="39"/>
        <v>3.842733673439231E-4</v>
      </c>
      <c r="G90" s="1"/>
      <c r="H90" s="1">
        <f>SUM(OSRRefH22_6x_0)</f>
        <v>11.489999999999998</v>
      </c>
      <c r="I90" s="1"/>
      <c r="J90" s="5">
        <f t="shared" si="40"/>
        <v>1.0513234803857942E-5</v>
      </c>
      <c r="K90" s="1"/>
      <c r="L90" s="1">
        <f t="shared" si="41"/>
        <v>260.52999999999997</v>
      </c>
      <c r="M90" s="1"/>
      <c r="N90" s="5">
        <f t="shared" si="42"/>
        <v>22.674499564838992</v>
      </c>
      <c r="O90" s="13"/>
      <c r="P90" s="1">
        <f>SUM(OSRRefP22_6x_0)</f>
        <v>9170.0499999999993</v>
      </c>
      <c r="Q90" s="1"/>
      <c r="R90" s="5">
        <f t="shared" si="43"/>
        <v>5.0842034024002249E-3</v>
      </c>
      <c r="S90" s="1"/>
      <c r="T90" s="1">
        <f>SUM(OSRRefT22_6x_0)</f>
        <v>11953.390000000001</v>
      </c>
      <c r="U90" s="1"/>
      <c r="V90" s="5">
        <f t="shared" si="44"/>
        <v>3.8187452917761342E-3</v>
      </c>
      <c r="W90" s="1"/>
      <c r="X90" s="1">
        <f t="shared" si="45"/>
        <v>-2783.340000000002</v>
      </c>
      <c r="Y90" s="1"/>
      <c r="Z90" s="5">
        <f t="shared" si="46"/>
        <v>-0.23284942597873923</v>
      </c>
    </row>
    <row r="91" spans="1:26" s="24" customFormat="1" hidden="1" outlineLevel="2" x14ac:dyDescent="0.25">
      <c r="A91" s="25"/>
      <c r="B91" s="11" t="str">
        <f>CONCATENATE("          ", "6305", " - ", "FREIGHT OUT")</f>
        <v xml:space="preserve">          6305 - FREIGHT OUT</v>
      </c>
      <c r="C91" s="11"/>
      <c r="D91" s="6">
        <v>571.52</v>
      </c>
      <c r="E91" s="2"/>
      <c r="F91" s="7">
        <f t="shared" si="39"/>
        <v>8.0736679253142754E-4</v>
      </c>
      <c r="G91" s="2"/>
      <c r="H91" s="6">
        <v>10.54</v>
      </c>
      <c r="I91" s="2"/>
      <c r="J91" s="7">
        <f t="shared" si="40"/>
        <v>9.6439943283431433E-6</v>
      </c>
      <c r="K91" s="2"/>
      <c r="L91" s="6">
        <f t="shared" si="41"/>
        <v>560.98</v>
      </c>
      <c r="M91" s="2"/>
      <c r="N91" s="7">
        <f t="shared" si="42"/>
        <v>53.223908918406082</v>
      </c>
      <c r="O91" s="11"/>
      <c r="P91" s="6">
        <v>9169.5499999999993</v>
      </c>
      <c r="Q91" s="2"/>
      <c r="R91" s="7">
        <f t="shared" si="43"/>
        <v>5.0839261845332341E-3</v>
      </c>
      <c r="S91" s="2"/>
      <c r="T91" s="6">
        <v>11951.94</v>
      </c>
      <c r="U91" s="2"/>
      <c r="V91" s="7">
        <f t="shared" si="44"/>
        <v>3.8182820607870109E-3</v>
      </c>
      <c r="W91" s="2"/>
      <c r="X91" s="6">
        <f t="shared" si="45"/>
        <v>-2782.3900000000012</v>
      </c>
      <c r="Y91" s="2"/>
      <c r="Z91" s="7">
        <f t="shared" si="46"/>
        <v>-0.23279819008462235</v>
      </c>
    </row>
    <row r="92" spans="1:26" s="24" customFormat="1" hidden="1" outlineLevel="2" x14ac:dyDescent="0.25">
      <c r="A92" s="25"/>
      <c r="B92" s="11" t="str">
        <f>CONCATENATE("          ", "6307", " - ", "POSTAGE")</f>
        <v xml:space="preserve">          6307 - POSTAGE</v>
      </c>
      <c r="C92" s="11"/>
      <c r="D92" s="6">
        <v>-299.5</v>
      </c>
      <c r="E92" s="2"/>
      <c r="F92" s="7">
        <f t="shared" si="39"/>
        <v>-4.2309342518750449E-4</v>
      </c>
      <c r="G92" s="2"/>
      <c r="H92" s="6">
        <v>0.95</v>
      </c>
      <c r="I92" s="2"/>
      <c r="J92" s="7">
        <f t="shared" si="40"/>
        <v>8.6924047551479946E-7</v>
      </c>
      <c r="K92" s="2"/>
      <c r="L92" s="6">
        <f t="shared" si="41"/>
        <v>-300.45</v>
      </c>
      <c r="M92" s="2"/>
      <c r="N92" s="7">
        <f t="shared" si="42"/>
        <v>-316.26315789473682</v>
      </c>
      <c r="O92" s="11"/>
      <c r="P92" s="6">
        <v>0.5</v>
      </c>
      <c r="Q92" s="2"/>
      <c r="R92" s="7">
        <f t="shared" si="43"/>
        <v>2.7721786699092291E-7</v>
      </c>
      <c r="S92" s="2"/>
      <c r="T92" s="6">
        <v>1.45</v>
      </c>
      <c r="U92" s="2"/>
      <c r="V92" s="7">
        <f t="shared" si="44"/>
        <v>4.632309891232022E-7</v>
      </c>
      <c r="W92" s="2"/>
      <c r="X92" s="6">
        <f t="shared" si="45"/>
        <v>-0.95</v>
      </c>
      <c r="Y92" s="2"/>
      <c r="Z92" s="7">
        <f t="shared" si="46"/>
        <v>-0.65517241379310343</v>
      </c>
    </row>
    <row r="93" spans="1:26" s="26" customFormat="1" outlineLevel="1" collapsed="1" x14ac:dyDescent="0.25">
      <c r="A93" s="27"/>
      <c r="B93" s="13" t="str">
        <f>CONCATENATE("     ","General                                           ")</f>
        <v xml:space="preserve">     General                                           </v>
      </c>
      <c r="C93" s="13"/>
      <c r="D93" s="1">
        <f>SUM(OSRRefD22_7x_0)</f>
        <v>4.63</v>
      </c>
      <c r="E93" s="1"/>
      <c r="F93" s="5">
        <f t="shared" ref="F93:F99" si="47">IF(D$12=0,0,D93/D$12)</f>
        <v>6.5406429336165132E-6</v>
      </c>
      <c r="G93" s="1"/>
      <c r="H93" s="1">
        <f>SUM(OSRRefH22_7x_0)</f>
        <v>100.16</v>
      </c>
      <c r="I93" s="1"/>
      <c r="J93" s="5">
        <f t="shared" ref="J93:J99" si="48">IF(H$12=0,0,H93/H$12)</f>
        <v>9.1645395818486651E-5</v>
      </c>
      <c r="K93" s="1"/>
      <c r="L93" s="1">
        <f t="shared" ref="L93:L99" si="49">+D93-H93</f>
        <v>-95.53</v>
      </c>
      <c r="M93" s="1"/>
      <c r="N93" s="5">
        <f t="shared" ref="N93:N99" si="50">IF(H93=0,0,L93/H93)</f>
        <v>-0.95377396166134187</v>
      </c>
      <c r="O93" s="13"/>
      <c r="P93" s="1">
        <f>SUM(OSRRefP22_7x_0)</f>
        <v>-1037.82</v>
      </c>
      <c r="Q93" s="1"/>
      <c r="R93" s="5">
        <f t="shared" ref="R93:R99" si="51">IF(P$12=0,0,P93/P$12)</f>
        <v>-5.7540449344103918E-4</v>
      </c>
      <c r="S93" s="1"/>
      <c r="T93" s="1">
        <f>SUM(OSRRefT22_7x_0)</f>
        <v>8253.06</v>
      </c>
      <c r="U93" s="1"/>
      <c r="V93" s="5">
        <f t="shared" ref="V93:V99" si="52">IF(T$12=0,0,T93/T$12)</f>
        <v>2.6366021704090589E-3</v>
      </c>
      <c r="W93" s="1"/>
      <c r="X93" s="1">
        <f t="shared" ref="X93:X99" si="53">+P93-T93</f>
        <v>-9290.8799999999992</v>
      </c>
      <c r="Y93" s="1"/>
      <c r="Z93" s="5">
        <f t="shared" ref="Z93:Z99" si="54">IF(T93=0,0,X93/T93)</f>
        <v>-1.1257497219213237</v>
      </c>
    </row>
    <row r="94" spans="1:26" s="24" customFormat="1" hidden="1" outlineLevel="2" x14ac:dyDescent="0.25">
      <c r="A94" s="25"/>
      <c r="B94" s="11" t="str">
        <f>CONCATENATE("          ", "6279", " - ", "GENERAL EXPENSE")</f>
        <v xml:space="preserve">          6279 - GENERAL EXPENSE</v>
      </c>
      <c r="C94" s="11"/>
      <c r="D94" s="6">
        <v>4.63</v>
      </c>
      <c r="E94" s="2"/>
      <c r="F94" s="7">
        <f t="shared" si="47"/>
        <v>6.5406429336165132E-6</v>
      </c>
      <c r="G94" s="2"/>
      <c r="H94" s="6">
        <v>100.16</v>
      </c>
      <c r="I94" s="2"/>
      <c r="J94" s="7">
        <f t="shared" si="48"/>
        <v>9.1645395818486651E-5</v>
      </c>
      <c r="K94" s="2"/>
      <c r="L94" s="6">
        <f t="shared" si="49"/>
        <v>-95.53</v>
      </c>
      <c r="M94" s="2"/>
      <c r="N94" s="7">
        <f t="shared" si="50"/>
        <v>-0.95377396166134187</v>
      </c>
      <c r="O94" s="11"/>
      <c r="P94" s="6">
        <v>-1037.82</v>
      </c>
      <c r="Q94" s="2"/>
      <c r="R94" s="7">
        <f t="shared" si="51"/>
        <v>-5.7540449344103918E-4</v>
      </c>
      <c r="S94" s="2"/>
      <c r="T94" s="6">
        <v>8253.06</v>
      </c>
      <c r="U94" s="2"/>
      <c r="V94" s="7">
        <f t="shared" si="52"/>
        <v>2.6366021704090589E-3</v>
      </c>
      <c r="W94" s="2"/>
      <c r="X94" s="6">
        <f t="shared" si="53"/>
        <v>-9290.8799999999992</v>
      </c>
      <c r="Y94" s="2"/>
      <c r="Z94" s="7">
        <f t="shared" si="54"/>
        <v>-1.1257497219213237</v>
      </c>
    </row>
    <row r="95" spans="1:26" s="26" customFormat="1" outlineLevel="1" collapsed="1" x14ac:dyDescent="0.25">
      <c r="A95" s="27"/>
      <c r="B95" s="13" t="str">
        <f>CONCATENATE("     ","Inventory Adjustment                              ")</f>
        <v xml:space="preserve">     Inventory Adjustment                              </v>
      </c>
      <c r="C95" s="13"/>
      <c r="D95" s="1">
        <f>SUM(OSRRefD22_8x_0)</f>
        <v>1000</v>
      </c>
      <c r="E95" s="1"/>
      <c r="F95" s="5">
        <f t="shared" si="47"/>
        <v>1.4126658603923355E-3</v>
      </c>
      <c r="G95" s="1"/>
      <c r="H95" s="1">
        <f>SUM(OSRRefH22_8x_0)</f>
        <v>1000</v>
      </c>
      <c r="I95" s="1"/>
      <c r="J95" s="5">
        <f t="shared" si="48"/>
        <v>9.1498997422610479E-4</v>
      </c>
      <c r="K95" s="1"/>
      <c r="L95" s="1">
        <f t="shared" si="49"/>
        <v>0</v>
      </c>
      <c r="M95" s="1"/>
      <c r="N95" s="5">
        <f t="shared" si="50"/>
        <v>0</v>
      </c>
      <c r="O95" s="13"/>
      <c r="P95" s="1">
        <f>SUM(OSRRefP22_8x_0)</f>
        <v>12000</v>
      </c>
      <c r="Q95" s="1"/>
      <c r="R95" s="5">
        <f t="shared" si="51"/>
        <v>6.6532288077821499E-3</v>
      </c>
      <c r="S95" s="1"/>
      <c r="T95" s="1">
        <f>SUM(OSRRefT22_8x_0)</f>
        <v>12800</v>
      </c>
      <c r="U95" s="1"/>
      <c r="V95" s="5">
        <f t="shared" si="52"/>
        <v>4.0892114901910264E-3</v>
      </c>
      <c r="W95" s="1"/>
      <c r="X95" s="1">
        <f t="shared" si="53"/>
        <v>-800</v>
      </c>
      <c r="Y95" s="1"/>
      <c r="Z95" s="5">
        <f t="shared" si="54"/>
        <v>-6.25E-2</v>
      </c>
    </row>
    <row r="96" spans="1:26" s="24" customFormat="1" hidden="1" outlineLevel="2" x14ac:dyDescent="0.25">
      <c r="A96" s="25"/>
      <c r="B96" s="11" t="str">
        <f>CONCATENATE("          ", "6408", " - ", "INVENTORY ADJUSTMENT")</f>
        <v xml:space="preserve">          6408 - INVENTORY ADJUSTMENT</v>
      </c>
      <c r="C96" s="11"/>
      <c r="D96" s="6">
        <v>1000</v>
      </c>
      <c r="E96" s="2"/>
      <c r="F96" s="7">
        <f t="shared" si="47"/>
        <v>1.4126658603923355E-3</v>
      </c>
      <c r="G96" s="2"/>
      <c r="H96" s="6">
        <v>1000</v>
      </c>
      <c r="I96" s="2"/>
      <c r="J96" s="7">
        <f t="shared" si="48"/>
        <v>9.1498997422610479E-4</v>
      </c>
      <c r="K96" s="2"/>
      <c r="L96" s="6">
        <f t="shared" si="49"/>
        <v>0</v>
      </c>
      <c r="M96" s="2"/>
      <c r="N96" s="7">
        <f t="shared" si="50"/>
        <v>0</v>
      </c>
      <c r="O96" s="11"/>
      <c r="P96" s="6">
        <v>12000</v>
      </c>
      <c r="Q96" s="2"/>
      <c r="R96" s="7">
        <f t="shared" si="51"/>
        <v>6.6532288077821499E-3</v>
      </c>
      <c r="S96" s="2"/>
      <c r="T96" s="6">
        <v>12800</v>
      </c>
      <c r="U96" s="2"/>
      <c r="V96" s="7">
        <f t="shared" si="52"/>
        <v>4.0892114901910264E-3</v>
      </c>
      <c r="W96" s="2"/>
      <c r="X96" s="6">
        <f t="shared" si="53"/>
        <v>-800</v>
      </c>
      <c r="Y96" s="2"/>
      <c r="Z96" s="7">
        <f t="shared" si="54"/>
        <v>-6.25E-2</v>
      </c>
    </row>
    <row r="97" spans="1:26" s="26" customFormat="1" outlineLevel="1" collapsed="1" x14ac:dyDescent="0.25">
      <c r="A97" s="27"/>
      <c r="B97" s="13" t="str">
        <f>CONCATENATE("     ","Repair and Maintenance                            ")</f>
        <v xml:space="preserve">     Repair and Maintenance                            </v>
      </c>
      <c r="C97" s="13"/>
      <c r="D97" s="1">
        <f>SUM(OSRRefD22_9x_0)</f>
        <v>17.91</v>
      </c>
      <c r="E97" s="1"/>
      <c r="F97" s="5">
        <f t="shared" si="47"/>
        <v>2.530084555962673E-5</v>
      </c>
      <c r="G97" s="1"/>
      <c r="H97" s="1">
        <f>SUM(OSRRefH22_9x_0)</f>
        <v>0</v>
      </c>
      <c r="I97" s="1"/>
      <c r="J97" s="5">
        <f t="shared" si="48"/>
        <v>0</v>
      </c>
      <c r="K97" s="1"/>
      <c r="L97" s="1">
        <f t="shared" si="49"/>
        <v>17.91</v>
      </c>
      <c r="M97" s="1"/>
      <c r="N97" s="5">
        <f t="shared" si="50"/>
        <v>0</v>
      </c>
      <c r="O97" s="13"/>
      <c r="P97" s="1">
        <f>SUM(OSRRefP22_9x_0)</f>
        <v>167.38</v>
      </c>
      <c r="Q97" s="1"/>
      <c r="R97" s="5">
        <f t="shared" si="51"/>
        <v>9.2801453153881357E-5</v>
      </c>
      <c r="S97" s="1"/>
      <c r="T97" s="1">
        <f>SUM(OSRRefT22_9x_0)</f>
        <v>143.16</v>
      </c>
      <c r="U97" s="1"/>
      <c r="V97" s="5">
        <f t="shared" si="52"/>
        <v>4.5735274760605261E-5</v>
      </c>
      <c r="W97" s="1"/>
      <c r="X97" s="1">
        <f t="shared" si="53"/>
        <v>24.22</v>
      </c>
      <c r="Y97" s="1"/>
      <c r="Z97" s="5">
        <f t="shared" si="54"/>
        <v>0.16918133556859458</v>
      </c>
    </row>
    <row r="98" spans="1:26" s="24" customFormat="1" hidden="1" outlineLevel="2" x14ac:dyDescent="0.25">
      <c r="A98" s="25"/>
      <c r="B98" s="11" t="str">
        <f>CONCATENATE("          ", "6373", " - ", "MAINTENANCE CONTRACTS")</f>
        <v xml:space="preserve">          6373 - MAINTENANCE CONTRACTS</v>
      </c>
      <c r="C98" s="11"/>
      <c r="D98" s="6">
        <v>17.91</v>
      </c>
      <c r="E98" s="2"/>
      <c r="F98" s="7">
        <f t="shared" si="47"/>
        <v>2.530084555962673E-5</v>
      </c>
      <c r="G98" s="2"/>
      <c r="H98" s="6"/>
      <c r="I98" s="2"/>
      <c r="J98" s="7">
        <f t="shared" si="48"/>
        <v>0</v>
      </c>
      <c r="K98" s="2"/>
      <c r="L98" s="6">
        <f t="shared" si="49"/>
        <v>17.91</v>
      </c>
      <c r="M98" s="2"/>
      <c r="N98" s="7">
        <f t="shared" si="50"/>
        <v>0</v>
      </c>
      <c r="O98" s="11"/>
      <c r="P98" s="6">
        <v>142.27000000000001</v>
      </c>
      <c r="Q98" s="2"/>
      <c r="R98" s="7">
        <f t="shared" si="51"/>
        <v>7.8879571873597212E-5</v>
      </c>
      <c r="S98" s="2"/>
      <c r="T98" s="6">
        <v>143.16</v>
      </c>
      <c r="U98" s="2"/>
      <c r="V98" s="7">
        <f t="shared" si="52"/>
        <v>4.5735274760605261E-5</v>
      </c>
      <c r="W98" s="2"/>
      <c r="X98" s="6">
        <f t="shared" si="53"/>
        <v>-0.88999999999998636</v>
      </c>
      <c r="Y98" s="2"/>
      <c r="Z98" s="7">
        <f t="shared" si="54"/>
        <v>-6.2168203408772445E-3</v>
      </c>
    </row>
    <row r="99" spans="1:26" s="24" customFormat="1" hidden="1" outlineLevel="2" x14ac:dyDescent="0.25">
      <c r="A99" s="25"/>
      <c r="B99" s="11" t="str">
        <f>CONCATENATE("          ", "6375", " - ", "OUTSIDE REPAIRS &amp; MAINTENANCE")</f>
        <v xml:space="preserve">          6375 - OUTSIDE REPAIRS &amp; MAINTENANCE</v>
      </c>
      <c r="C99" s="11"/>
      <c r="D99" s="6"/>
      <c r="E99" s="2"/>
      <c r="F99" s="7">
        <f t="shared" si="47"/>
        <v>0</v>
      </c>
      <c r="G99" s="2"/>
      <c r="H99" s="6"/>
      <c r="I99" s="2"/>
      <c r="J99" s="7">
        <f t="shared" si="48"/>
        <v>0</v>
      </c>
      <c r="K99" s="2"/>
      <c r="L99" s="6">
        <f t="shared" si="49"/>
        <v>0</v>
      </c>
      <c r="M99" s="2"/>
      <c r="N99" s="7">
        <f t="shared" si="50"/>
        <v>0</v>
      </c>
      <c r="O99" s="11"/>
      <c r="P99" s="6">
        <v>25.11</v>
      </c>
      <c r="Q99" s="2"/>
      <c r="R99" s="7">
        <f t="shared" si="51"/>
        <v>1.3921881280284149E-5</v>
      </c>
      <c r="S99" s="2"/>
      <c r="T99" s="6"/>
      <c r="U99" s="2"/>
      <c r="V99" s="7">
        <f t="shared" si="52"/>
        <v>0</v>
      </c>
      <c r="W99" s="2"/>
      <c r="X99" s="6">
        <f t="shared" si="53"/>
        <v>25.11</v>
      </c>
      <c r="Y99" s="2"/>
      <c r="Z99" s="7">
        <f t="shared" si="54"/>
        <v>0</v>
      </c>
    </row>
    <row r="100" spans="1:26" s="26" customFormat="1" outlineLevel="1" collapsed="1" x14ac:dyDescent="0.25">
      <c r="A100" s="27"/>
      <c r="B100" s="13" t="str">
        <f>CONCATENATE("     ","Subscriptions &amp; Dues                              ")</f>
        <v xml:space="preserve">     Subscriptions &amp; Dues                              </v>
      </c>
      <c r="C100" s="13"/>
      <c r="D100" s="1">
        <f>SUM(OSRRefD22_10x_0)</f>
        <v>2180.9899999999998</v>
      </c>
      <c r="E100" s="1"/>
      <c r="F100" s="5">
        <f t="shared" ref="F100:F102" si="55">IF(D$12=0,0,D100/D$12)</f>
        <v>3.0810101148570795E-3</v>
      </c>
      <c r="G100" s="1"/>
      <c r="H100" s="1">
        <f>SUM(OSRRefH22_10x_0)</f>
        <v>258.10000000000002</v>
      </c>
      <c r="I100" s="1"/>
      <c r="J100" s="5">
        <f t="shared" ref="J100:J102" si="56">IF(H$12=0,0,H100/H$12)</f>
        <v>2.3615891234775766E-4</v>
      </c>
      <c r="K100" s="1"/>
      <c r="L100" s="1">
        <f t="shared" ref="L100:L102" si="57">+D100-H100</f>
        <v>1922.8899999999999</v>
      </c>
      <c r="M100" s="1"/>
      <c r="N100" s="5">
        <f t="shared" ref="N100:N102" si="58">IF(H100=0,0,L100/H100)</f>
        <v>7.4501743510267326</v>
      </c>
      <c r="O100" s="13"/>
      <c r="P100" s="1">
        <f>SUM(OSRRefP22_10x_0)</f>
        <v>3912.43</v>
      </c>
      <c r="Q100" s="1"/>
      <c r="R100" s="5">
        <f t="shared" ref="R100:R102" si="59">IF(P$12=0,0,P100/P$12)</f>
        <v>2.1691909987025929E-3</v>
      </c>
      <c r="S100" s="1"/>
      <c r="T100" s="1">
        <f>SUM(OSRRefT22_10x_0)</f>
        <v>1815.5</v>
      </c>
      <c r="U100" s="1"/>
      <c r="V100" s="5">
        <f t="shared" ref="V100:V102" si="60">IF(T$12=0,0,T100/T$12)</f>
        <v>5.7999714534701628E-4</v>
      </c>
      <c r="W100" s="1"/>
      <c r="X100" s="1">
        <f t="shared" ref="X100:X102" si="61">+P100-T100</f>
        <v>2096.9299999999998</v>
      </c>
      <c r="Y100" s="1"/>
      <c r="Z100" s="5">
        <f t="shared" ref="Z100:Z102" si="62">IF(T100=0,0,X100/T100)</f>
        <v>1.1550151473423298</v>
      </c>
    </row>
    <row r="101" spans="1:26" s="24" customFormat="1" hidden="1" outlineLevel="2" x14ac:dyDescent="0.25">
      <c r="A101" s="25"/>
      <c r="B101" s="11" t="str">
        <f>CONCATENATE("          ", "6258", " - ", "MEMBERSHIP DUES")</f>
        <v xml:space="preserve">          6258 - MEMBERSHIP DUES</v>
      </c>
      <c r="C101" s="11"/>
      <c r="D101" s="6">
        <v>328.91</v>
      </c>
      <c r="E101" s="2"/>
      <c r="F101" s="7">
        <f t="shared" si="55"/>
        <v>4.6463992814164311E-4</v>
      </c>
      <c r="G101" s="2"/>
      <c r="H101" s="6">
        <v>258.10000000000002</v>
      </c>
      <c r="I101" s="2"/>
      <c r="J101" s="7">
        <f t="shared" si="56"/>
        <v>2.3615891234775766E-4</v>
      </c>
      <c r="K101" s="2"/>
      <c r="L101" s="6">
        <f t="shared" si="57"/>
        <v>70.81</v>
      </c>
      <c r="M101" s="2"/>
      <c r="N101" s="7">
        <f t="shared" si="58"/>
        <v>0.27435102673382411</v>
      </c>
      <c r="O101" s="11"/>
      <c r="P101" s="6">
        <v>2060.35</v>
      </c>
      <c r="Q101" s="2"/>
      <c r="R101" s="7">
        <f t="shared" si="59"/>
        <v>1.1423316645094959E-3</v>
      </c>
      <c r="S101" s="2"/>
      <c r="T101" s="6">
        <v>1815.5</v>
      </c>
      <c r="U101" s="2"/>
      <c r="V101" s="7">
        <f t="shared" si="60"/>
        <v>5.7999714534701628E-4</v>
      </c>
      <c r="W101" s="2"/>
      <c r="X101" s="6">
        <f t="shared" si="61"/>
        <v>244.84999999999991</v>
      </c>
      <c r="Y101" s="2"/>
      <c r="Z101" s="7">
        <f t="shared" si="62"/>
        <v>0.13486642798127232</v>
      </c>
    </row>
    <row r="102" spans="1:26" s="24" customFormat="1" hidden="1" outlineLevel="2" x14ac:dyDescent="0.25">
      <c r="A102" s="25"/>
      <c r="B102" s="11" t="str">
        <f>CONCATENATE("          ", "6275", " - ", "SUBSCRIPTIONS")</f>
        <v xml:space="preserve">          6275 - SUBSCRIPTIONS</v>
      </c>
      <c r="C102" s="11"/>
      <c r="D102" s="6">
        <v>1852.08</v>
      </c>
      <c r="E102" s="2"/>
      <c r="F102" s="7">
        <f t="shared" si="55"/>
        <v>2.6163701867154368E-3</v>
      </c>
      <c r="G102" s="2"/>
      <c r="H102" s="6"/>
      <c r="I102" s="2"/>
      <c r="J102" s="7">
        <f t="shared" si="56"/>
        <v>0</v>
      </c>
      <c r="K102" s="2"/>
      <c r="L102" s="6">
        <f t="shared" si="57"/>
        <v>1852.08</v>
      </c>
      <c r="M102" s="2"/>
      <c r="N102" s="7">
        <f t="shared" si="58"/>
        <v>0</v>
      </c>
      <c r="O102" s="11"/>
      <c r="P102" s="6">
        <v>1852.08</v>
      </c>
      <c r="Q102" s="2"/>
      <c r="R102" s="7">
        <f t="shared" si="59"/>
        <v>1.026859334193097E-3</v>
      </c>
      <c r="S102" s="2"/>
      <c r="T102" s="6"/>
      <c r="U102" s="2"/>
      <c r="V102" s="7">
        <f t="shared" si="60"/>
        <v>0</v>
      </c>
      <c r="W102" s="2"/>
      <c r="X102" s="6">
        <f t="shared" si="61"/>
        <v>1852.08</v>
      </c>
      <c r="Y102" s="2"/>
      <c r="Z102" s="7">
        <f t="shared" si="62"/>
        <v>0</v>
      </c>
    </row>
    <row r="103" spans="1:26" s="26" customFormat="1" outlineLevel="1" collapsed="1" x14ac:dyDescent="0.25">
      <c r="A103" s="27"/>
      <c r="B103" s="13" t="str">
        <f>CONCATENATE("     ","Supplies                                          ")</f>
        <v xml:space="preserve">     Supplies                                          </v>
      </c>
      <c r="C103" s="13"/>
      <c r="D103" s="1">
        <f>SUM(OSRRefD22_11x_0)</f>
        <v>2182.2599999999998</v>
      </c>
      <c r="E103" s="1"/>
      <c r="F103" s="5">
        <f t="shared" ref="F103:F106" si="63">IF(D$12=0,0,D103/D$12)</f>
        <v>3.082804200499778E-3</v>
      </c>
      <c r="G103" s="1"/>
      <c r="H103" s="1">
        <f>SUM(OSRRefH22_11x_0)</f>
        <v>220.28</v>
      </c>
      <c r="I103" s="1"/>
      <c r="J103" s="5">
        <f t="shared" ref="J103:J106" si="64">IF(H$12=0,0,H103/H$12)</f>
        <v>2.0155399152252637E-4</v>
      </c>
      <c r="K103" s="1"/>
      <c r="L103" s="1">
        <f t="shared" ref="L103:L106" si="65">+D103-H103</f>
        <v>1961.9799999999998</v>
      </c>
      <c r="M103" s="1"/>
      <c r="N103" s="5">
        <f t="shared" ref="N103:N106" si="66">IF(H103=0,0,L103/H103)</f>
        <v>8.9067550390412187</v>
      </c>
      <c r="O103" s="13"/>
      <c r="P103" s="1">
        <f>SUM(OSRRefP22_11x_0)</f>
        <v>4251.8999999999996</v>
      </c>
      <c r="Q103" s="1"/>
      <c r="R103" s="5">
        <f t="shared" ref="R103:R106" si="67">IF(P$12=0,0,P103/P$12)</f>
        <v>2.3574052973174102E-3</v>
      </c>
      <c r="S103" s="1"/>
      <c r="T103" s="1">
        <f>SUM(OSRRefT22_11x_0)</f>
        <v>9643.3300000000017</v>
      </c>
      <c r="U103" s="1"/>
      <c r="V103" s="5">
        <f t="shared" ref="V103:V106" si="68">IF(T$12=0,0,T103/T$12)</f>
        <v>3.0807512374768625E-3</v>
      </c>
      <c r="W103" s="1"/>
      <c r="X103" s="1">
        <f t="shared" ref="X103:X106" si="69">+P103-T103</f>
        <v>-5391.4300000000021</v>
      </c>
      <c r="Y103" s="1"/>
      <c r="Z103" s="5">
        <f t="shared" ref="Z103:Z106" si="70">IF(T103=0,0,X103/T103)</f>
        <v>-0.55908384344412165</v>
      </c>
    </row>
    <row r="104" spans="1:26" s="24" customFormat="1" hidden="1" outlineLevel="2" x14ac:dyDescent="0.25">
      <c r="A104" s="25"/>
      <c r="B104" s="11" t="str">
        <f>CONCATENATE("          ", "6241", " - ", "OFFICE EXPENSE")</f>
        <v xml:space="preserve">          6241 - OFFICE EXPENSE</v>
      </c>
      <c r="C104" s="11"/>
      <c r="D104" s="6">
        <v>85.24</v>
      </c>
      <c r="E104" s="2"/>
      <c r="F104" s="7">
        <f t="shared" si="63"/>
        <v>1.2041563793984268E-4</v>
      </c>
      <c r="G104" s="2"/>
      <c r="H104" s="6">
        <v>220.28</v>
      </c>
      <c r="I104" s="2"/>
      <c r="J104" s="7">
        <f t="shared" si="64"/>
        <v>2.0155399152252637E-4</v>
      </c>
      <c r="K104" s="2"/>
      <c r="L104" s="6">
        <f t="shared" si="65"/>
        <v>-135.04000000000002</v>
      </c>
      <c r="M104" s="2"/>
      <c r="N104" s="7">
        <f t="shared" si="66"/>
        <v>-0.61303795169783926</v>
      </c>
      <c r="O104" s="11"/>
      <c r="P104" s="6">
        <v>1209.5999999999999</v>
      </c>
      <c r="Q104" s="2"/>
      <c r="R104" s="7">
        <f t="shared" si="67"/>
        <v>6.7064546382444065E-4</v>
      </c>
      <c r="S104" s="2"/>
      <c r="T104" s="6">
        <v>3804.21</v>
      </c>
      <c r="U104" s="2"/>
      <c r="V104" s="7">
        <f t="shared" si="68"/>
        <v>1.2153296283671567E-3</v>
      </c>
      <c r="W104" s="2"/>
      <c r="X104" s="6">
        <f t="shared" si="69"/>
        <v>-2594.61</v>
      </c>
      <c r="Y104" s="2"/>
      <c r="Z104" s="7">
        <f t="shared" si="70"/>
        <v>-0.68203648063592703</v>
      </c>
    </row>
    <row r="105" spans="1:26" s="24" customFormat="1" hidden="1" outlineLevel="2" x14ac:dyDescent="0.25">
      <c r="A105" s="25"/>
      <c r="B105" s="11" t="str">
        <f>CONCATENATE("          ", "6245", " - ", "PRINTING")</f>
        <v xml:space="preserve">          6245 - PRINTING</v>
      </c>
      <c r="C105" s="11"/>
      <c r="D105" s="6"/>
      <c r="E105" s="2"/>
      <c r="F105" s="7">
        <f t="shared" si="63"/>
        <v>0</v>
      </c>
      <c r="G105" s="2"/>
      <c r="H105" s="6"/>
      <c r="I105" s="2"/>
      <c r="J105" s="7">
        <f t="shared" si="64"/>
        <v>0</v>
      </c>
      <c r="K105" s="2"/>
      <c r="L105" s="6">
        <f t="shared" si="65"/>
        <v>0</v>
      </c>
      <c r="M105" s="2"/>
      <c r="N105" s="7">
        <f t="shared" si="66"/>
        <v>0</v>
      </c>
      <c r="O105" s="11"/>
      <c r="P105" s="6"/>
      <c r="Q105" s="2"/>
      <c r="R105" s="7">
        <f t="shared" si="67"/>
        <v>0</v>
      </c>
      <c r="S105" s="2"/>
      <c r="T105" s="6">
        <v>4978.08</v>
      </c>
      <c r="U105" s="2"/>
      <c r="V105" s="7">
        <f t="shared" si="68"/>
        <v>1.5903454636789175E-3</v>
      </c>
      <c r="W105" s="2"/>
      <c r="X105" s="6">
        <f t="shared" si="69"/>
        <v>-4978.08</v>
      </c>
      <c r="Y105" s="2"/>
      <c r="Z105" s="7">
        <f t="shared" si="70"/>
        <v>-1</v>
      </c>
    </row>
    <row r="106" spans="1:26" s="24" customFormat="1" hidden="1" outlineLevel="2" x14ac:dyDescent="0.25">
      <c r="A106" s="25"/>
      <c r="B106" s="11" t="str">
        <f>CONCATENATE("          ", "6247", " - ", "STORE SUPPLIES")</f>
        <v xml:space="preserve">          6247 - STORE SUPPLIES</v>
      </c>
      <c r="C106" s="11"/>
      <c r="D106" s="6">
        <v>2097.02</v>
      </c>
      <c r="E106" s="2"/>
      <c r="F106" s="7">
        <f t="shared" si="63"/>
        <v>2.9623885625599355E-3</v>
      </c>
      <c r="G106" s="2"/>
      <c r="H106" s="6"/>
      <c r="I106" s="2"/>
      <c r="J106" s="7">
        <f t="shared" si="64"/>
        <v>0</v>
      </c>
      <c r="K106" s="2"/>
      <c r="L106" s="6">
        <f t="shared" si="65"/>
        <v>2097.02</v>
      </c>
      <c r="M106" s="2"/>
      <c r="N106" s="7">
        <f t="shared" si="66"/>
        <v>0</v>
      </c>
      <c r="O106" s="11"/>
      <c r="P106" s="6">
        <v>3042.3</v>
      </c>
      <c r="Q106" s="2"/>
      <c r="R106" s="7">
        <f t="shared" si="67"/>
        <v>1.6867598334929697E-3</v>
      </c>
      <c r="S106" s="2"/>
      <c r="T106" s="6">
        <v>861.04</v>
      </c>
      <c r="U106" s="2"/>
      <c r="V106" s="7">
        <f t="shared" si="68"/>
        <v>2.750761454307876E-4</v>
      </c>
      <c r="W106" s="2"/>
      <c r="X106" s="6">
        <f t="shared" si="69"/>
        <v>2181.2600000000002</v>
      </c>
      <c r="Y106" s="2"/>
      <c r="Z106" s="7">
        <f t="shared" si="70"/>
        <v>2.5332853293691353</v>
      </c>
    </row>
    <row r="107" spans="1:26" s="26" customFormat="1" outlineLevel="1" collapsed="1" x14ac:dyDescent="0.25">
      <c r="A107" s="27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SUM(OSRRefD22_12x_0)</f>
        <v>1215.2</v>
      </c>
      <c r="E107" s="1"/>
      <c r="F107" s="5">
        <f t="shared" ref="F107:F109" si="71">IF(D$12=0,0,D107/D$12)</f>
        <v>1.7166715535487662E-3</v>
      </c>
      <c r="G107" s="1"/>
      <c r="H107" s="1">
        <f>SUM(OSRRefH22_12x_0)</f>
        <v>976.35</v>
      </c>
      <c r="I107" s="1"/>
      <c r="J107" s="5">
        <f t="shared" ref="J107:J109" si="72">IF(H$12=0,0,H107/H$12)</f>
        <v>8.933504613356574E-4</v>
      </c>
      <c r="K107" s="1"/>
      <c r="L107" s="1">
        <f t="shared" ref="L107:L109" si="73">+D107-H107</f>
        <v>238.85000000000002</v>
      </c>
      <c r="M107" s="1"/>
      <c r="N107" s="5">
        <f t="shared" ref="N107:N109" si="74">IF(H107=0,0,L107/H107)</f>
        <v>0.24463563271367852</v>
      </c>
      <c r="O107" s="13"/>
      <c r="P107" s="1">
        <f>SUM(OSRRefP22_12x_0)</f>
        <v>6257.7</v>
      </c>
      <c r="Q107" s="1"/>
      <c r="R107" s="5">
        <f t="shared" ref="R107:R109" si="75">IF(P$12=0,0,P107/P$12)</f>
        <v>3.4694924925381967E-3</v>
      </c>
      <c r="S107" s="1"/>
      <c r="T107" s="1">
        <f>SUM(OSRRefT22_12x_0)</f>
        <v>5910.3899999999994</v>
      </c>
      <c r="U107" s="1"/>
      <c r="V107" s="5">
        <f t="shared" ref="V107:V109" si="76">IF(T$12=0,0,T107/T$12)</f>
        <v>1.8881902108992296E-3</v>
      </c>
      <c r="W107" s="1"/>
      <c r="X107" s="1">
        <f t="shared" ref="X107:X109" si="77">+P107-T107</f>
        <v>347.3100000000004</v>
      </c>
      <c r="Y107" s="1"/>
      <c r="Z107" s="5">
        <f t="shared" ref="Z107:Z109" si="78">IF(T107=0,0,X107/T107)</f>
        <v>5.8762619725601935E-2</v>
      </c>
    </row>
    <row r="108" spans="1:26" s="24" customFormat="1" hidden="1" outlineLevel="2" x14ac:dyDescent="0.25">
      <c r="A108" s="25"/>
      <c r="B108" s="11" t="str">
        <f>CONCATENATE("          ", "6303", " - ", "DATA PHONE LINES")</f>
        <v xml:space="preserve">          6303 - DATA PHONE LINES</v>
      </c>
      <c r="C108" s="11"/>
      <c r="D108" s="6">
        <v>295</v>
      </c>
      <c r="E108" s="2"/>
      <c r="F108" s="7">
        <f t="shared" si="71"/>
        <v>4.1673642881573901E-4</v>
      </c>
      <c r="G108" s="2"/>
      <c r="H108" s="6">
        <v>295</v>
      </c>
      <c r="I108" s="2"/>
      <c r="J108" s="7">
        <f t="shared" si="72"/>
        <v>2.6992204239670092E-4</v>
      </c>
      <c r="K108" s="2"/>
      <c r="L108" s="6">
        <f t="shared" si="73"/>
        <v>0</v>
      </c>
      <c r="M108" s="2"/>
      <c r="N108" s="7">
        <f t="shared" si="74"/>
        <v>0</v>
      </c>
      <c r="O108" s="11"/>
      <c r="P108" s="6">
        <v>2360</v>
      </c>
      <c r="Q108" s="2"/>
      <c r="R108" s="7">
        <f t="shared" si="75"/>
        <v>1.3084683321971562E-3</v>
      </c>
      <c r="S108" s="2"/>
      <c r="T108" s="6">
        <v>2065</v>
      </c>
      <c r="U108" s="2"/>
      <c r="V108" s="7">
        <f t="shared" si="76"/>
        <v>6.5970482244097415E-4</v>
      </c>
      <c r="W108" s="2"/>
      <c r="X108" s="6">
        <f t="shared" si="77"/>
        <v>295</v>
      </c>
      <c r="Y108" s="2"/>
      <c r="Z108" s="7">
        <f t="shared" si="78"/>
        <v>0.14285714285714285</v>
      </c>
    </row>
    <row r="109" spans="1:26" s="24" customFormat="1" hidden="1" outlineLevel="2" x14ac:dyDescent="0.25">
      <c r="A109" s="25"/>
      <c r="B109" s="11" t="str">
        <f>CONCATENATE("          ", "6309", " - ", "TELEPHONE")</f>
        <v xml:space="preserve">          6309 - TELEPHONE</v>
      </c>
      <c r="C109" s="11"/>
      <c r="D109" s="6">
        <v>920.2</v>
      </c>
      <c r="E109" s="2"/>
      <c r="F109" s="7">
        <f t="shared" si="71"/>
        <v>1.2999351247330272E-3</v>
      </c>
      <c r="G109" s="2"/>
      <c r="H109" s="6">
        <v>681.35</v>
      </c>
      <c r="I109" s="2"/>
      <c r="J109" s="7">
        <f t="shared" si="72"/>
        <v>6.2342841893895653E-4</v>
      </c>
      <c r="K109" s="2"/>
      <c r="L109" s="6">
        <f t="shared" si="73"/>
        <v>238.85000000000002</v>
      </c>
      <c r="M109" s="2"/>
      <c r="N109" s="7">
        <f t="shared" si="74"/>
        <v>0.3505540471123505</v>
      </c>
      <c r="O109" s="11"/>
      <c r="P109" s="6">
        <v>3897.7</v>
      </c>
      <c r="Q109" s="2"/>
      <c r="R109" s="7">
        <f t="shared" si="75"/>
        <v>2.1610241603410405E-3</v>
      </c>
      <c r="S109" s="2"/>
      <c r="T109" s="6">
        <v>3845.39</v>
      </c>
      <c r="U109" s="2"/>
      <c r="V109" s="7">
        <f t="shared" si="76"/>
        <v>1.2284853884582554E-3</v>
      </c>
      <c r="W109" s="2"/>
      <c r="X109" s="6">
        <f t="shared" si="77"/>
        <v>52.309999999999945</v>
      </c>
      <c r="Y109" s="2"/>
      <c r="Z109" s="7">
        <f t="shared" si="78"/>
        <v>1.3603301615700865E-2</v>
      </c>
    </row>
    <row r="110" spans="1:26" s="26" customFormat="1" outlineLevel="1" collapsed="1" x14ac:dyDescent="0.25">
      <c r="A110" s="27"/>
      <c r="B110" s="13" t="str">
        <f>CONCATENATE("     ","Training                                          ")</f>
        <v xml:space="preserve">     Training                                          </v>
      </c>
      <c r="C110" s="13"/>
      <c r="D110" s="1">
        <f>SUM(OSRRefD22_13x_0)</f>
        <v>0</v>
      </c>
      <c r="E110" s="1"/>
      <c r="F110" s="5">
        <f t="shared" ref="F110:F113" si="79">IF(D$12=0,0,D110/D$12)</f>
        <v>0</v>
      </c>
      <c r="G110" s="1"/>
      <c r="H110" s="1">
        <f>SUM(OSRRefH22_13x_0)</f>
        <v>844</v>
      </c>
      <c r="I110" s="1"/>
      <c r="J110" s="5">
        <f t="shared" ref="J110:J113" si="80">IF(H$12=0,0,H110/H$12)</f>
        <v>7.7225153824683247E-4</v>
      </c>
      <c r="K110" s="1"/>
      <c r="L110" s="1">
        <f t="shared" ref="L110:L113" si="81">+D110-H110</f>
        <v>-844</v>
      </c>
      <c r="M110" s="1"/>
      <c r="N110" s="5">
        <f t="shared" ref="N110:N113" si="82">IF(H110=0,0,L110/H110)</f>
        <v>-1</v>
      </c>
      <c r="O110" s="13"/>
      <c r="P110" s="1">
        <f>SUM(OSRRefP22_13x_0)</f>
        <v>0</v>
      </c>
      <c r="Q110" s="1"/>
      <c r="R110" s="5">
        <f t="shared" ref="R110:R113" si="83">IF(P$12=0,0,P110/P$12)</f>
        <v>0</v>
      </c>
      <c r="S110" s="1"/>
      <c r="T110" s="1">
        <f>SUM(OSRRefT22_13x_0)</f>
        <v>1391.47</v>
      </c>
      <c r="U110" s="1"/>
      <c r="V110" s="5">
        <f t="shared" ref="V110:V113" si="84">IF(T$12=0,0,T110/T$12)</f>
        <v>4.445324306450084E-4</v>
      </c>
      <c r="W110" s="1"/>
      <c r="X110" s="1">
        <f t="shared" ref="X110:X113" si="85">+P110-T110</f>
        <v>-1391.47</v>
      </c>
      <c r="Y110" s="1"/>
      <c r="Z110" s="5">
        <f t="shared" ref="Z110:Z113" si="86">IF(T110=0,0,X110/T110)</f>
        <v>-1</v>
      </c>
    </row>
    <row r="111" spans="1:26" s="24" customFormat="1" hidden="1" outlineLevel="2" x14ac:dyDescent="0.25">
      <c r="A111" s="25"/>
      <c r="B111" s="11" t="str">
        <f>CONCATENATE("          ", "6376", " - ", "TRAINING")</f>
        <v xml:space="preserve">          6376 - TRAINING</v>
      </c>
      <c r="C111" s="11"/>
      <c r="D111" s="6"/>
      <c r="E111" s="2"/>
      <c r="F111" s="7">
        <f t="shared" si="79"/>
        <v>0</v>
      </c>
      <c r="G111" s="2"/>
      <c r="H111" s="6">
        <v>844</v>
      </c>
      <c r="I111" s="2"/>
      <c r="J111" s="7">
        <f t="shared" si="80"/>
        <v>7.7225153824683247E-4</v>
      </c>
      <c r="K111" s="2"/>
      <c r="L111" s="6">
        <f t="shared" si="81"/>
        <v>-844</v>
      </c>
      <c r="M111" s="2"/>
      <c r="N111" s="7">
        <f t="shared" si="82"/>
        <v>-1</v>
      </c>
      <c r="O111" s="11"/>
      <c r="P111" s="6"/>
      <c r="Q111" s="2"/>
      <c r="R111" s="7">
        <f t="shared" si="83"/>
        <v>0</v>
      </c>
      <c r="S111" s="2"/>
      <c r="T111" s="6">
        <v>1391.47</v>
      </c>
      <c r="U111" s="2"/>
      <c r="V111" s="7">
        <f t="shared" si="84"/>
        <v>4.445324306450084E-4</v>
      </c>
      <c r="W111" s="2"/>
      <c r="X111" s="6">
        <f t="shared" si="85"/>
        <v>-1391.47</v>
      </c>
      <c r="Y111" s="2"/>
      <c r="Z111" s="7">
        <f t="shared" si="86"/>
        <v>-1</v>
      </c>
    </row>
    <row r="112" spans="1:26" s="26" customFormat="1" outlineLevel="1" collapsed="1" x14ac:dyDescent="0.25">
      <c r="A112" s="27"/>
      <c r="B112" s="13" t="str">
        <f>CONCATENATE("     ","Travel                                            ")</f>
        <v xml:space="preserve">     Travel                                            </v>
      </c>
      <c r="C112" s="13"/>
      <c r="D112" s="1">
        <f>SUM(OSRRefD22_14x_0)</f>
        <v>0</v>
      </c>
      <c r="E112" s="1"/>
      <c r="F112" s="5">
        <f t="shared" si="79"/>
        <v>0</v>
      </c>
      <c r="G112" s="1"/>
      <c r="H112" s="1">
        <f>SUM(OSRRefH22_14x_0)</f>
        <v>0</v>
      </c>
      <c r="I112" s="1"/>
      <c r="J112" s="5">
        <f t="shared" si="80"/>
        <v>0</v>
      </c>
      <c r="K112" s="1"/>
      <c r="L112" s="1">
        <f t="shared" si="81"/>
        <v>0</v>
      </c>
      <c r="M112" s="1"/>
      <c r="N112" s="5">
        <f t="shared" si="82"/>
        <v>0</v>
      </c>
      <c r="O112" s="13"/>
      <c r="P112" s="1">
        <f>SUM(OSRRefP22_14x_0)</f>
        <v>0.16</v>
      </c>
      <c r="Q112" s="1"/>
      <c r="R112" s="5">
        <f t="shared" si="83"/>
        <v>8.8709717437095336E-8</v>
      </c>
      <c r="S112" s="1"/>
      <c r="T112" s="1">
        <f>SUM(OSRRefT22_14x_0)</f>
        <v>83.93</v>
      </c>
      <c r="U112" s="1"/>
      <c r="V112" s="5">
        <f t="shared" si="84"/>
        <v>2.6813087529041631E-5</v>
      </c>
      <c r="W112" s="1"/>
      <c r="X112" s="1">
        <f t="shared" si="85"/>
        <v>-83.77000000000001</v>
      </c>
      <c r="Y112" s="1"/>
      <c r="Z112" s="5">
        <f t="shared" si="86"/>
        <v>-0.99809364946979628</v>
      </c>
    </row>
    <row r="113" spans="1:26" s="24" customFormat="1" hidden="1" outlineLevel="2" x14ac:dyDescent="0.25">
      <c r="A113" s="25"/>
      <c r="B113" s="11" t="str">
        <f>CONCATENATE("          ", "6292", " - ", "TRAVEL/CONFERENCE")</f>
        <v xml:space="preserve">          6292 - TRAVEL/CONFERENCE</v>
      </c>
      <c r="C113" s="11"/>
      <c r="D113" s="6"/>
      <c r="E113" s="2"/>
      <c r="F113" s="7">
        <f t="shared" si="79"/>
        <v>0</v>
      </c>
      <c r="G113" s="2"/>
      <c r="H113" s="6"/>
      <c r="I113" s="2"/>
      <c r="J113" s="7">
        <f t="shared" si="80"/>
        <v>0</v>
      </c>
      <c r="K113" s="2"/>
      <c r="L113" s="6">
        <f t="shared" si="81"/>
        <v>0</v>
      </c>
      <c r="M113" s="2"/>
      <c r="N113" s="7">
        <f t="shared" si="82"/>
        <v>0</v>
      </c>
      <c r="O113" s="11"/>
      <c r="P113" s="6">
        <v>0.16</v>
      </c>
      <c r="Q113" s="2"/>
      <c r="R113" s="7">
        <f t="shared" si="83"/>
        <v>8.8709717437095336E-8</v>
      </c>
      <c r="S113" s="2"/>
      <c r="T113" s="6">
        <v>83.93</v>
      </c>
      <c r="U113" s="2"/>
      <c r="V113" s="7">
        <f t="shared" si="84"/>
        <v>2.6813087529041631E-5</v>
      </c>
      <c r="W113" s="2"/>
      <c r="X113" s="6">
        <f t="shared" si="85"/>
        <v>-83.77000000000001</v>
      </c>
      <c r="Y113" s="2"/>
      <c r="Z113" s="7">
        <f t="shared" si="86"/>
        <v>-0.99809364946979628</v>
      </c>
    </row>
    <row r="114" spans="1:26" s="61" customFormat="1" x14ac:dyDescent="0.25">
      <c r="A114" s="37"/>
      <c r="B114" s="37"/>
      <c r="C114" s="37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7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collapsed="1" x14ac:dyDescent="0.25">
      <c r="A115" s="10"/>
      <c r="B115" s="29" t="s">
        <v>0</v>
      </c>
      <c r="C115" s="10"/>
      <c r="D115" s="4">
        <f>SUM(OSRRefD25x_0)</f>
        <v>7055.88</v>
      </c>
      <c r="E115" s="4"/>
      <c r="F115" s="12">
        <f t="shared" ref="F115:F118" si="87">IF(D$12=0,0,D115/D$12)</f>
        <v>9.9676007910250719E-3</v>
      </c>
      <c r="G115" s="4"/>
      <c r="H115" s="4">
        <f>SUM(OSRRefH25x_0)</f>
        <v>-37238.14</v>
      </c>
      <c r="I115" s="4"/>
      <c r="J115" s="12">
        <f t="shared" ref="J115:J118" si="88">IF(H$12=0,0,H115/H$12)</f>
        <v>-3.4072524758828084E-2</v>
      </c>
      <c r="K115" s="4"/>
      <c r="L115" s="4">
        <f t="shared" ref="L115:L118" si="89">+D115-H115</f>
        <v>44294.02</v>
      </c>
      <c r="M115" s="4"/>
      <c r="N115" s="12">
        <f t="shared" ref="N115:N118" si="90">IF(H115=0,0,L115/H115)</f>
        <v>-1.1894799256890918</v>
      </c>
      <c r="O115" s="10"/>
      <c r="P115" s="4">
        <f>SUM(OSRRefP25x_0)</f>
        <v>180821.69000000003</v>
      </c>
      <c r="Q115" s="4"/>
      <c r="R115" s="12">
        <f t="shared" ref="R115:R118" si="91">IF(P$12=0,0,P115/P$12)</f>
        <v>0.10025400641498781</v>
      </c>
      <c r="S115" s="4"/>
      <c r="T115" s="4">
        <f>SUM(OSRRefT25x_0)</f>
        <v>108810.67</v>
      </c>
      <c r="U115" s="4"/>
      <c r="V115" s="12">
        <f t="shared" ref="V115:V118" si="92">IF(T$12=0,0,T115/T$12)</f>
        <v>3.4761706407764374E-2</v>
      </c>
      <c r="W115" s="4"/>
      <c r="X115" s="4">
        <f t="shared" ref="X115:X118" si="93">+P115-T115</f>
        <v>72011.020000000033</v>
      </c>
      <c r="Y115" s="4"/>
      <c r="Z115" s="12">
        <f t="shared" ref="Z115:Z118" si="94">IF(T115=0,0,X115/T115)</f>
        <v>0.66180108991149522</v>
      </c>
    </row>
    <row r="116" spans="1:26" s="24" customFormat="1" hidden="1" outlineLevel="1" x14ac:dyDescent="0.25">
      <c r="A116" s="44"/>
      <c r="B116" s="11" t="str">
        <f>CONCATENATE("          ", "9150", " - ", "MISC. INCOME")</f>
        <v xml:space="preserve">          9150 - MISC. INCOME</v>
      </c>
      <c r="C116" s="11"/>
      <c r="D116" s="2">
        <f>--4937.55</f>
        <v>4937.55</v>
      </c>
      <c r="E116" s="2"/>
      <c r="F116" s="19">
        <f t="shared" si="87"/>
        <v>6.9751083189801763E-3</v>
      </c>
      <c r="G116" s="2"/>
      <c r="H116" s="2">
        <f>-37707.24</f>
        <v>-37707.24</v>
      </c>
      <c r="I116" s="2"/>
      <c r="J116" s="19">
        <f t="shared" si="88"/>
        <v>-3.4501746555737546E-2</v>
      </c>
      <c r="K116" s="2"/>
      <c r="L116" s="2">
        <f t="shared" si="89"/>
        <v>42644.79</v>
      </c>
      <c r="M116" s="2"/>
      <c r="N116" s="19">
        <f t="shared" si="90"/>
        <v>-1.1309443491488638</v>
      </c>
      <c r="O116" s="11"/>
      <c r="P116" s="2">
        <f>--28332.04</f>
        <v>28332.04</v>
      </c>
      <c r="Q116" s="2"/>
      <c r="R116" s="19">
        <f t="shared" si="91"/>
        <v>1.5708295392603017E-2</v>
      </c>
      <c r="S116" s="2"/>
      <c r="T116" s="2">
        <f>--16434.61</f>
        <v>16434.61</v>
      </c>
      <c r="U116" s="2"/>
      <c r="V116" s="19">
        <f t="shared" si="92"/>
        <v>5.2503590663131525E-3</v>
      </c>
      <c r="W116" s="2"/>
      <c r="X116" s="2">
        <f t="shared" si="93"/>
        <v>11897.43</v>
      </c>
      <c r="Y116" s="2"/>
      <c r="Z116" s="19">
        <f t="shared" si="94"/>
        <v>0.72392530154351087</v>
      </c>
    </row>
    <row r="117" spans="1:26" s="24" customFormat="1" hidden="1" outlineLevel="1" x14ac:dyDescent="0.25">
      <c r="A117" s="44"/>
      <c r="B117" s="11" t="str">
        <f>CONCATENATE("          ", "9151", " - ", "MISC. INCOME")</f>
        <v xml:space="preserve">          9151 - MISC. INCOME</v>
      </c>
      <c r="C117" s="11"/>
      <c r="D117" s="2">
        <f>--1972</f>
        <v>1972</v>
      </c>
      <c r="E117" s="2"/>
      <c r="F117" s="19">
        <f t="shared" si="87"/>
        <v>2.7857770766936858E-3</v>
      </c>
      <c r="G117" s="2"/>
      <c r="H117" s="2">
        <f>0</f>
        <v>0</v>
      </c>
      <c r="I117" s="2"/>
      <c r="J117" s="19">
        <f t="shared" si="88"/>
        <v>0</v>
      </c>
      <c r="K117" s="2"/>
      <c r="L117" s="2">
        <f t="shared" si="89"/>
        <v>1972</v>
      </c>
      <c r="M117" s="2"/>
      <c r="N117" s="19">
        <f t="shared" si="90"/>
        <v>0</v>
      </c>
      <c r="O117" s="11"/>
      <c r="P117" s="2">
        <f>--149257.39</f>
        <v>149257.39000000001</v>
      </c>
      <c r="Q117" s="2"/>
      <c r="R117" s="19">
        <f t="shared" si="91"/>
        <v>8.275363057686462E-2</v>
      </c>
      <c r="S117" s="2"/>
      <c r="T117" s="2">
        <f>--87676.2</f>
        <v>87676.2</v>
      </c>
      <c r="U117" s="2"/>
      <c r="V117" s="19">
        <f t="shared" si="92"/>
        <v>2.8009884723147381E-2</v>
      </c>
      <c r="W117" s="2"/>
      <c r="X117" s="2">
        <f t="shared" si="93"/>
        <v>61581.190000000017</v>
      </c>
      <c r="Y117" s="2"/>
      <c r="Z117" s="19">
        <f t="shared" si="94"/>
        <v>0.70237065475009208</v>
      </c>
    </row>
    <row r="118" spans="1:26" s="24" customFormat="1" hidden="1" outlineLevel="1" x14ac:dyDescent="0.25">
      <c r="A118" s="44"/>
      <c r="B118" s="11" t="str">
        <f>CONCATENATE("          ", "9152", " - ", "MISC. INCOME")</f>
        <v xml:space="preserve">          9152 - MISC. INCOME</v>
      </c>
      <c r="C118" s="11"/>
      <c r="D118" s="2">
        <f>--146.33</f>
        <v>146.33000000000001</v>
      </c>
      <c r="E118" s="2"/>
      <c r="F118" s="19">
        <f t="shared" si="87"/>
        <v>2.0671539535121048E-4</v>
      </c>
      <c r="G118" s="2"/>
      <c r="H118" s="2">
        <f>--469.1</f>
        <v>469.1</v>
      </c>
      <c r="I118" s="2"/>
      <c r="J118" s="19">
        <f t="shared" si="88"/>
        <v>4.292217969094658E-4</v>
      </c>
      <c r="K118" s="2"/>
      <c r="L118" s="2">
        <f t="shared" si="89"/>
        <v>-322.77</v>
      </c>
      <c r="M118" s="2"/>
      <c r="N118" s="19">
        <f t="shared" si="90"/>
        <v>-0.68806224685568107</v>
      </c>
      <c r="O118" s="11"/>
      <c r="P118" s="2">
        <f>--3232.26</f>
        <v>3232.26</v>
      </c>
      <c r="Q118" s="2"/>
      <c r="R118" s="19">
        <f t="shared" si="91"/>
        <v>1.7920804455201613E-3</v>
      </c>
      <c r="S118" s="2"/>
      <c r="T118" s="2">
        <f>--4699.86</f>
        <v>4699.8599999999997</v>
      </c>
      <c r="U118" s="2"/>
      <c r="V118" s="19">
        <f t="shared" si="92"/>
        <v>1.5014626183038435E-3</v>
      </c>
      <c r="W118" s="2"/>
      <c r="X118" s="2">
        <f t="shared" si="93"/>
        <v>-1467.5999999999995</v>
      </c>
      <c r="Y118" s="2"/>
      <c r="Z118" s="19">
        <f t="shared" si="94"/>
        <v>-0.31226462064827454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8" t="s">
        <v>3</v>
      </c>
      <c r="C120" s="28"/>
      <c r="D120" s="20">
        <f>+D60-D62+D115</f>
        <v>156297.28000000006</v>
      </c>
      <c r="E120" s="14"/>
      <c r="F120" s="22">
        <f>IF(D$12=0,0,D120/D$12)</f>
        <v>0.22079583152818186</v>
      </c>
      <c r="G120" s="14"/>
      <c r="H120" s="20">
        <f>+H60-H62+H115</f>
        <v>433135.55999999994</v>
      </c>
      <c r="I120" s="14"/>
      <c r="J120" s="22">
        <f>IF(H$12=0,0,H120/H$12)</f>
        <v>0.39631469488080939</v>
      </c>
      <c r="K120" s="15"/>
      <c r="L120" s="20">
        <f>+D120-H120</f>
        <v>-276838.27999999991</v>
      </c>
      <c r="M120" s="15"/>
      <c r="N120" s="22">
        <f>IF(H120=0,0,L120/H120)</f>
        <v>-0.63914927696077406</v>
      </c>
      <c r="O120" s="29"/>
      <c r="P120" s="20">
        <f>+P60-P62+P115</f>
        <v>382015.64999999944</v>
      </c>
      <c r="Q120" s="14"/>
      <c r="R120" s="22">
        <f>IF(P$12=0,0,P120/P$12)</f>
        <v>0.21180312730030162</v>
      </c>
      <c r="S120" s="14"/>
      <c r="T120" s="20">
        <f>+T60-T62+T115</f>
        <v>875472.86</v>
      </c>
      <c r="U120" s="14"/>
      <c r="V120" s="22">
        <f>IF(T$12=0,0,T120/T$12)</f>
        <v>0.27968700612987502</v>
      </c>
      <c r="W120" s="15"/>
      <c r="X120" s="20">
        <f>+P120-T120</f>
        <v>-493457.21000000054</v>
      </c>
      <c r="Y120" s="15"/>
      <c r="Z120" s="22">
        <f>IF(T120=0,0,X120/T120)</f>
        <v>-0.56364649613467233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1"/>
      <c r="B122" s="10" t="s">
        <v>13</v>
      </c>
      <c r="C122" s="10"/>
      <c r="D122" s="4">
        <v>130406.49</v>
      </c>
      <c r="E122" s="4"/>
      <c r="F122" s="12">
        <f>IF(D$12=0,0,D122/D$12)</f>
        <v>0.1842207963965945</v>
      </c>
      <c r="G122" s="4"/>
      <c r="H122" s="4">
        <v>106392.36</v>
      </c>
      <c r="I122" s="4"/>
      <c r="J122" s="12">
        <f>IF(H$12=0,0,H122/H$12)</f>
        <v>9.734794273425447E-2</v>
      </c>
      <c r="K122" s="4"/>
      <c r="L122" s="4">
        <f>+D122-H122</f>
        <v>24014.130000000005</v>
      </c>
      <c r="M122" s="4"/>
      <c r="N122" s="12">
        <f>IF(H122=0,0,L122/H122)</f>
        <v>0.22571291773206276</v>
      </c>
      <c r="O122" s="10"/>
      <c r="P122" s="4">
        <v>327407.57</v>
      </c>
      <c r="Q122" s="4"/>
      <c r="R122" s="12">
        <f>IF(P$12=0,0,P122/P$12)</f>
        <v>0.18152645638416257</v>
      </c>
      <c r="S122" s="4"/>
      <c r="T122" s="4">
        <v>326434.25</v>
      </c>
      <c r="U122" s="4"/>
      <c r="V122" s="12">
        <f>IF(T$12=0,0,T122/T$12)</f>
        <v>0.10428583483530392</v>
      </c>
      <c r="W122" s="4"/>
      <c r="X122" s="4">
        <f>+P122-T122</f>
        <v>973.32000000000698</v>
      </c>
      <c r="Y122" s="4"/>
      <c r="Z122" s="12">
        <f>IF(T122=0,0,X122/T122)</f>
        <v>2.9816724194841903E-3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8" t="s">
        <v>4</v>
      </c>
      <c r="C124" s="28"/>
      <c r="D124" s="30">
        <f>+D120-D122</f>
        <v>25890.790000000052</v>
      </c>
      <c r="E124" s="14"/>
      <c r="F124" s="36">
        <f>IF(D$12=0,0,D124/D$12)</f>
        <v>3.6575035131587351E-2</v>
      </c>
      <c r="G124" s="14"/>
      <c r="H124" s="30">
        <f>+H120-H122</f>
        <v>326743.19999999995</v>
      </c>
      <c r="I124" s="14"/>
      <c r="J124" s="36">
        <f>IF(H$12=0,0,H124/H$12)</f>
        <v>0.29896675214655494</v>
      </c>
      <c r="K124" s="15"/>
      <c r="L124" s="30">
        <f>D124-H124</f>
        <v>-300852.40999999992</v>
      </c>
      <c r="M124" s="15"/>
      <c r="N124" s="36">
        <f>IF(H124=0,0,L124/H124)</f>
        <v>-0.92076104414720783</v>
      </c>
      <c r="O124" s="29"/>
      <c r="P124" s="30">
        <f>+P120-P122</f>
        <v>54608.079999999434</v>
      </c>
      <c r="Q124" s="14"/>
      <c r="R124" s="36">
        <f>IF(P$12=0,0,P124/P$12)</f>
        <v>3.0276670916139042E-2</v>
      </c>
      <c r="S124" s="14"/>
      <c r="T124" s="30">
        <f>+T120-T122</f>
        <v>549038.61</v>
      </c>
      <c r="U124" s="14"/>
      <c r="V124" s="36">
        <f>IF(T$12=0,0,T124/T$12)</f>
        <v>0.17540117129457108</v>
      </c>
      <c r="W124" s="15"/>
      <c r="X124" s="30">
        <f>P124-T124</f>
        <v>-494430.53000000055</v>
      </c>
      <c r="Y124" s="15"/>
      <c r="Z124" s="36">
        <f>IF(T124=0,0,X124/T124)</f>
        <v>-0.90053872531842627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8" t="s">
        <v>5</v>
      </c>
      <c r="C127" s="28"/>
      <c r="D127" s="32">
        <f>SUM(D124:D126)</f>
        <v>25890.790000000052</v>
      </c>
      <c r="E127" s="14"/>
      <c r="F127" s="31">
        <f>IF(D$12=0,0,D127/D$12)</f>
        <v>3.6575035131587351E-2</v>
      </c>
      <c r="G127" s="14"/>
      <c r="H127" s="32">
        <f>SUM(H124:H126)</f>
        <v>326743.19999999995</v>
      </c>
      <c r="I127" s="14"/>
      <c r="J127" s="31">
        <f>IF(H$12=0,0,H127/H$12)</f>
        <v>0.29896675214655494</v>
      </c>
      <c r="K127" s="15"/>
      <c r="L127" s="32">
        <f>+D127-H127</f>
        <v>-300852.40999999992</v>
      </c>
      <c r="M127" s="15"/>
      <c r="N127" s="31">
        <f>IF(H127=0,0,L127/H127)</f>
        <v>-0.92076104414720783</v>
      </c>
      <c r="O127" s="29"/>
      <c r="P127" s="32">
        <f>SUM(P124:P126)</f>
        <v>54608.079999999434</v>
      </c>
      <c r="Q127" s="14"/>
      <c r="R127" s="31">
        <f>IF(P$12=0,0,P127/P$12)</f>
        <v>3.0276670916139042E-2</v>
      </c>
      <c r="S127" s="14"/>
      <c r="T127" s="32">
        <f>SUM(T124:T126)</f>
        <v>549038.61</v>
      </c>
      <c r="U127" s="14"/>
      <c r="V127" s="31">
        <f>IF(T$12=0,0,T127/T$12)</f>
        <v>0.17540117129457108</v>
      </c>
      <c r="W127" s="15"/>
      <c r="X127" s="32">
        <f>+P127-T127</f>
        <v>-494430.53000000055</v>
      </c>
      <c r="Y127" s="15"/>
      <c r="Z127" s="31">
        <f>IF(T127=0,0,X127/T127)</f>
        <v>-0.90053872531842627</v>
      </c>
    </row>
    <row r="128" spans="1:26" ht="15.75" thickTop="1" x14ac:dyDescent="0.25">
      <c r="A128" s="9"/>
      <c r="C128" s="9"/>
      <c r="D128" s="18"/>
      <c r="E128" s="18"/>
      <c r="G128" s="18"/>
      <c r="H128" s="18"/>
      <c r="I128" s="18"/>
      <c r="J128" s="42"/>
      <c r="K128" s="18"/>
      <c r="L128" s="18"/>
      <c r="M128" s="18"/>
      <c r="P128" s="18"/>
      <c r="Q128" s="18"/>
      <c r="R128" s="42"/>
      <c r="S128" s="18"/>
      <c r="T128" s="18"/>
      <c r="U128" s="18"/>
      <c r="V128" s="42"/>
      <c r="W128" s="18"/>
      <c r="X128" s="18"/>
    </row>
    <row r="129" spans="1:24" x14ac:dyDescent="0.25">
      <c r="A129" s="9"/>
      <c r="B129" s="62">
        <v>44238.496199189816</v>
      </c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A130" s="9"/>
      <c r="B130" s="59" t="s">
        <v>313</v>
      </c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  <row r="131" spans="1:24" x14ac:dyDescent="0.25">
      <c r="A131" s="9"/>
      <c r="B131" s="56"/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4" x14ac:dyDescent="0.25"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","324", " - ", "Textbook Rental")</f>
        <v>Department 324 - Textbook Rental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281073.37</v>
      </c>
      <c r="E12" s="4"/>
      <c r="F12" s="12"/>
      <c r="G12" s="4"/>
      <c r="H12" s="4">
        <f>SUM(OSRRefH13x_0)</f>
        <v>580159.63</v>
      </c>
      <c r="I12" s="4"/>
      <c r="J12" s="12"/>
      <c r="K12" s="4"/>
      <c r="L12" s="4">
        <f t="shared" ref="L12:L15" si="0">+D12-H12</f>
        <v>-299086.26</v>
      </c>
      <c r="M12" s="4"/>
      <c r="N12" s="12">
        <f t="shared" ref="N12:N15" si="1">IF(H12=0,0,L12/H12)</f>
        <v>-0.51552408084650769</v>
      </c>
      <c r="O12" s="10"/>
      <c r="P12" s="4">
        <f>SUM(OSRRefP13x_0)</f>
        <v>757271.77</v>
      </c>
      <c r="Q12" s="4"/>
      <c r="R12" s="12"/>
      <c r="S12" s="4"/>
      <c r="T12" s="4">
        <f>SUM(OSRRefT13x_0)</f>
        <v>1483133.88</v>
      </c>
      <c r="U12" s="4"/>
      <c r="V12" s="12"/>
      <c r="W12" s="4"/>
      <c r="X12" s="4">
        <f t="shared" ref="X12:X15" si="2">+P12-T12</f>
        <v>-725862.10999999987</v>
      </c>
      <c r="Y12" s="4"/>
      <c r="Z12" s="12">
        <f t="shared" ref="Z12:Z15" si="3">IF(T12=0,0,X12/T12)</f>
        <v>-0.48941105033619753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--80675.4</f>
        <v>80675.399999999994</v>
      </c>
      <c r="E13" s="2"/>
      <c r="F13" s="19"/>
      <c r="G13" s="2"/>
      <c r="H13" s="2">
        <f>--131223.23</f>
        <v>131223.23000000001</v>
      </c>
      <c r="I13" s="2"/>
      <c r="J13" s="19"/>
      <c r="K13" s="2"/>
      <c r="L13" s="2">
        <f t="shared" si="0"/>
        <v>-50547.830000000016</v>
      </c>
      <c r="M13" s="2"/>
      <c r="N13" s="19">
        <f t="shared" si="1"/>
        <v>-0.38520489093280214</v>
      </c>
      <c r="O13" s="11"/>
      <c r="P13" s="2">
        <f>--256494.62</f>
        <v>256494.62</v>
      </c>
      <c r="Q13" s="2"/>
      <c r="R13" s="19"/>
      <c r="S13" s="2"/>
      <c r="T13" s="2">
        <f>--387706.84</f>
        <v>387706.84</v>
      </c>
      <c r="U13" s="2"/>
      <c r="V13" s="19"/>
      <c r="W13" s="2"/>
      <c r="X13" s="2">
        <f t="shared" si="2"/>
        <v>-131212.22000000003</v>
      </c>
      <c r="Y13" s="2"/>
      <c r="Z13" s="19">
        <f t="shared" si="3"/>
        <v>-0.33843153244343077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--87429.78</f>
        <v>87429.78</v>
      </c>
      <c r="E14" s="2"/>
      <c r="F14" s="19"/>
      <c r="G14" s="2"/>
      <c r="H14" s="2">
        <f>--234644.79</f>
        <v>234644.79</v>
      </c>
      <c r="I14" s="2"/>
      <c r="J14" s="19"/>
      <c r="K14" s="2"/>
      <c r="L14" s="2">
        <f t="shared" si="0"/>
        <v>-147215.01</v>
      </c>
      <c r="M14" s="2"/>
      <c r="N14" s="19">
        <f t="shared" si="1"/>
        <v>-0.62739517889998753</v>
      </c>
      <c r="O14" s="11"/>
      <c r="P14" s="2">
        <f>--222221.29</f>
        <v>222221.29</v>
      </c>
      <c r="Q14" s="2"/>
      <c r="R14" s="19"/>
      <c r="S14" s="2"/>
      <c r="T14" s="2">
        <f>--545206.88</f>
        <v>545206.88</v>
      </c>
      <c r="U14" s="2"/>
      <c r="V14" s="19"/>
      <c r="W14" s="2"/>
      <c r="X14" s="2">
        <f t="shared" si="2"/>
        <v>-322985.58999999997</v>
      </c>
      <c r="Y14" s="2"/>
      <c r="Z14" s="19">
        <f t="shared" si="3"/>
        <v>-0.5924092337206015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--112968.19</f>
        <v>112968.19</v>
      </c>
      <c r="E15" s="2"/>
      <c r="F15" s="19"/>
      <c r="G15" s="2"/>
      <c r="H15" s="2">
        <f>--214291.61</f>
        <v>214291.61</v>
      </c>
      <c r="I15" s="2"/>
      <c r="J15" s="19"/>
      <c r="K15" s="2"/>
      <c r="L15" s="2">
        <f t="shared" si="0"/>
        <v>-101323.41999999998</v>
      </c>
      <c r="M15" s="2"/>
      <c r="N15" s="19">
        <f t="shared" si="1"/>
        <v>-0.47282961754778918</v>
      </c>
      <c r="O15" s="11"/>
      <c r="P15" s="2">
        <f>--278555.86</f>
        <v>278555.86</v>
      </c>
      <c r="Q15" s="2"/>
      <c r="R15" s="19"/>
      <c r="S15" s="2"/>
      <c r="T15" s="2">
        <f>--550220.16</f>
        <v>550220.16</v>
      </c>
      <c r="U15" s="2"/>
      <c r="V15" s="19"/>
      <c r="W15" s="2"/>
      <c r="X15" s="2">
        <f t="shared" si="2"/>
        <v>-271664.30000000005</v>
      </c>
      <c r="Y15" s="2"/>
      <c r="Z15" s="19">
        <f t="shared" si="3"/>
        <v>-0.4937374522954594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187117.82</v>
      </c>
      <c r="E17" s="4"/>
      <c r="F17" s="12">
        <f t="shared" ref="F17:F19" si="4">IF(D$12=0,0,D17/D$12)</f>
        <v>0.66572589213983524</v>
      </c>
      <c r="G17" s="4"/>
      <c r="H17" s="4">
        <f>SUM(OSRRefH16x_0)</f>
        <v>432607.21</v>
      </c>
      <c r="I17" s="4"/>
      <c r="J17" s="12">
        <f t="shared" ref="J17:J19" si="5">IF(H$12=0,0,H17/H$12)</f>
        <v>0.74566927381693215</v>
      </c>
      <c r="K17" s="4"/>
      <c r="L17" s="4">
        <f t="shared" ref="L17:L19" si="6">+D17-H17</f>
        <v>-245489.39</v>
      </c>
      <c r="M17" s="4"/>
      <c r="N17" s="12">
        <f t="shared" ref="N17:N19" si="7">IF(H17=0,0,L17/H17)</f>
        <v>-0.56746486032907306</v>
      </c>
      <c r="O17" s="10"/>
      <c r="P17" s="4">
        <f>SUM(OSRRefP16x_0)</f>
        <v>530124.97</v>
      </c>
      <c r="Q17" s="4"/>
      <c r="R17" s="12">
        <f t="shared" ref="R17:R19" si="8">IF(P$12=0,0,P17/P$12)</f>
        <v>0.70004586332328211</v>
      </c>
      <c r="S17" s="4"/>
      <c r="T17" s="4">
        <f>SUM(OSRRefT16x_0)</f>
        <v>1101718.8700000001</v>
      </c>
      <c r="U17" s="4"/>
      <c r="V17" s="12">
        <f t="shared" ref="V17:V19" si="9">IF(T$12=0,0,T17/T$12)</f>
        <v>0.74283170579314139</v>
      </c>
      <c r="W17" s="4"/>
      <c r="X17" s="4">
        <f t="shared" ref="X17:X19" si="10">+P17-T17</f>
        <v>-571593.90000000014</v>
      </c>
      <c r="Y17" s="4"/>
      <c r="Z17" s="12">
        <f t="shared" ref="Z17:Z19" si="11">IF(T17=0,0,X17/T17)</f>
        <v>-0.51882010516893484</v>
      </c>
    </row>
    <row r="18" spans="1:26" s="24" customFormat="1" hidden="1" outlineLevel="1" x14ac:dyDescent="0.25">
      <c r="A18" s="44"/>
      <c r="B18" s="11" t="str">
        <f>CONCATENATE("          ", "5001", " - ", "PURCHASES @ COST-NEW TEXT")</f>
        <v xml:space="preserve">          5001 - PURCHASES @ COST-NEW TEXT</v>
      </c>
      <c r="C18" s="11"/>
      <c r="D18" s="2">
        <v>88439.8</v>
      </c>
      <c r="E18" s="2"/>
      <c r="F18" s="19">
        <f t="shared" si="4"/>
        <v>0.31465022815928811</v>
      </c>
      <c r="G18" s="2"/>
      <c r="H18" s="2">
        <v>150879.89000000001</v>
      </c>
      <c r="I18" s="2"/>
      <c r="J18" s="19">
        <f t="shared" si="5"/>
        <v>0.26006616489327261</v>
      </c>
      <c r="K18" s="2"/>
      <c r="L18" s="2">
        <f t="shared" si="6"/>
        <v>-62440.090000000011</v>
      </c>
      <c r="M18" s="2"/>
      <c r="N18" s="19">
        <f t="shared" si="7"/>
        <v>-0.41383971051410501</v>
      </c>
      <c r="O18" s="11"/>
      <c r="P18" s="2">
        <v>292811.16000000003</v>
      </c>
      <c r="Q18" s="2"/>
      <c r="R18" s="19">
        <f t="shared" si="8"/>
        <v>0.38666588614547198</v>
      </c>
      <c r="S18" s="2"/>
      <c r="T18" s="2">
        <v>452960.35000000003</v>
      </c>
      <c r="U18" s="2"/>
      <c r="V18" s="19">
        <f t="shared" si="9"/>
        <v>0.30540759408719059</v>
      </c>
      <c r="W18" s="2"/>
      <c r="X18" s="2">
        <f t="shared" si="10"/>
        <v>-160149.19</v>
      </c>
      <c r="Y18" s="2"/>
      <c r="Z18" s="19">
        <f t="shared" si="11"/>
        <v>-0.35356116710877672</v>
      </c>
    </row>
    <row r="19" spans="1:26" s="24" customFormat="1" hidden="1" outlineLevel="1" x14ac:dyDescent="0.25">
      <c r="A19" s="44"/>
      <c r="B19" s="11" t="str">
        <f>CONCATENATE("          ", "5002", " - ", "PURCHASES @ COST-USED TEXT")</f>
        <v xml:space="preserve">          5002 - PURCHASES @ COST-USED TEXT</v>
      </c>
      <c r="C19" s="11"/>
      <c r="D19" s="2">
        <v>98678.01999999999</v>
      </c>
      <c r="E19" s="2"/>
      <c r="F19" s="19">
        <f t="shared" si="4"/>
        <v>0.35107566398054713</v>
      </c>
      <c r="G19" s="2"/>
      <c r="H19" s="2">
        <v>281727.32</v>
      </c>
      <c r="I19" s="2"/>
      <c r="J19" s="19">
        <f t="shared" si="5"/>
        <v>0.48560310892365954</v>
      </c>
      <c r="K19" s="2"/>
      <c r="L19" s="2">
        <f t="shared" si="6"/>
        <v>-183049.30000000002</v>
      </c>
      <c r="M19" s="2"/>
      <c r="N19" s="19">
        <f t="shared" si="7"/>
        <v>-0.64973925851422576</v>
      </c>
      <c r="O19" s="11"/>
      <c r="P19" s="2">
        <v>237313.81</v>
      </c>
      <c r="Q19" s="2"/>
      <c r="R19" s="19">
        <f t="shared" si="8"/>
        <v>0.3133799771778103</v>
      </c>
      <c r="S19" s="2"/>
      <c r="T19" s="2">
        <v>648758.52</v>
      </c>
      <c r="U19" s="2"/>
      <c r="V19" s="19">
        <f t="shared" si="9"/>
        <v>0.43742411170595069</v>
      </c>
      <c r="W19" s="2"/>
      <c r="X19" s="2">
        <f t="shared" si="10"/>
        <v>-411444.71</v>
      </c>
      <c r="Y19" s="2"/>
      <c r="Z19" s="19">
        <f t="shared" si="11"/>
        <v>-0.63420317007936944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93955.549999999988</v>
      </c>
      <c r="E21" s="14"/>
      <c r="F21" s="22">
        <f>IF(D$12=0,0,D21/D$12)</f>
        <v>0.3342741078601647</v>
      </c>
      <c r="G21" s="14"/>
      <c r="H21" s="20">
        <f>H12-H17</f>
        <v>147552.41999999998</v>
      </c>
      <c r="I21" s="14"/>
      <c r="J21" s="22">
        <f>IF(H$12=0,0,H21/H$12)</f>
        <v>0.2543307261830679</v>
      </c>
      <c r="K21" s="15"/>
      <c r="L21" s="20">
        <f>+D21-H21</f>
        <v>-53596.869999999995</v>
      </c>
      <c r="M21" s="15"/>
      <c r="N21" s="22">
        <f>IF(H21=0,0,L21/H21)</f>
        <v>-0.36323951853856412</v>
      </c>
      <c r="O21" s="29"/>
      <c r="P21" s="20">
        <f>P12-P17</f>
        <v>227146.80000000005</v>
      </c>
      <c r="Q21" s="14"/>
      <c r="R21" s="22">
        <f>IF(P$12=0,0,P21/P$12)</f>
        <v>0.29995413667671783</v>
      </c>
      <c r="S21" s="14"/>
      <c r="T21" s="20">
        <f>T12-T17</f>
        <v>381415.00999999978</v>
      </c>
      <c r="U21" s="14"/>
      <c r="V21" s="22">
        <f>IF(T$12=0,0,T21/T$12)</f>
        <v>0.25716829420685866</v>
      </c>
      <c r="W21" s="15"/>
      <c r="X21" s="20">
        <f>+P21-T21</f>
        <v>-154268.20999999973</v>
      </c>
      <c r="Y21" s="15"/>
      <c r="Z21" s="22">
        <f>IF(T21=0,0,X21/T21)</f>
        <v>-0.40446287103383743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1">
        <f>SUM(0)</f>
        <v>0</v>
      </c>
      <c r="E23" s="21"/>
      <c r="F23" s="35">
        <f>IF(D$12=0,0,D23/D$12)</f>
        <v>0</v>
      </c>
      <c r="G23" s="21"/>
      <c r="H23" s="21">
        <f>SUM(0)</f>
        <v>0</v>
      </c>
      <c r="I23" s="21"/>
      <c r="J23" s="35">
        <f>IF(H$12=0,0,H23/H$12)</f>
        <v>0</v>
      </c>
      <c r="K23" s="4"/>
      <c r="L23" s="21">
        <f>+D23-H23</f>
        <v>0</v>
      </c>
      <c r="M23" s="4"/>
      <c r="N23" s="35">
        <f>IF(H23=0,0,L23/H23)</f>
        <v>0</v>
      </c>
      <c r="O23" s="10"/>
      <c r="P23" s="21">
        <f>SUM(0)</f>
        <v>0</v>
      </c>
      <c r="Q23" s="21"/>
      <c r="R23" s="35">
        <f>IF(P$12=0,0,P23/P$12)</f>
        <v>0</v>
      </c>
      <c r="S23" s="21"/>
      <c r="T23" s="21">
        <f>SUM(0)</f>
        <v>0</v>
      </c>
      <c r="U23" s="21"/>
      <c r="V23" s="35">
        <f>IF(T$12=0,0,T23/T$12)</f>
        <v>0</v>
      </c>
      <c r="W23" s="4"/>
      <c r="X23" s="21">
        <f>+P23-T23</f>
        <v>0</v>
      </c>
      <c r="Y23" s="4"/>
      <c r="Z23" s="35">
        <f>IF(T23=0,0,X23/T23)</f>
        <v>0</v>
      </c>
    </row>
    <row r="24" spans="1:26" s="61" customFormat="1" x14ac:dyDescent="0.25">
      <c r="A24" s="37"/>
      <c r="B24" s="37"/>
      <c r="C24" s="37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0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>
        <f>+D21-D23+D25</f>
        <v>93955.549999999988</v>
      </c>
      <c r="E27" s="14"/>
      <c r="F27" s="22">
        <f>IF(D$12=0,0,D27/D$12)</f>
        <v>0.3342741078601647</v>
      </c>
      <c r="G27" s="14"/>
      <c r="H27" s="20">
        <f>+H21-H23+H25</f>
        <v>147552.41999999998</v>
      </c>
      <c r="I27" s="14"/>
      <c r="J27" s="22">
        <f>IF(H$12=0,0,H27/H$12)</f>
        <v>0.2543307261830679</v>
      </c>
      <c r="K27" s="15"/>
      <c r="L27" s="20">
        <f>+D27-H27</f>
        <v>-53596.869999999995</v>
      </c>
      <c r="M27" s="15"/>
      <c r="N27" s="22">
        <f>IF(H27=0,0,L27/H27)</f>
        <v>-0.36323951853856412</v>
      </c>
      <c r="O27" s="29"/>
      <c r="P27" s="20">
        <f>+P21-P23+P25</f>
        <v>227146.80000000005</v>
      </c>
      <c r="Q27" s="14"/>
      <c r="R27" s="22">
        <f>IF(P$12=0,0,P27/P$12)</f>
        <v>0.29995413667671783</v>
      </c>
      <c r="S27" s="14"/>
      <c r="T27" s="20">
        <f>+T21-T23+T25</f>
        <v>381415.00999999978</v>
      </c>
      <c r="U27" s="14"/>
      <c r="V27" s="22">
        <f>IF(T$12=0,0,T27/T$12)</f>
        <v>0.25716829420685866</v>
      </c>
      <c r="W27" s="15"/>
      <c r="X27" s="20">
        <f>+P27-T27</f>
        <v>-154268.20999999973</v>
      </c>
      <c r="Y27" s="15"/>
      <c r="Z27" s="22">
        <f>IF(T27=0,0,X27/T27)</f>
        <v>-0.40446287103383743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>
        <v>49358.07</v>
      </c>
      <c r="E29" s="4"/>
      <c r="F29" s="12">
        <f>IF(D$12=0,0,D29/D$12)</f>
        <v>0.17560564346597474</v>
      </c>
      <c r="G29" s="4"/>
      <c r="H29" s="4">
        <v>57141.689999999995</v>
      </c>
      <c r="I29" s="4"/>
      <c r="J29" s="12">
        <f>IF(H$12=0,0,H29/H$12)</f>
        <v>9.8493047508321108E-2</v>
      </c>
      <c r="K29" s="4"/>
      <c r="L29" s="4">
        <f>+D29-H29</f>
        <v>-7783.6199999999953</v>
      </c>
      <c r="M29" s="4"/>
      <c r="N29" s="12">
        <f>IF(H29=0,0,L29/H29)</f>
        <v>-0.13621613221450041</v>
      </c>
      <c r="O29" s="10"/>
      <c r="P29" s="4">
        <v>137464.85999999999</v>
      </c>
      <c r="Q29" s="4"/>
      <c r="R29" s="12">
        <f>IF(P$12=0,0,P29/P$12)</f>
        <v>0.18152645515889226</v>
      </c>
      <c r="S29" s="4"/>
      <c r="T29" s="4">
        <v>154669.86000000002</v>
      </c>
      <c r="U29" s="4"/>
      <c r="V29" s="12">
        <f>IF(T$12=0,0,T29/T$12)</f>
        <v>0.10428583830881136</v>
      </c>
      <c r="W29" s="4"/>
      <c r="X29" s="4">
        <f>+P29-T29</f>
        <v>-17205.000000000029</v>
      </c>
      <c r="Y29" s="4"/>
      <c r="Z29" s="12">
        <f>IF(T29=0,0,X29/T29)</f>
        <v>-0.11123692747895439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>
        <f>+D27-D29</f>
        <v>44597.479999999989</v>
      </c>
      <c r="E31" s="14"/>
      <c r="F31" s="36">
        <f>IF(D$12=0,0,D31/D$12)</f>
        <v>0.15866846439419</v>
      </c>
      <c r="G31" s="14"/>
      <c r="H31" s="30">
        <f>+H27-H29</f>
        <v>90410.729999999981</v>
      </c>
      <c r="I31" s="14"/>
      <c r="J31" s="36">
        <f>IF(H$12=0,0,H31/H$12)</f>
        <v>0.15583767867474677</v>
      </c>
      <c r="K31" s="15"/>
      <c r="L31" s="30">
        <f>D31-H31</f>
        <v>-45813.249999999993</v>
      </c>
      <c r="M31" s="15"/>
      <c r="N31" s="36">
        <f>IF(H31=0,0,L31/H31)</f>
        <v>-0.50672359353806795</v>
      </c>
      <c r="O31" s="29"/>
      <c r="P31" s="30">
        <f>+P27-P29</f>
        <v>89681.940000000061</v>
      </c>
      <c r="Q31" s="14"/>
      <c r="R31" s="36">
        <f>IF(P$12=0,0,P31/P$12)</f>
        <v>0.11842768151782557</v>
      </c>
      <c r="S31" s="14"/>
      <c r="T31" s="30">
        <f>+T27-T29</f>
        <v>226745.14999999976</v>
      </c>
      <c r="U31" s="14"/>
      <c r="V31" s="36">
        <f>IF(T$12=0,0,T31/T$12)</f>
        <v>0.1528824558980473</v>
      </c>
      <c r="W31" s="15"/>
      <c r="X31" s="30">
        <f>P31-T31</f>
        <v>-137063.2099999997</v>
      </c>
      <c r="Y31" s="15"/>
      <c r="Z31" s="36">
        <f>IF(T31=0,0,X31/T31)</f>
        <v>-0.60448133069218835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8" t="s">
        <v>5</v>
      </c>
      <c r="C34" s="28"/>
      <c r="D34" s="32">
        <f>SUM(D31:D33)</f>
        <v>44597.479999999989</v>
      </c>
      <c r="E34" s="14"/>
      <c r="F34" s="31">
        <f>IF(D$12=0,0,D34/D$12)</f>
        <v>0.15866846439419</v>
      </c>
      <c r="G34" s="14"/>
      <c r="H34" s="32">
        <f>SUM(H31:H33)</f>
        <v>90410.729999999981</v>
      </c>
      <c r="I34" s="14"/>
      <c r="J34" s="31">
        <f>IF(H$12=0,0,H34/H$12)</f>
        <v>0.15583767867474677</v>
      </c>
      <c r="K34" s="15"/>
      <c r="L34" s="32">
        <f>+D34-H34</f>
        <v>-45813.249999999993</v>
      </c>
      <c r="M34" s="15"/>
      <c r="N34" s="31">
        <f>IF(H34=0,0,L34/H34)</f>
        <v>-0.50672359353806795</v>
      </c>
      <c r="O34" s="29"/>
      <c r="P34" s="32">
        <f>SUM(P31:P33)</f>
        <v>89681.940000000061</v>
      </c>
      <c r="Q34" s="14"/>
      <c r="R34" s="31">
        <f>IF(P$12=0,0,P34/P$12)</f>
        <v>0.11842768151782557</v>
      </c>
      <c r="S34" s="14"/>
      <c r="T34" s="32">
        <f>SUM(T31:T33)</f>
        <v>226745.14999999976</v>
      </c>
      <c r="U34" s="14"/>
      <c r="V34" s="31">
        <f>IF(T$12=0,0,T34/T$12)</f>
        <v>0.1528824558980473</v>
      </c>
      <c r="W34" s="15"/>
      <c r="X34" s="32">
        <f>+P34-T34</f>
        <v>-137063.2099999997</v>
      </c>
      <c r="Y34" s="15"/>
      <c r="Z34" s="31">
        <f>IF(T34=0,0,X34/T34)</f>
        <v>-0.60448133069218835</v>
      </c>
    </row>
    <row r="35" spans="1:26" ht="15.75" thickTop="1" x14ac:dyDescent="0.25">
      <c r="A35" s="9"/>
      <c r="C35" s="9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6" x14ac:dyDescent="0.25">
      <c r="A36" s="9"/>
      <c r="B36" s="62">
        <v>44238.496341284721</v>
      </c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59" t="s">
        <v>313</v>
      </c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/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7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302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160292.38000000006</v>
      </c>
      <c r="E12" s="4"/>
      <c r="F12" s="12"/>
      <c r="G12" s="4"/>
      <c r="H12" s="4">
        <f>SUM(OSRRefH13x_0)</f>
        <v>269949.76</v>
      </c>
      <c r="I12" s="4"/>
      <c r="J12" s="12"/>
      <c r="K12" s="4"/>
      <c r="L12" s="4">
        <f t="shared" ref="L12:L54" si="0">+D12-H12</f>
        <v>-109657.37999999995</v>
      </c>
      <c r="M12" s="4"/>
      <c r="N12" s="12">
        <f t="shared" ref="N12:N54" si="1">IF(H12=0,0,L12/H12)</f>
        <v>-0.40621403034401637</v>
      </c>
      <c r="O12" s="10"/>
      <c r="P12" s="4">
        <f>SUM(OSRRefP13x_0)</f>
        <v>1190812.9299999997</v>
      </c>
      <c r="Q12" s="4"/>
      <c r="R12" s="12"/>
      <c r="S12" s="4"/>
      <c r="T12" s="4">
        <f>SUM(OSRRefT13x_0)</f>
        <v>2021258.2399999998</v>
      </c>
      <c r="U12" s="4"/>
      <c r="V12" s="12"/>
      <c r="W12" s="4"/>
      <c r="X12" s="4">
        <f t="shared" ref="X12:X54" si="2">+P12-T12</f>
        <v>-830445.31</v>
      </c>
      <c r="Y12" s="4"/>
      <c r="Z12" s="12">
        <f t="shared" ref="Z12:Z54" si="3">IF(T12=0,0,X12/T12)</f>
        <v>-0.41085562129854331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-11343.01</f>
        <v>-11343.01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-11343.01</v>
      </c>
      <c r="M13" s="2"/>
      <c r="N13" s="19">
        <f t="shared" si="1"/>
        <v>0</v>
      </c>
      <c r="O13" s="11"/>
      <c r="P13" s="2">
        <f>-92141.28</f>
        <v>-92141.28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-92141.28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>0</f>
        <v>0</v>
      </c>
      <c r="E14" s="2"/>
      <c r="F14" s="19"/>
      <c r="G14" s="2"/>
      <c r="H14" s="2">
        <f>--13.62</f>
        <v>13.62</v>
      </c>
      <c r="I14" s="2"/>
      <c r="J14" s="19"/>
      <c r="K14" s="2"/>
      <c r="L14" s="2">
        <f t="shared" si="0"/>
        <v>-13.62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--13.62</f>
        <v>13.62</v>
      </c>
      <c r="U14" s="2"/>
      <c r="V14" s="19"/>
      <c r="W14" s="2"/>
      <c r="X14" s="2">
        <f t="shared" si="2"/>
        <v>-13.62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--34.62</f>
        <v>34.619999999999997</v>
      </c>
      <c r="E15" s="2"/>
      <c r="F15" s="19"/>
      <c r="G15" s="2"/>
      <c r="H15" s="2">
        <f>--24.98</f>
        <v>24.98</v>
      </c>
      <c r="I15" s="2"/>
      <c r="J15" s="19"/>
      <c r="K15" s="2"/>
      <c r="L15" s="2">
        <f t="shared" si="0"/>
        <v>9.639999999999997</v>
      </c>
      <c r="M15" s="2"/>
      <c r="N15" s="19">
        <f t="shared" si="1"/>
        <v>0.38590872698158513</v>
      </c>
      <c r="O15" s="11"/>
      <c r="P15" s="2">
        <f>--389.49</f>
        <v>389.49</v>
      </c>
      <c r="Q15" s="2"/>
      <c r="R15" s="19"/>
      <c r="S15" s="2"/>
      <c r="T15" s="2">
        <f>--174.63</f>
        <v>174.63</v>
      </c>
      <c r="U15" s="2"/>
      <c r="V15" s="19"/>
      <c r="W15" s="2"/>
      <c r="X15" s="2">
        <f t="shared" si="2"/>
        <v>214.86</v>
      </c>
      <c r="Y15" s="2"/>
      <c r="Z15" s="19">
        <f t="shared" si="3"/>
        <v>1.2303727881807252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--8701.79</f>
        <v>8701.7900000000009</v>
      </c>
      <c r="E16" s="2"/>
      <c r="F16" s="19"/>
      <c r="G16" s="2"/>
      <c r="H16" s="2">
        <f>--91.73</f>
        <v>91.73</v>
      </c>
      <c r="I16" s="2"/>
      <c r="J16" s="19"/>
      <c r="K16" s="2"/>
      <c r="L16" s="2">
        <f t="shared" si="0"/>
        <v>8610.0600000000013</v>
      </c>
      <c r="M16" s="2"/>
      <c r="N16" s="19">
        <f t="shared" si="1"/>
        <v>93.863076419928063</v>
      </c>
      <c r="O16" s="11"/>
      <c r="P16" s="2">
        <f>--40685.9</f>
        <v>40685.9</v>
      </c>
      <c r="Q16" s="2"/>
      <c r="R16" s="19"/>
      <c r="S16" s="2"/>
      <c r="T16" s="2">
        <f>--139.64</f>
        <v>139.63999999999999</v>
      </c>
      <c r="U16" s="2"/>
      <c r="V16" s="19"/>
      <c r="W16" s="2"/>
      <c r="X16" s="2">
        <f t="shared" si="2"/>
        <v>40546.26</v>
      </c>
      <c r="Y16" s="2"/>
      <c r="Z16" s="19">
        <f t="shared" si="3"/>
        <v>290.36279003150963</v>
      </c>
    </row>
    <row r="17" spans="1:26" s="24" customFormat="1" hidden="1" outlineLevel="1" x14ac:dyDescent="0.25">
      <c r="A17" s="44"/>
      <c r="B17" s="11" t="str">
        <f>CONCATENATE("          ", "4028", " - ", "TAXABLE SALES-ART/TECH")</f>
        <v xml:space="preserve">          4028 - TAXABLE SALES-ART/TECH</v>
      </c>
      <c r="C17" s="11"/>
      <c r="D17" s="2">
        <f>--21773.01</f>
        <v>21773.01</v>
      </c>
      <c r="E17" s="2"/>
      <c r="F17" s="19"/>
      <c r="G17" s="2"/>
      <c r="H17" s="2">
        <f t="shared" ref="H17:H19" si="4">0</f>
        <v>0</v>
      </c>
      <c r="I17" s="2"/>
      <c r="J17" s="19"/>
      <c r="K17" s="2"/>
      <c r="L17" s="2">
        <f t="shared" si="0"/>
        <v>21773.01</v>
      </c>
      <c r="M17" s="2"/>
      <c r="N17" s="19">
        <f t="shared" si="1"/>
        <v>0</v>
      </c>
      <c r="O17" s="11"/>
      <c r="P17" s="2">
        <f>--26472.77</f>
        <v>26472.77</v>
      </c>
      <c r="Q17" s="2"/>
      <c r="R17" s="19"/>
      <c r="S17" s="2"/>
      <c r="T17" s="2">
        <f t="shared" ref="T17:T19" si="5">0</f>
        <v>0</v>
      </c>
      <c r="U17" s="2"/>
      <c r="V17" s="19"/>
      <c r="W17" s="2"/>
      <c r="X17" s="2">
        <f t="shared" si="2"/>
        <v>26472.77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"4031", " - ", "TAXABLE SALES-FOOD")</f>
        <v xml:space="preserve">          4031 - TAXABLE SALES-FOOD</v>
      </c>
      <c r="C18" s="11"/>
      <c r="D18" s="2">
        <f>--477.59</f>
        <v>477.59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477.59</v>
      </c>
      <c r="M18" s="2"/>
      <c r="N18" s="19">
        <f t="shared" si="1"/>
        <v>0</v>
      </c>
      <c r="O18" s="11"/>
      <c r="P18" s="2">
        <f>--2212.69</f>
        <v>2212.69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2212.69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"4034", " - ", "TAXABLE SALES-SODA")</f>
        <v xml:space="preserve">          4034 - TAXABLE SALES-SODA</v>
      </c>
      <c r="C19" s="11"/>
      <c r="D19" s="2">
        <f>0</f>
        <v>0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--6.78</f>
        <v>6.78</v>
      </c>
      <c r="Q19" s="2"/>
      <c r="R19" s="19"/>
      <c r="S19" s="2"/>
      <c r="T19" s="2">
        <f t="shared" si="5"/>
        <v>0</v>
      </c>
      <c r="U19" s="2"/>
      <c r="V19" s="19"/>
      <c r="W19" s="2"/>
      <c r="X19" s="2">
        <f t="shared" si="2"/>
        <v>6.78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"4040", " - ", "TAXABLE SALES-LOGO CLOTHING")</f>
        <v xml:space="preserve">          4040 - TAXABLE SALES-LOGO CLOTHING</v>
      </c>
      <c r="C20" s="11"/>
      <c r="D20" s="2">
        <f>--89991.91</f>
        <v>89991.91</v>
      </c>
      <c r="E20" s="2"/>
      <c r="F20" s="19"/>
      <c r="G20" s="2"/>
      <c r="H20" s="2">
        <f>--192827.81</f>
        <v>192827.81</v>
      </c>
      <c r="I20" s="2"/>
      <c r="J20" s="19"/>
      <c r="K20" s="2"/>
      <c r="L20" s="2">
        <f t="shared" si="0"/>
        <v>-102835.9</v>
      </c>
      <c r="M20" s="2"/>
      <c r="N20" s="19">
        <f t="shared" si="1"/>
        <v>-0.53330429879383057</v>
      </c>
      <c r="O20" s="11"/>
      <c r="P20" s="2">
        <f>--598102.9</f>
        <v>598102.9</v>
      </c>
      <c r="Q20" s="2"/>
      <c r="R20" s="19"/>
      <c r="S20" s="2"/>
      <c r="T20" s="2">
        <f>--1484618.99</f>
        <v>1484618.99</v>
      </c>
      <c r="U20" s="2"/>
      <c r="V20" s="19"/>
      <c r="W20" s="2"/>
      <c r="X20" s="2">
        <f t="shared" si="2"/>
        <v>-886516.09</v>
      </c>
      <c r="Y20" s="2"/>
      <c r="Z20" s="19">
        <f t="shared" si="3"/>
        <v>-0.5971337400176997</v>
      </c>
    </row>
    <row r="21" spans="1:26" s="24" customFormat="1" hidden="1" outlineLevel="1" x14ac:dyDescent="0.25">
      <c r="A21" s="44"/>
      <c r="B21" s="11" t="str">
        <f>CONCATENATE("          ", "4041", " - ", "TAXABLE SALES-LOGO GIFTS")</f>
        <v xml:space="preserve">          4041 - TAXABLE SALES-LOGO GIFTS</v>
      </c>
      <c r="C21" s="11"/>
      <c r="D21" s="2">
        <f>--23919.25</f>
        <v>23919.25</v>
      </c>
      <c r="E21" s="2"/>
      <c r="F21" s="19"/>
      <c r="G21" s="2"/>
      <c r="H21" s="2">
        <f>--36784.02</f>
        <v>36784.019999999997</v>
      </c>
      <c r="I21" s="2"/>
      <c r="J21" s="19"/>
      <c r="K21" s="2"/>
      <c r="L21" s="2">
        <f t="shared" si="0"/>
        <v>-12864.769999999997</v>
      </c>
      <c r="M21" s="2"/>
      <c r="N21" s="19">
        <f t="shared" si="1"/>
        <v>-0.3497380112342261</v>
      </c>
      <c r="O21" s="11"/>
      <c r="P21" s="2">
        <f>--160593.3</f>
        <v>160593.29999999999</v>
      </c>
      <c r="Q21" s="2"/>
      <c r="R21" s="19"/>
      <c r="S21" s="2"/>
      <c r="T21" s="2">
        <f>--235845.95</f>
        <v>235845.95</v>
      </c>
      <c r="U21" s="2"/>
      <c r="V21" s="19"/>
      <c r="W21" s="2"/>
      <c r="X21" s="2">
        <f t="shared" si="2"/>
        <v>-75252.650000000023</v>
      </c>
      <c r="Y21" s="2"/>
      <c r="Z21" s="19">
        <f t="shared" si="3"/>
        <v>-0.31907543886168077</v>
      </c>
    </row>
    <row r="22" spans="1:26" s="24" customFormat="1" hidden="1" outlineLevel="1" x14ac:dyDescent="0.25">
      <c r="A22" s="44"/>
      <c r="B22" s="11" t="str">
        <f>CONCATENATE("          ", "4042", " - ", "TAXABLE SALES-EVERYDAY GIFTS")</f>
        <v xml:space="preserve">          4042 - TAXABLE SALES-EVERYDAY GIFTS</v>
      </c>
      <c r="C22" s="11"/>
      <c r="D22" s="2">
        <f>--7611.45</f>
        <v>7611.45</v>
      </c>
      <c r="E22" s="2"/>
      <c r="F22" s="19"/>
      <c r="G22" s="2"/>
      <c r="H22" s="2">
        <f>--27223.6</f>
        <v>27223.599999999999</v>
      </c>
      <c r="I22" s="2"/>
      <c r="J22" s="19"/>
      <c r="K22" s="2"/>
      <c r="L22" s="2">
        <f t="shared" si="0"/>
        <v>-19612.149999999998</v>
      </c>
      <c r="M22" s="2"/>
      <c r="N22" s="19">
        <f t="shared" si="1"/>
        <v>-0.7204098649700994</v>
      </c>
      <c r="O22" s="11"/>
      <c r="P22" s="2">
        <f>--59655.3</f>
        <v>59655.3</v>
      </c>
      <c r="Q22" s="2"/>
      <c r="R22" s="19"/>
      <c r="S22" s="2"/>
      <c r="T22" s="2">
        <f>--179068.76</f>
        <v>179068.76</v>
      </c>
      <c r="U22" s="2"/>
      <c r="V22" s="19"/>
      <c r="W22" s="2"/>
      <c r="X22" s="2">
        <f t="shared" si="2"/>
        <v>-119413.46</v>
      </c>
      <c r="Y22" s="2"/>
      <c r="Z22" s="19">
        <f t="shared" si="3"/>
        <v>-0.66685813873955457</v>
      </c>
    </row>
    <row r="23" spans="1:26" s="24" customFormat="1" hidden="1" outlineLevel="1" x14ac:dyDescent="0.25">
      <c r="A23" s="44"/>
      <c r="B23" s="11" t="str">
        <f>CONCATENATE("          ", "4043", " - ", "TAXABLE SALES-CARDS")</f>
        <v xml:space="preserve">          4043 - TAXABLE SALES-CARDS</v>
      </c>
      <c r="C23" s="11"/>
      <c r="D23" s="2">
        <f>--24827.31</f>
        <v>24827.31</v>
      </c>
      <c r="E23" s="2"/>
      <c r="F23" s="19"/>
      <c r="G23" s="2"/>
      <c r="H23" s="2">
        <f>--8225.25</f>
        <v>8225.25</v>
      </c>
      <c r="I23" s="2"/>
      <c r="J23" s="19"/>
      <c r="K23" s="2"/>
      <c r="L23" s="2">
        <f t="shared" si="0"/>
        <v>16602.060000000001</v>
      </c>
      <c r="M23" s="2"/>
      <c r="N23" s="19">
        <f t="shared" si="1"/>
        <v>2.0184261876538709</v>
      </c>
      <c r="O23" s="11"/>
      <c r="P23" s="2">
        <f>--117920.5</f>
        <v>117920.5</v>
      </c>
      <c r="Q23" s="2"/>
      <c r="R23" s="19"/>
      <c r="S23" s="2"/>
      <c r="T23" s="2">
        <f>--22441.65</f>
        <v>22441.65</v>
      </c>
      <c r="U23" s="2"/>
      <c r="V23" s="19"/>
      <c r="W23" s="2"/>
      <c r="X23" s="2">
        <f t="shared" si="2"/>
        <v>95478.85</v>
      </c>
      <c r="Y23" s="2"/>
      <c r="Z23" s="19">
        <f t="shared" si="3"/>
        <v>4.2545378793448787</v>
      </c>
    </row>
    <row r="24" spans="1:26" s="24" customFormat="1" hidden="1" outlineLevel="1" x14ac:dyDescent="0.25">
      <c r="A24" s="44"/>
      <c r="B24" s="11" t="str">
        <f>CONCATENATE("          ", "4044", " - ", "TAXABLE SALES-ACCESSORIES")</f>
        <v xml:space="preserve">          4044 - TAXABLE SALES-ACCESSORIES</v>
      </c>
      <c r="C24" s="11"/>
      <c r="D24" s="2">
        <f>--1261.95</f>
        <v>1261.95</v>
      </c>
      <c r="E24" s="2"/>
      <c r="F24" s="19"/>
      <c r="G24" s="2"/>
      <c r="H24" s="2">
        <f>--6349.96</f>
        <v>6349.96</v>
      </c>
      <c r="I24" s="2"/>
      <c r="J24" s="19"/>
      <c r="K24" s="2"/>
      <c r="L24" s="2">
        <f t="shared" si="0"/>
        <v>-5088.01</v>
      </c>
      <c r="M24" s="2"/>
      <c r="N24" s="19">
        <f t="shared" si="1"/>
        <v>-0.80126646467064366</v>
      </c>
      <c r="O24" s="11"/>
      <c r="P24" s="2">
        <f>--27535.62</f>
        <v>27535.62</v>
      </c>
      <c r="Q24" s="2"/>
      <c r="R24" s="19"/>
      <c r="S24" s="2"/>
      <c r="T24" s="2">
        <f>--53086.16</f>
        <v>53086.16</v>
      </c>
      <c r="U24" s="2"/>
      <c r="V24" s="19"/>
      <c r="W24" s="2"/>
      <c r="X24" s="2">
        <f t="shared" si="2"/>
        <v>-25550.540000000005</v>
      </c>
      <c r="Y24" s="2"/>
      <c r="Z24" s="19">
        <f t="shared" si="3"/>
        <v>-0.48130322479531396</v>
      </c>
    </row>
    <row r="25" spans="1:26" s="24" customFormat="1" hidden="1" outlineLevel="1" x14ac:dyDescent="0.25">
      <c r="A25" s="44"/>
      <c r="B25" s="11" t="str">
        <f>CONCATENATE("          ", "4045", " - ", "TAXABLE SALES-SPECIAL ORDERS")</f>
        <v xml:space="preserve">          4045 - TAXABLE SALES-SPECIAL ORDERS</v>
      </c>
      <c r="C25" s="11"/>
      <c r="D25" s="2">
        <f>--3388.52</f>
        <v>3388.52</v>
      </c>
      <c r="E25" s="2"/>
      <c r="F25" s="19"/>
      <c r="G25" s="2"/>
      <c r="H25" s="2">
        <f>--8732.21</f>
        <v>8732.2099999999991</v>
      </c>
      <c r="I25" s="2"/>
      <c r="J25" s="19"/>
      <c r="K25" s="2"/>
      <c r="L25" s="2">
        <f t="shared" si="0"/>
        <v>-5343.6899999999987</v>
      </c>
      <c r="M25" s="2"/>
      <c r="N25" s="19">
        <f t="shared" si="1"/>
        <v>-0.6119516136235843</v>
      </c>
      <c r="O25" s="11"/>
      <c r="P25" s="2">
        <f>--125449.67</f>
        <v>125449.67</v>
      </c>
      <c r="Q25" s="2"/>
      <c r="R25" s="19"/>
      <c r="S25" s="2"/>
      <c r="T25" s="2">
        <f>--69738.03</f>
        <v>69738.03</v>
      </c>
      <c r="U25" s="2"/>
      <c r="V25" s="19"/>
      <c r="W25" s="2"/>
      <c r="X25" s="2">
        <f t="shared" si="2"/>
        <v>55711.64</v>
      </c>
      <c r="Y25" s="2"/>
      <c r="Z25" s="19">
        <f t="shared" si="3"/>
        <v>0.79887028641330993</v>
      </c>
    </row>
    <row r="26" spans="1:26" s="24" customFormat="1" hidden="1" outlineLevel="1" x14ac:dyDescent="0.25">
      <c r="A26" s="44"/>
      <c r="B26" s="11" t="str">
        <f>CONCATENATE("          ", "4092", " - ", "TAXABLE SALES-GRAD MERCH")</f>
        <v xml:space="preserve">          4092 - TAXABLE SALES-GRAD MERCH</v>
      </c>
      <c r="C26" s="11"/>
      <c r="D26" s="2">
        <f t="shared" ref="D26:D28" si="6"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27" si="7">0</f>
        <v>0</v>
      </c>
      <c r="Q26" s="2"/>
      <c r="R26" s="19"/>
      <c r="S26" s="2"/>
      <c r="T26" s="2">
        <f>-39.95</f>
        <v>-39.950000000000003</v>
      </c>
      <c r="U26" s="2"/>
      <c r="V26" s="19"/>
      <c r="W26" s="2"/>
      <c r="X26" s="2">
        <f t="shared" si="2"/>
        <v>39.950000000000003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"4095", " - ", "TAXABLE SALES-CUSTOMER SERVICE")</f>
        <v xml:space="preserve">          4095 - TAXABLE SALES-CUSTOMER SERVICE</v>
      </c>
      <c r="C27" s="11"/>
      <c r="D27" s="2">
        <f t="shared" si="6"/>
        <v>0</v>
      </c>
      <c r="E27" s="2"/>
      <c r="F27" s="19"/>
      <c r="G27" s="2"/>
      <c r="H27" s="2">
        <f>--0.99</f>
        <v>0.99</v>
      </c>
      <c r="I27" s="2"/>
      <c r="J27" s="19"/>
      <c r="K27" s="2"/>
      <c r="L27" s="2">
        <f t="shared" si="0"/>
        <v>-0.99</v>
      </c>
      <c r="M27" s="2"/>
      <c r="N27" s="19">
        <f t="shared" si="1"/>
        <v>-1</v>
      </c>
      <c r="O27" s="11"/>
      <c r="P27" s="2">
        <f t="shared" si="7"/>
        <v>0</v>
      </c>
      <c r="Q27" s="2"/>
      <c r="R27" s="19"/>
      <c r="S27" s="2"/>
      <c r="T27" s="2">
        <f>--29.7</f>
        <v>29.7</v>
      </c>
      <c r="U27" s="2"/>
      <c r="V27" s="19"/>
      <c r="W27" s="2"/>
      <c r="X27" s="2">
        <f t="shared" si="2"/>
        <v>-29.7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"4126", " - ", "NON-TAXABLE SALES-WRITING INST")</f>
        <v xml:space="preserve">          4126 - NON-TAXABLE SALES-WRITING INST</v>
      </c>
      <c r="C28" s="11"/>
      <c r="D28" s="2">
        <f t="shared" si="6"/>
        <v>0</v>
      </c>
      <c r="E28" s="2"/>
      <c r="F28" s="19"/>
      <c r="G28" s="2"/>
      <c r="H28" s="2">
        <f t="shared" ref="H28:H34" si="8">0</f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--52.68</f>
        <v>52.68</v>
      </c>
      <c r="Q28" s="2"/>
      <c r="R28" s="19"/>
      <c r="S28" s="2"/>
      <c r="T28" s="2">
        <f t="shared" ref="T28:T34" si="9">0</f>
        <v>0</v>
      </c>
      <c r="U28" s="2"/>
      <c r="V28" s="19"/>
      <c r="W28" s="2"/>
      <c r="X28" s="2">
        <f t="shared" si="2"/>
        <v>52.68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"4127", " - ", "NON-TAXABLE SALES-SCHOOL SUPPL")</f>
        <v xml:space="preserve">          4127 - NON-TAXABLE SALES-SCHOOL SUPPL</v>
      </c>
      <c r="C29" s="11"/>
      <c r="D29" s="2">
        <f>--2539.06</f>
        <v>2539.06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2539.06</v>
      </c>
      <c r="M29" s="2"/>
      <c r="N29" s="19">
        <f t="shared" si="1"/>
        <v>0</v>
      </c>
      <c r="O29" s="11"/>
      <c r="P29" s="2">
        <f>--5745.17</f>
        <v>5745.17</v>
      </c>
      <c r="Q29" s="2"/>
      <c r="R29" s="19"/>
      <c r="S29" s="2"/>
      <c r="T29" s="2">
        <f t="shared" si="9"/>
        <v>0</v>
      </c>
      <c r="U29" s="2"/>
      <c r="V29" s="19"/>
      <c r="W29" s="2"/>
      <c r="X29" s="2">
        <f t="shared" si="2"/>
        <v>5745.17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"4128", " - ", "NON-TAXABLE SALES-ART/TECH")</f>
        <v xml:space="preserve">          4128 - NON-TAXABLE SALES-ART/TECH</v>
      </c>
      <c r="C30" s="11"/>
      <c r="D30" s="2">
        <f>--4.72</f>
        <v>4.72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4.72</v>
      </c>
      <c r="M30" s="2"/>
      <c r="N30" s="19">
        <f t="shared" si="1"/>
        <v>0</v>
      </c>
      <c r="O30" s="11"/>
      <c r="P30" s="2">
        <f>--29.5</f>
        <v>29.5</v>
      </c>
      <c r="Q30" s="2"/>
      <c r="R30" s="19"/>
      <c r="S30" s="2"/>
      <c r="T30" s="2">
        <f t="shared" si="9"/>
        <v>0</v>
      </c>
      <c r="U30" s="2"/>
      <c r="V30" s="19"/>
      <c r="W30" s="2"/>
      <c r="X30" s="2">
        <f t="shared" si="2"/>
        <v>29.5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"4131", " - ", "NON-TAXABLE SALES-FOOD")</f>
        <v xml:space="preserve">          4131 - NON-TAXABLE SALES-FOOD</v>
      </c>
      <c r="C31" s="11"/>
      <c r="D31" s="2">
        <f>--1098.12</f>
        <v>1098.1199999999999</v>
      </c>
      <c r="E31" s="2"/>
      <c r="F31" s="19"/>
      <c r="G31" s="2"/>
      <c r="H31" s="2">
        <f t="shared" si="8"/>
        <v>0</v>
      </c>
      <c r="I31" s="2"/>
      <c r="J31" s="19"/>
      <c r="K31" s="2"/>
      <c r="L31" s="2">
        <f t="shared" si="0"/>
        <v>1098.1199999999999</v>
      </c>
      <c r="M31" s="2"/>
      <c r="N31" s="19">
        <f t="shared" si="1"/>
        <v>0</v>
      </c>
      <c r="O31" s="11"/>
      <c r="P31" s="2">
        <f>--6793.11</f>
        <v>6793.11</v>
      </c>
      <c r="Q31" s="2"/>
      <c r="R31" s="19"/>
      <c r="S31" s="2"/>
      <c r="T31" s="2">
        <f t="shared" si="9"/>
        <v>0</v>
      </c>
      <c r="U31" s="2"/>
      <c r="V31" s="19"/>
      <c r="W31" s="2"/>
      <c r="X31" s="2">
        <f t="shared" si="2"/>
        <v>6793.11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"4132", " - ", "NON-TAXABLE SALES-JUICE")</f>
        <v xml:space="preserve">          4132 - NON-TAXABLE SALES-JUICE</v>
      </c>
      <c r="C32" s="11"/>
      <c r="D32" s="2">
        <f t="shared" ref="D32:D35" si="10">0</f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--22.49</f>
        <v>22.49</v>
      </c>
      <c r="Q32" s="2"/>
      <c r="R32" s="19"/>
      <c r="S32" s="2"/>
      <c r="T32" s="2">
        <f t="shared" si="9"/>
        <v>0</v>
      </c>
      <c r="U32" s="2"/>
      <c r="V32" s="19"/>
      <c r="W32" s="2"/>
      <c r="X32" s="2">
        <f t="shared" si="2"/>
        <v>22.49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"4133", " - ", "NON-TAXABLE SALES-CANDY")</f>
        <v xml:space="preserve">          4133 - NON-TAXABLE SALES-CANDY</v>
      </c>
      <c r="C33" s="11"/>
      <c r="D33" s="2">
        <f t="shared" si="10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--80.71</f>
        <v>80.709999999999994</v>
      </c>
      <c r="Q33" s="2"/>
      <c r="R33" s="19"/>
      <c r="S33" s="2"/>
      <c r="T33" s="2">
        <f t="shared" si="9"/>
        <v>0</v>
      </c>
      <c r="U33" s="2"/>
      <c r="V33" s="19"/>
      <c r="W33" s="2"/>
      <c r="X33" s="2">
        <f t="shared" si="2"/>
        <v>80.709999999999994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"4134", " - ", "NON-TAXABLE SALES-SODA")</f>
        <v xml:space="preserve">          4134 - NON-TAXABLE SALES-SODA</v>
      </c>
      <c r="C34" s="11"/>
      <c r="D34" s="2">
        <f t="shared" si="10"/>
        <v>0</v>
      </c>
      <c r="E34" s="2"/>
      <c r="F34" s="19"/>
      <c r="G34" s="2"/>
      <c r="H34" s="2">
        <f t="shared" si="8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--45.53</f>
        <v>45.53</v>
      </c>
      <c r="Q34" s="2"/>
      <c r="R34" s="19"/>
      <c r="S34" s="2"/>
      <c r="T34" s="2">
        <f t="shared" si="9"/>
        <v>0</v>
      </c>
      <c r="U34" s="2"/>
      <c r="V34" s="19"/>
      <c r="W34" s="2"/>
      <c r="X34" s="2">
        <f t="shared" si="2"/>
        <v>45.53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"4137", " - ", "NON-TAXABLE SALES-WATER")</f>
        <v xml:space="preserve">          4137 - NON-TAXABLE SALES-WATER</v>
      </c>
      <c r="C35" s="11"/>
      <c r="D35" s="2">
        <f t="shared" si="10"/>
        <v>0</v>
      </c>
      <c r="E35" s="2"/>
      <c r="F35" s="19"/>
      <c r="G35" s="2"/>
      <c r="H35" s="2">
        <f>--10.5</f>
        <v>10.5</v>
      </c>
      <c r="I35" s="2"/>
      <c r="J35" s="19"/>
      <c r="K35" s="2"/>
      <c r="L35" s="2">
        <f t="shared" si="0"/>
        <v>-10.5</v>
      </c>
      <c r="M35" s="2"/>
      <c r="N35" s="19">
        <f t="shared" si="1"/>
        <v>-1</v>
      </c>
      <c r="O35" s="11"/>
      <c r="P35" s="2">
        <f>--68.25</f>
        <v>68.25</v>
      </c>
      <c r="Q35" s="2"/>
      <c r="R35" s="19"/>
      <c r="S35" s="2"/>
      <c r="T35" s="2">
        <f>--103.5</f>
        <v>103.5</v>
      </c>
      <c r="U35" s="2"/>
      <c r="V35" s="19"/>
      <c r="W35" s="2"/>
      <c r="X35" s="2">
        <f t="shared" si="2"/>
        <v>-35.25</v>
      </c>
      <c r="Y35" s="2"/>
      <c r="Z35" s="19">
        <f t="shared" si="3"/>
        <v>-0.34057971014492755</v>
      </c>
    </row>
    <row r="36" spans="1:26" s="24" customFormat="1" hidden="1" outlineLevel="1" x14ac:dyDescent="0.25">
      <c r="A36" s="44"/>
      <c r="B36" s="11" t="str">
        <f>CONCATENATE("          ", "4140", " - ", "NON-TAXABLE SALES-LOGO CLOTHIN")</f>
        <v xml:space="preserve">          4140 - NON-TAXABLE SALES-LOGO CLOTHIN</v>
      </c>
      <c r="C36" s="11"/>
      <c r="D36" s="2">
        <f>--9206.45</f>
        <v>9206.4500000000007</v>
      </c>
      <c r="E36" s="2"/>
      <c r="F36" s="19"/>
      <c r="G36" s="2"/>
      <c r="H36" s="2">
        <f>--3758.83</f>
        <v>3758.83</v>
      </c>
      <c r="I36" s="2"/>
      <c r="J36" s="19"/>
      <c r="K36" s="2"/>
      <c r="L36" s="2">
        <f t="shared" si="0"/>
        <v>5447.6200000000008</v>
      </c>
      <c r="M36" s="2"/>
      <c r="N36" s="19">
        <f t="shared" si="1"/>
        <v>1.4492860810411752</v>
      </c>
      <c r="O36" s="11"/>
      <c r="P36" s="2">
        <f>--113177.42</f>
        <v>113177.42</v>
      </c>
      <c r="Q36" s="2"/>
      <c r="R36" s="19"/>
      <c r="S36" s="2"/>
      <c r="T36" s="2">
        <f>--42582.67</f>
        <v>42582.67</v>
      </c>
      <c r="U36" s="2"/>
      <c r="V36" s="19"/>
      <c r="W36" s="2"/>
      <c r="X36" s="2">
        <f t="shared" si="2"/>
        <v>70594.75</v>
      </c>
      <c r="Y36" s="2"/>
      <c r="Z36" s="19">
        <f t="shared" si="3"/>
        <v>1.6578281728224182</v>
      </c>
    </row>
    <row r="37" spans="1:26" s="24" customFormat="1" hidden="1" outlineLevel="1" x14ac:dyDescent="0.25">
      <c r="A37" s="44"/>
      <c r="B37" s="11" t="str">
        <f>CONCATENATE("          ", "4141", " - ", "NON-TAXABLE SALES-LOGO GIFTS")</f>
        <v xml:space="preserve">          4141 - NON-TAXABLE SALES-LOGO GIFTS</v>
      </c>
      <c r="C37" s="11"/>
      <c r="D37" s="2">
        <f>--1163.92</f>
        <v>1163.92</v>
      </c>
      <c r="E37" s="2"/>
      <c r="F37" s="19"/>
      <c r="G37" s="2"/>
      <c r="H37" s="2">
        <f>--1020.72</f>
        <v>1020.72</v>
      </c>
      <c r="I37" s="2"/>
      <c r="J37" s="19"/>
      <c r="K37" s="2"/>
      <c r="L37" s="2">
        <f t="shared" si="0"/>
        <v>143.20000000000005</v>
      </c>
      <c r="M37" s="2"/>
      <c r="N37" s="19">
        <f t="shared" si="1"/>
        <v>0.14029312642056591</v>
      </c>
      <c r="O37" s="11"/>
      <c r="P37" s="2">
        <f>--6613.52</f>
        <v>6613.52</v>
      </c>
      <c r="Q37" s="2"/>
      <c r="R37" s="19"/>
      <c r="S37" s="2"/>
      <c r="T37" s="2">
        <f>--3397.85</f>
        <v>3397.85</v>
      </c>
      <c r="U37" s="2"/>
      <c r="V37" s="19"/>
      <c r="W37" s="2"/>
      <c r="X37" s="2">
        <f t="shared" si="2"/>
        <v>3215.6700000000005</v>
      </c>
      <c r="Y37" s="2"/>
      <c r="Z37" s="19">
        <f t="shared" si="3"/>
        <v>0.94638374266080039</v>
      </c>
    </row>
    <row r="38" spans="1:26" s="24" customFormat="1" hidden="1" outlineLevel="1" x14ac:dyDescent="0.25">
      <c r="A38" s="44"/>
      <c r="B38" s="11" t="str">
        <f>CONCATENATE("          ", "4142", " - ", "NON-TAXABLE SALES-EVERYDAY GIF")</f>
        <v xml:space="preserve">          4142 - NON-TAXABLE SALES-EVERYDAY GIF</v>
      </c>
      <c r="C38" s="11"/>
      <c r="D38" s="2">
        <f>--51.7</f>
        <v>51.7</v>
      </c>
      <c r="E38" s="2"/>
      <c r="F38" s="19"/>
      <c r="G38" s="2"/>
      <c r="H38" s="2">
        <f>--545.58</f>
        <v>545.58000000000004</v>
      </c>
      <c r="I38" s="2"/>
      <c r="J38" s="19"/>
      <c r="K38" s="2"/>
      <c r="L38" s="2">
        <f t="shared" si="0"/>
        <v>-493.88000000000005</v>
      </c>
      <c r="M38" s="2"/>
      <c r="N38" s="19">
        <f t="shared" si="1"/>
        <v>-0.90523846182044798</v>
      </c>
      <c r="O38" s="11"/>
      <c r="P38" s="2">
        <f>--1149.3</f>
        <v>1149.3</v>
      </c>
      <c r="Q38" s="2"/>
      <c r="R38" s="19"/>
      <c r="S38" s="2"/>
      <c r="T38" s="2">
        <f>--4276.07</f>
        <v>4276.07</v>
      </c>
      <c r="U38" s="2"/>
      <c r="V38" s="19"/>
      <c r="W38" s="2"/>
      <c r="X38" s="2">
        <f t="shared" si="2"/>
        <v>-3126.7699999999995</v>
      </c>
      <c r="Y38" s="2"/>
      <c r="Z38" s="19">
        <f t="shared" si="3"/>
        <v>-0.73122516703421592</v>
      </c>
    </row>
    <row r="39" spans="1:26" s="24" customFormat="1" hidden="1" outlineLevel="1" x14ac:dyDescent="0.25">
      <c r="A39" s="44"/>
      <c r="B39" s="11" t="str">
        <f>CONCATENATE("          ", "4143", " - ", "NON-TAXABLE SALES-CARDS")</f>
        <v xml:space="preserve">          4143 - NON-TAXABLE SALES-CARDS</v>
      </c>
      <c r="C39" s="11"/>
      <c r="D39" s="2">
        <f>--232.71</f>
        <v>232.71</v>
      </c>
      <c r="E39" s="2"/>
      <c r="F39" s="19"/>
      <c r="G39" s="2"/>
      <c r="H39" s="2">
        <f>0</f>
        <v>0</v>
      </c>
      <c r="I39" s="2"/>
      <c r="J39" s="19"/>
      <c r="K39" s="2"/>
      <c r="L39" s="2">
        <f t="shared" si="0"/>
        <v>232.71</v>
      </c>
      <c r="M39" s="2"/>
      <c r="N39" s="19">
        <f t="shared" si="1"/>
        <v>0</v>
      </c>
      <c r="O39" s="11"/>
      <c r="P39" s="2">
        <f>--1969.74</f>
        <v>1969.74</v>
      </c>
      <c r="Q39" s="2"/>
      <c r="R39" s="19"/>
      <c r="S39" s="2"/>
      <c r="T39" s="2">
        <f>0</f>
        <v>0</v>
      </c>
      <c r="U39" s="2"/>
      <c r="V39" s="19"/>
      <c r="W39" s="2"/>
      <c r="X39" s="2">
        <f t="shared" si="2"/>
        <v>1969.74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"4144", " - ", "NON-TAXABLE SALES-ACCESSORIES")</f>
        <v xml:space="preserve">          4144 - NON-TAXABLE SALES-ACCESSORIES</v>
      </c>
      <c r="C40" s="11"/>
      <c r="D40" s="2">
        <f>--119.9</f>
        <v>119.9</v>
      </c>
      <c r="E40" s="2"/>
      <c r="F40" s="19"/>
      <c r="G40" s="2"/>
      <c r="H40" s="2">
        <f>--374.48</f>
        <v>374.48</v>
      </c>
      <c r="I40" s="2"/>
      <c r="J40" s="19"/>
      <c r="K40" s="2"/>
      <c r="L40" s="2">
        <f t="shared" si="0"/>
        <v>-254.58</v>
      </c>
      <c r="M40" s="2"/>
      <c r="N40" s="19">
        <f t="shared" si="1"/>
        <v>-0.67982268745994445</v>
      </c>
      <c r="O40" s="11"/>
      <c r="P40" s="2">
        <f>--609.4</f>
        <v>609.4</v>
      </c>
      <c r="Q40" s="2"/>
      <c r="R40" s="19"/>
      <c r="S40" s="2"/>
      <c r="T40" s="2">
        <f>--967.33</f>
        <v>967.33</v>
      </c>
      <c r="U40" s="2"/>
      <c r="V40" s="19"/>
      <c r="W40" s="2"/>
      <c r="X40" s="2">
        <f t="shared" si="2"/>
        <v>-357.93000000000006</v>
      </c>
      <c r="Y40" s="2"/>
      <c r="Z40" s="19">
        <f t="shared" si="3"/>
        <v>-0.37001850454343405</v>
      </c>
    </row>
    <row r="41" spans="1:26" s="24" customFormat="1" hidden="1" outlineLevel="1" x14ac:dyDescent="0.25">
      <c r="A41" s="44"/>
      <c r="B41" s="11" t="str">
        <f>CONCATENATE("          ", "4145", " - ", "NON-TAXABLE SALES-SPECIAL ORDE")</f>
        <v xml:space="preserve">          4145 - NON-TAXABLE SALES-SPECIAL ORDE</v>
      </c>
      <c r="C41" s="11"/>
      <c r="D41" s="2">
        <f>-1677.68</f>
        <v>-1677.68</v>
      </c>
      <c r="E41" s="2"/>
      <c r="F41" s="19"/>
      <c r="G41" s="2"/>
      <c r="H41" s="2">
        <f t="shared" ref="H41:H44" si="11">0</f>
        <v>0</v>
      </c>
      <c r="I41" s="2"/>
      <c r="J41" s="19"/>
      <c r="K41" s="2"/>
      <c r="L41" s="2">
        <f t="shared" si="0"/>
        <v>-1677.68</v>
      </c>
      <c r="M41" s="2"/>
      <c r="N41" s="19">
        <f t="shared" si="1"/>
        <v>0</v>
      </c>
      <c r="O41" s="11"/>
      <c r="P41" s="2">
        <f>--53716.09</f>
        <v>53716.09</v>
      </c>
      <c r="Q41" s="2"/>
      <c r="R41" s="19"/>
      <c r="S41" s="2"/>
      <c r="T41" s="2">
        <f>--140</f>
        <v>140</v>
      </c>
      <c r="U41" s="2"/>
      <c r="V41" s="19"/>
      <c r="W41" s="2"/>
      <c r="X41" s="2">
        <f t="shared" si="2"/>
        <v>53576.09</v>
      </c>
      <c r="Y41" s="2"/>
      <c r="Z41" s="19">
        <f t="shared" si="3"/>
        <v>382.6863571428571</v>
      </c>
    </row>
    <row r="42" spans="1:26" s="24" customFormat="1" hidden="1" outlineLevel="1" x14ac:dyDescent="0.25">
      <c r="A42" s="44"/>
      <c r="B42" s="11" t="str">
        <f>CONCATENATE("          ", "4226", " - ", "SALES RETURN TAXABLE-WRITING I")</f>
        <v xml:space="preserve">          4226 - SALES RETURN TAXABLE-WRITING I</v>
      </c>
      <c r="C42" s="11"/>
      <c r="D42" s="2">
        <f>0</f>
        <v>0</v>
      </c>
      <c r="E42" s="2"/>
      <c r="F42" s="19"/>
      <c r="G42" s="2"/>
      <c r="H42" s="2">
        <f t="shared" si="11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-34.23</f>
        <v>-34.229999999999997</v>
      </c>
      <c r="Q42" s="2"/>
      <c r="R42" s="19"/>
      <c r="S42" s="2"/>
      <c r="T42" s="2">
        <f>-134.8</f>
        <v>-134.80000000000001</v>
      </c>
      <c r="U42" s="2"/>
      <c r="V42" s="19"/>
      <c r="W42" s="2"/>
      <c r="X42" s="2">
        <f t="shared" si="2"/>
        <v>100.57000000000002</v>
      </c>
      <c r="Y42" s="2"/>
      <c r="Z42" s="19">
        <f t="shared" si="3"/>
        <v>-0.74606824925816029</v>
      </c>
    </row>
    <row r="43" spans="1:26" s="24" customFormat="1" hidden="1" outlineLevel="1" x14ac:dyDescent="0.25">
      <c r="A43" s="44"/>
      <c r="B43" s="11" t="str">
        <f>CONCATENATE("          ", "4227", " - ", "SALES RETURN TAXABLE-SCHOOL SU")</f>
        <v xml:space="preserve">          4227 - SALES RETURN TAXABLE-SCHOOL SU</v>
      </c>
      <c r="C43" s="11"/>
      <c r="D43" s="2">
        <f>-126.22</f>
        <v>-126.22</v>
      </c>
      <c r="E43" s="2"/>
      <c r="F43" s="19"/>
      <c r="G43" s="2"/>
      <c r="H43" s="2">
        <f t="shared" si="11"/>
        <v>0</v>
      </c>
      <c r="I43" s="2"/>
      <c r="J43" s="19"/>
      <c r="K43" s="2"/>
      <c r="L43" s="2">
        <f t="shared" si="0"/>
        <v>-126.22</v>
      </c>
      <c r="M43" s="2"/>
      <c r="N43" s="19">
        <f t="shared" si="1"/>
        <v>0</v>
      </c>
      <c r="O43" s="11"/>
      <c r="P43" s="2">
        <f>-602.71</f>
        <v>-602.71</v>
      </c>
      <c r="Q43" s="2"/>
      <c r="R43" s="19"/>
      <c r="S43" s="2"/>
      <c r="T43" s="2">
        <f t="shared" ref="T43:T44" si="12">0</f>
        <v>0</v>
      </c>
      <c r="U43" s="2"/>
      <c r="V43" s="19"/>
      <c r="W43" s="2"/>
      <c r="X43" s="2">
        <f t="shared" si="2"/>
        <v>-602.71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"4228", " - ", "SALES RETURN TAXABLE-ART/TECH")</f>
        <v xml:space="preserve">          4228 - SALES RETURN TAXABLE-ART/TECH</v>
      </c>
      <c r="C44" s="11"/>
      <c r="D44" s="2">
        <f>-12473.84</f>
        <v>-12473.84</v>
      </c>
      <c r="E44" s="2"/>
      <c r="F44" s="19"/>
      <c r="G44" s="2"/>
      <c r="H44" s="2">
        <f t="shared" si="11"/>
        <v>0</v>
      </c>
      <c r="I44" s="2"/>
      <c r="J44" s="19"/>
      <c r="K44" s="2"/>
      <c r="L44" s="2">
        <f t="shared" si="0"/>
        <v>-12473.84</v>
      </c>
      <c r="M44" s="2"/>
      <c r="N44" s="19">
        <f t="shared" si="1"/>
        <v>0</v>
      </c>
      <c r="O44" s="11"/>
      <c r="P44" s="2">
        <f>-12506.33</f>
        <v>-12506.33</v>
      </c>
      <c r="Q44" s="2"/>
      <c r="R44" s="19"/>
      <c r="S44" s="2"/>
      <c r="T44" s="2">
        <f t="shared" si="12"/>
        <v>0</v>
      </c>
      <c r="U44" s="2"/>
      <c r="V44" s="19"/>
      <c r="W44" s="2"/>
      <c r="X44" s="2">
        <f t="shared" si="2"/>
        <v>-12506.33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"4240", " - ", "SALES RETURN TAXABLE-LOGO CLOT")</f>
        <v xml:space="preserve">          4240 - SALES RETURN TAXABLE-LOGO CLOT</v>
      </c>
      <c r="C45" s="11"/>
      <c r="D45" s="2">
        <f>-7168.03</f>
        <v>-7168.03</v>
      </c>
      <c r="E45" s="2"/>
      <c r="F45" s="19"/>
      <c r="G45" s="2"/>
      <c r="H45" s="2">
        <f>-12286.81</f>
        <v>-12286.81</v>
      </c>
      <c r="I45" s="2"/>
      <c r="J45" s="19"/>
      <c r="K45" s="2"/>
      <c r="L45" s="2">
        <f t="shared" si="0"/>
        <v>5118.78</v>
      </c>
      <c r="M45" s="2"/>
      <c r="N45" s="19">
        <f t="shared" si="1"/>
        <v>-0.41660772812471258</v>
      </c>
      <c r="O45" s="11"/>
      <c r="P45" s="2">
        <f>-27586.87</f>
        <v>-27586.87</v>
      </c>
      <c r="Q45" s="2"/>
      <c r="R45" s="19"/>
      <c r="S45" s="2"/>
      <c r="T45" s="2">
        <f>-61608.75</f>
        <v>-61608.75</v>
      </c>
      <c r="U45" s="2"/>
      <c r="V45" s="19"/>
      <c r="W45" s="2"/>
      <c r="X45" s="2">
        <f t="shared" si="2"/>
        <v>34021.880000000005</v>
      </c>
      <c r="Y45" s="2"/>
      <c r="Z45" s="19">
        <f t="shared" si="3"/>
        <v>-0.55222480572970567</v>
      </c>
    </row>
    <row r="46" spans="1:26" s="24" customFormat="1" hidden="1" outlineLevel="1" x14ac:dyDescent="0.25">
      <c r="A46" s="44"/>
      <c r="B46" s="11" t="str">
        <f>CONCATENATE("          ", "4241", " - ", "SALES RETURN TAXABLE-LOGO GIFT")</f>
        <v xml:space="preserve">          4241 - SALES RETURN TAXABLE-LOGO GIFT</v>
      </c>
      <c r="C46" s="11"/>
      <c r="D46" s="2">
        <f>-981.71</f>
        <v>-981.71</v>
      </c>
      <c r="E46" s="2"/>
      <c r="F46" s="19"/>
      <c r="G46" s="2"/>
      <c r="H46" s="2">
        <f>-481.99</f>
        <v>-481.99</v>
      </c>
      <c r="I46" s="2"/>
      <c r="J46" s="19"/>
      <c r="K46" s="2"/>
      <c r="L46" s="2">
        <f t="shared" si="0"/>
        <v>-499.72</v>
      </c>
      <c r="M46" s="2"/>
      <c r="N46" s="19">
        <f t="shared" si="1"/>
        <v>1.0367849955393267</v>
      </c>
      <c r="O46" s="11"/>
      <c r="P46" s="2">
        <f>-3703.37</f>
        <v>-3703.37</v>
      </c>
      <c r="Q46" s="2"/>
      <c r="R46" s="19"/>
      <c r="S46" s="2"/>
      <c r="T46" s="2">
        <f>-3996.11</f>
        <v>-3996.11</v>
      </c>
      <c r="U46" s="2"/>
      <c r="V46" s="19"/>
      <c r="W46" s="2"/>
      <c r="X46" s="2">
        <f t="shared" si="2"/>
        <v>292.74000000000024</v>
      </c>
      <c r="Y46" s="2"/>
      <c r="Z46" s="19">
        <f t="shared" si="3"/>
        <v>-7.3256241695048491E-2</v>
      </c>
    </row>
    <row r="47" spans="1:26" s="24" customFormat="1" hidden="1" outlineLevel="1" x14ac:dyDescent="0.25">
      <c r="A47" s="44"/>
      <c r="B47" s="11" t="str">
        <f>CONCATENATE("          ", "4242", " - ", "SALES RETURN TAXABLE-EVERYDAY")</f>
        <v xml:space="preserve">          4242 - SALES RETURN TAXABLE-EVERYDAY</v>
      </c>
      <c r="C47" s="11"/>
      <c r="D47" s="2">
        <f>-76.86</f>
        <v>-76.86</v>
      </c>
      <c r="E47" s="2"/>
      <c r="F47" s="19"/>
      <c r="G47" s="2"/>
      <c r="H47" s="2">
        <f>-700.91</f>
        <v>-700.91</v>
      </c>
      <c r="I47" s="2"/>
      <c r="J47" s="19"/>
      <c r="K47" s="2"/>
      <c r="L47" s="2">
        <f t="shared" si="0"/>
        <v>624.04999999999995</v>
      </c>
      <c r="M47" s="2"/>
      <c r="N47" s="19">
        <f t="shared" si="1"/>
        <v>-0.89034255467891743</v>
      </c>
      <c r="O47" s="11"/>
      <c r="P47" s="2">
        <f>-1693.78</f>
        <v>-1693.78</v>
      </c>
      <c r="Q47" s="2"/>
      <c r="R47" s="19"/>
      <c r="S47" s="2"/>
      <c r="T47" s="2">
        <f>-3474.13</f>
        <v>-3474.13</v>
      </c>
      <c r="U47" s="2"/>
      <c r="V47" s="19"/>
      <c r="W47" s="2"/>
      <c r="X47" s="2">
        <f t="shared" si="2"/>
        <v>1780.3500000000001</v>
      </c>
      <c r="Y47" s="2"/>
      <c r="Z47" s="19">
        <f t="shared" si="3"/>
        <v>-0.51245923439825225</v>
      </c>
    </row>
    <row r="48" spans="1:26" s="24" customFormat="1" hidden="1" outlineLevel="1" x14ac:dyDescent="0.25">
      <c r="A48" s="44"/>
      <c r="B48" s="11" t="str">
        <f>CONCATENATE("          ", "4243", " - ", "SALES RETURN TAXABLE-CARDS")</f>
        <v xml:space="preserve">          4243 - SALES RETURN TAXABLE-CARDS</v>
      </c>
      <c r="C48" s="11"/>
      <c r="D48" s="2">
        <f>-1422.25</f>
        <v>-1422.25</v>
      </c>
      <c r="E48" s="2"/>
      <c r="F48" s="19"/>
      <c r="G48" s="2"/>
      <c r="H48" s="2">
        <f>-344.74</f>
        <v>-344.74</v>
      </c>
      <c r="I48" s="2"/>
      <c r="J48" s="19"/>
      <c r="K48" s="2"/>
      <c r="L48" s="2">
        <f t="shared" si="0"/>
        <v>-1077.51</v>
      </c>
      <c r="M48" s="2"/>
      <c r="N48" s="19">
        <f t="shared" si="1"/>
        <v>3.1255728955154609</v>
      </c>
      <c r="O48" s="11"/>
      <c r="P48" s="2">
        <f>-4999.79</f>
        <v>-4999.79</v>
      </c>
      <c r="Q48" s="2"/>
      <c r="R48" s="19"/>
      <c r="S48" s="2"/>
      <c r="T48" s="2">
        <f>-1224.21</f>
        <v>-1224.21</v>
      </c>
      <c r="U48" s="2"/>
      <c r="V48" s="19"/>
      <c r="W48" s="2"/>
      <c r="X48" s="2">
        <f t="shared" si="2"/>
        <v>-3775.58</v>
      </c>
      <c r="Y48" s="2"/>
      <c r="Z48" s="19">
        <f t="shared" si="3"/>
        <v>3.0840950490520416</v>
      </c>
    </row>
    <row r="49" spans="1:26" s="24" customFormat="1" hidden="1" outlineLevel="1" x14ac:dyDescent="0.25">
      <c r="A49" s="44"/>
      <c r="B49" s="11" t="str">
        <f>CONCATENATE("          ", "4244", " - ", "SALES RETURN TAXABLE-ACCESSORI")</f>
        <v xml:space="preserve">          4244 - SALES RETURN TAXABLE-ACCESSORI</v>
      </c>
      <c r="C49" s="11"/>
      <c r="D49" s="2">
        <f>-93.98</f>
        <v>-93.98</v>
      </c>
      <c r="E49" s="2"/>
      <c r="F49" s="19"/>
      <c r="G49" s="2"/>
      <c r="H49" s="2">
        <f>-370.28</f>
        <v>-370.28</v>
      </c>
      <c r="I49" s="2"/>
      <c r="J49" s="19"/>
      <c r="K49" s="2"/>
      <c r="L49" s="2">
        <f t="shared" si="0"/>
        <v>276.29999999999995</v>
      </c>
      <c r="M49" s="2"/>
      <c r="N49" s="19">
        <f t="shared" si="1"/>
        <v>-0.74619207086529105</v>
      </c>
      <c r="O49" s="11"/>
      <c r="P49" s="2">
        <f>-984.85</f>
        <v>-984.85</v>
      </c>
      <c r="Q49" s="2"/>
      <c r="R49" s="19"/>
      <c r="S49" s="2"/>
      <c r="T49" s="2">
        <f>-2102.05</f>
        <v>-2102.0500000000002</v>
      </c>
      <c r="U49" s="2"/>
      <c r="V49" s="19"/>
      <c r="W49" s="2"/>
      <c r="X49" s="2">
        <f t="shared" si="2"/>
        <v>1117.2000000000003</v>
      </c>
      <c r="Y49" s="2"/>
      <c r="Z49" s="19">
        <f t="shared" si="3"/>
        <v>-0.5314811731405058</v>
      </c>
    </row>
    <row r="50" spans="1:26" s="24" customFormat="1" hidden="1" outlineLevel="1" x14ac:dyDescent="0.25">
      <c r="A50" s="44"/>
      <c r="B50" s="11" t="str">
        <f>CONCATENATE("          ", "4245", " - ", "SALES RETURN TAXABLE-SPECIAL O")</f>
        <v xml:space="preserve">          4245 - SALES RETURN TAXABLE-SPECIAL O</v>
      </c>
      <c r="C50" s="11"/>
      <c r="D50" s="2">
        <f t="shared" ref="D50:D51" si="13">0</f>
        <v>0</v>
      </c>
      <c r="E50" s="2"/>
      <c r="F50" s="19"/>
      <c r="G50" s="2"/>
      <c r="H50" s="2">
        <f>-1623.09</f>
        <v>-1623.09</v>
      </c>
      <c r="I50" s="2"/>
      <c r="J50" s="19"/>
      <c r="K50" s="2"/>
      <c r="L50" s="2">
        <f t="shared" si="0"/>
        <v>1623.09</v>
      </c>
      <c r="M50" s="2"/>
      <c r="N50" s="19">
        <f t="shared" si="1"/>
        <v>-1</v>
      </c>
      <c r="O50" s="11"/>
      <c r="P50" s="2">
        <f>-11345.61</f>
        <v>-11345.61</v>
      </c>
      <c r="Q50" s="2"/>
      <c r="R50" s="19"/>
      <c r="S50" s="2"/>
      <c r="T50" s="2">
        <f>-1715.05</f>
        <v>-1715.05</v>
      </c>
      <c r="U50" s="2"/>
      <c r="V50" s="19"/>
      <c r="W50" s="2"/>
      <c r="X50" s="2">
        <f t="shared" si="2"/>
        <v>-9630.5600000000013</v>
      </c>
      <c r="Y50" s="2"/>
      <c r="Z50" s="19">
        <f t="shared" si="3"/>
        <v>5.6153231684207467</v>
      </c>
    </row>
    <row r="51" spans="1:26" s="24" customFormat="1" hidden="1" outlineLevel="1" x14ac:dyDescent="0.25">
      <c r="A51" s="44"/>
      <c r="B51" s="11" t="str">
        <f>CONCATENATE("          ", "4295", " - ", "SALES RETURN TAXABLE-CUSTOMER")</f>
        <v xml:space="preserve">          4295 - SALES RETURN TAXABLE-CUSTOMER</v>
      </c>
      <c r="C51" s="11"/>
      <c r="D51" s="2">
        <f t="shared" si="13"/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0</f>
        <v>0</v>
      </c>
      <c r="Q51" s="2"/>
      <c r="R51" s="19"/>
      <c r="S51" s="2"/>
      <c r="T51" s="2">
        <f>--0.99</f>
        <v>0.99</v>
      </c>
      <c r="U51" s="2"/>
      <c r="V51" s="19"/>
      <c r="W51" s="2"/>
      <c r="X51" s="2">
        <f t="shared" si="2"/>
        <v>-0.99</v>
      </c>
      <c r="Y51" s="2"/>
      <c r="Z51" s="19">
        <f t="shared" si="3"/>
        <v>-1</v>
      </c>
    </row>
    <row r="52" spans="1:26" s="24" customFormat="1" hidden="1" outlineLevel="1" x14ac:dyDescent="0.25">
      <c r="A52" s="44"/>
      <c r="B52" s="11" t="str">
        <f>CONCATENATE("          ", "4340", " - ", "SALES RETURN NON TAXABLE-LOGO")</f>
        <v xml:space="preserve">          4340 - SALES RETURN NON TAXABLE-LOGO</v>
      </c>
      <c r="C52" s="11"/>
      <c r="D52" s="2">
        <f>-732.22</f>
        <v>-732.22</v>
      </c>
      <c r="E52" s="2"/>
      <c r="F52" s="19"/>
      <c r="G52" s="2"/>
      <c r="H52" s="2">
        <f>-216.75</f>
        <v>-216.75</v>
      </c>
      <c r="I52" s="2"/>
      <c r="J52" s="19"/>
      <c r="K52" s="2"/>
      <c r="L52" s="2">
        <f t="shared" si="0"/>
        <v>-515.47</v>
      </c>
      <c r="M52" s="2"/>
      <c r="N52" s="19">
        <f t="shared" si="1"/>
        <v>2.3781776239907728</v>
      </c>
      <c r="O52" s="11"/>
      <c r="P52" s="2">
        <f>-2215.94</f>
        <v>-2215.94</v>
      </c>
      <c r="Q52" s="2"/>
      <c r="R52" s="19"/>
      <c r="S52" s="2"/>
      <c r="T52" s="2">
        <f>-931.65</f>
        <v>-931.65</v>
      </c>
      <c r="U52" s="2"/>
      <c r="V52" s="19"/>
      <c r="W52" s="2"/>
      <c r="X52" s="2">
        <f t="shared" si="2"/>
        <v>-1284.29</v>
      </c>
      <c r="Y52" s="2"/>
      <c r="Z52" s="19">
        <f t="shared" si="3"/>
        <v>1.378511243492728</v>
      </c>
    </row>
    <row r="53" spans="1:26" s="24" customFormat="1" hidden="1" outlineLevel="1" x14ac:dyDescent="0.25">
      <c r="A53" s="44"/>
      <c r="B53" s="11" t="str">
        <f>CONCATENATE("          ", "4341", " - ", "SALES RETURN NON TAXABLE-LOGO")</f>
        <v xml:space="preserve">          4341 - SALES RETURN NON TAXABLE-LOGO</v>
      </c>
      <c r="C53" s="11"/>
      <c r="D53" s="2">
        <f>-15.8</f>
        <v>-15.8</v>
      </c>
      <c r="E53" s="2"/>
      <c r="F53" s="19"/>
      <c r="G53" s="2"/>
      <c r="H53" s="2">
        <f>-9.95</f>
        <v>-9.9499999999999993</v>
      </c>
      <c r="I53" s="2"/>
      <c r="J53" s="19"/>
      <c r="K53" s="2"/>
      <c r="L53" s="2">
        <f t="shared" si="0"/>
        <v>-5.8500000000000014</v>
      </c>
      <c r="M53" s="2"/>
      <c r="N53" s="19">
        <f t="shared" si="1"/>
        <v>0.58793969849246253</v>
      </c>
      <c r="O53" s="11"/>
      <c r="P53" s="2">
        <f>-351.44</f>
        <v>-351.44</v>
      </c>
      <c r="Q53" s="2"/>
      <c r="R53" s="19"/>
      <c r="S53" s="2"/>
      <c r="T53" s="2">
        <f>-30.8</f>
        <v>-30.8</v>
      </c>
      <c r="U53" s="2"/>
      <c r="V53" s="19"/>
      <c r="W53" s="2"/>
      <c r="X53" s="2">
        <f t="shared" si="2"/>
        <v>-320.64</v>
      </c>
      <c r="Y53" s="2"/>
      <c r="Z53" s="19">
        <f t="shared" si="3"/>
        <v>10.410389610389609</v>
      </c>
    </row>
    <row r="54" spans="1:26" s="24" customFormat="1" hidden="1" outlineLevel="1" x14ac:dyDescent="0.25">
      <c r="A54" s="44"/>
      <c r="B54" s="11" t="str">
        <f>CONCATENATE("          ", "4342", " - ", "SALES RETURN NON TAXABLE-EVERY")</f>
        <v xml:space="preserve">          4342 - SALES RETURN NON TAXABLE-EVERY</v>
      </c>
      <c r="C54" s="11"/>
      <c r="D54" s="2">
        <f>0</f>
        <v>0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-118.7</f>
        <v>-118.7</v>
      </c>
      <c r="Q54" s="2"/>
      <c r="R54" s="19"/>
      <c r="S54" s="2"/>
      <c r="T54" s="2">
        <f>-109.8</f>
        <v>-109.8</v>
      </c>
      <c r="U54" s="2"/>
      <c r="V54" s="19"/>
      <c r="W54" s="2"/>
      <c r="X54" s="2">
        <f t="shared" si="2"/>
        <v>-8.9000000000000057</v>
      </c>
      <c r="Y54" s="2"/>
      <c r="Z54" s="19">
        <f t="shared" si="3"/>
        <v>8.1056466302367999E-2</v>
      </c>
    </row>
    <row r="55" spans="1:26" x14ac:dyDescent="0.25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collapsed="1" x14ac:dyDescent="0.25">
      <c r="A56" s="10"/>
      <c r="B56" s="29" t="s">
        <v>8</v>
      </c>
      <c r="C56" s="10"/>
      <c r="D56" s="4">
        <f>SUM(OSRRefD16x_0)</f>
        <v>84702.999999999985</v>
      </c>
      <c r="E56" s="4"/>
      <c r="F56" s="12">
        <f t="shared" ref="F56:F83" si="14">IF(D$12=0,0,D56/D$12)</f>
        <v>0.52842811367577147</v>
      </c>
      <c r="G56" s="4"/>
      <c r="H56" s="4">
        <f>SUM(OSRRefH16x_0)</f>
        <v>115210.65999999999</v>
      </c>
      <c r="I56" s="4"/>
      <c r="J56" s="12">
        <f t="shared" ref="J56:J83" si="15">IF(H$12=0,0,H56/H$12)</f>
        <v>0.42678556187640243</v>
      </c>
      <c r="K56" s="4"/>
      <c r="L56" s="4">
        <f t="shared" ref="L56:L83" si="16">+D56-H56</f>
        <v>-30507.660000000003</v>
      </c>
      <c r="M56" s="4"/>
      <c r="N56" s="12">
        <f t="shared" ref="N56:N83" si="17">IF(H56=0,0,L56/H56)</f>
        <v>-0.26479893440416025</v>
      </c>
      <c r="O56" s="10"/>
      <c r="P56" s="4">
        <f>SUM(OSRRefP16x_0)</f>
        <v>682910.54</v>
      </c>
      <c r="Q56" s="4"/>
      <c r="R56" s="12">
        <f t="shared" ref="R56:R83" si="18">IF(P$12=0,0,P56/P$12)</f>
        <v>0.57348263761294582</v>
      </c>
      <c r="S56" s="4"/>
      <c r="T56" s="4">
        <f>SUM(OSRRefT16x_0)</f>
        <v>920725.93999999983</v>
      </c>
      <c r="U56" s="4"/>
      <c r="V56" s="12">
        <f t="shared" ref="V56:V83" si="19">IF(T$12=0,0,T56/T$12)</f>
        <v>0.45552118070771597</v>
      </c>
      <c r="W56" s="4"/>
      <c r="X56" s="4">
        <f t="shared" ref="X56:X83" si="20">+P56-T56</f>
        <v>-237815.39999999979</v>
      </c>
      <c r="Y56" s="4"/>
      <c r="Z56" s="12">
        <f t="shared" ref="Z56:Z83" si="21">IF(T56=0,0,X56/T56)</f>
        <v>-0.25829119140490364</v>
      </c>
    </row>
    <row r="57" spans="1:26" s="24" customFormat="1" hidden="1" outlineLevel="1" x14ac:dyDescent="0.25">
      <c r="A57" s="44"/>
      <c r="B57" s="11" t="str">
        <f>CONCATENATE("          ", "5025", " - ", "PURCHASES @ COST-TEST FORMS")</f>
        <v xml:space="preserve">          5025 - PURCHASES @ COST-TEST FORMS</v>
      </c>
      <c r="C57" s="11"/>
      <c r="D57" s="2"/>
      <c r="E57" s="2"/>
      <c r="F57" s="19">
        <f t="shared" si="14"/>
        <v>0</v>
      </c>
      <c r="G57" s="2"/>
      <c r="H57" s="2">
        <v>6.06</v>
      </c>
      <c r="I57" s="2"/>
      <c r="J57" s="19">
        <f t="shared" si="15"/>
        <v>2.2448621550913767E-5</v>
      </c>
      <c r="K57" s="2"/>
      <c r="L57" s="2">
        <f t="shared" si="16"/>
        <v>-6.06</v>
      </c>
      <c r="M57" s="2"/>
      <c r="N57" s="19">
        <f t="shared" si="17"/>
        <v>-1</v>
      </c>
      <c r="O57" s="11"/>
      <c r="P57" s="2">
        <v>599.29</v>
      </c>
      <c r="Q57" s="2"/>
      <c r="R57" s="19">
        <f t="shared" si="18"/>
        <v>5.0326124691978287E-4</v>
      </c>
      <c r="S57" s="2"/>
      <c r="T57" s="2">
        <v>6.06</v>
      </c>
      <c r="U57" s="2"/>
      <c r="V57" s="19">
        <f t="shared" si="19"/>
        <v>2.9981324899880188E-6</v>
      </c>
      <c r="W57" s="2"/>
      <c r="X57" s="2">
        <f t="shared" si="20"/>
        <v>593.23</v>
      </c>
      <c r="Y57" s="2"/>
      <c r="Z57" s="19">
        <f t="shared" si="21"/>
        <v>97.892739273927404</v>
      </c>
    </row>
    <row r="58" spans="1:26" s="24" customFormat="1" hidden="1" outlineLevel="1" x14ac:dyDescent="0.25">
      <c r="A58" s="44"/>
      <c r="B58" s="11" t="str">
        <f>CONCATENATE("          ", "5026", " - ", "PURCHASES @ COST-WRITING INSTR")</f>
        <v xml:space="preserve">          5026 - PURCHASES @ COST-WRITING INSTR</v>
      </c>
      <c r="C58" s="11"/>
      <c r="D58" s="2"/>
      <c r="E58" s="2"/>
      <c r="F58" s="19">
        <f t="shared" si="14"/>
        <v>0</v>
      </c>
      <c r="G58" s="2"/>
      <c r="H58" s="2">
        <v>1296.3800000000001</v>
      </c>
      <c r="I58" s="2"/>
      <c r="J58" s="19">
        <f t="shared" si="15"/>
        <v>4.8023009911177545E-3</v>
      </c>
      <c r="K58" s="2"/>
      <c r="L58" s="2">
        <f t="shared" si="16"/>
        <v>-1296.3800000000001</v>
      </c>
      <c r="M58" s="2"/>
      <c r="N58" s="19">
        <f t="shared" si="17"/>
        <v>-1</v>
      </c>
      <c r="O58" s="11"/>
      <c r="P58" s="2">
        <v>10</v>
      </c>
      <c r="Q58" s="2"/>
      <c r="R58" s="19">
        <f t="shared" si="18"/>
        <v>8.3976246378177995E-6</v>
      </c>
      <c r="S58" s="2"/>
      <c r="T58" s="2">
        <v>1275.1400000000001</v>
      </c>
      <c r="U58" s="2"/>
      <c r="V58" s="19">
        <f t="shared" si="19"/>
        <v>6.308644658883371E-4</v>
      </c>
      <c r="W58" s="2"/>
      <c r="X58" s="2">
        <f t="shared" si="20"/>
        <v>-1265.1400000000001</v>
      </c>
      <c r="Y58" s="2"/>
      <c r="Z58" s="19">
        <f t="shared" si="21"/>
        <v>-0.99215772385777246</v>
      </c>
    </row>
    <row r="59" spans="1:26" s="24" customFormat="1" hidden="1" outlineLevel="1" x14ac:dyDescent="0.25">
      <c r="A59" s="44"/>
      <c r="B59" s="11" t="str">
        <f>CONCATENATE("          ", "5027", " - ", "PURCHASES @ COST-SCHOOL SUPPLI")</f>
        <v xml:space="preserve">          5027 - PURCHASES @ COST-SCHOOL SUPPLI</v>
      </c>
      <c r="C59" s="11"/>
      <c r="D59" s="2"/>
      <c r="E59" s="2"/>
      <c r="F59" s="19">
        <f t="shared" si="14"/>
        <v>0</v>
      </c>
      <c r="G59" s="2"/>
      <c r="H59" s="2">
        <v>255.26</v>
      </c>
      <c r="I59" s="2"/>
      <c r="J59" s="19">
        <f t="shared" si="15"/>
        <v>9.4558335595482654E-4</v>
      </c>
      <c r="K59" s="2"/>
      <c r="L59" s="2">
        <f t="shared" si="16"/>
        <v>-255.26</v>
      </c>
      <c r="M59" s="2"/>
      <c r="N59" s="19">
        <f t="shared" si="17"/>
        <v>-1</v>
      </c>
      <c r="O59" s="11"/>
      <c r="P59" s="2">
        <v>18175.88</v>
      </c>
      <c r="Q59" s="2"/>
      <c r="R59" s="19">
        <f t="shared" si="18"/>
        <v>1.526342177020198E-2</v>
      </c>
      <c r="S59" s="2"/>
      <c r="T59" s="2">
        <v>306.55</v>
      </c>
      <c r="U59" s="2"/>
      <c r="V59" s="19">
        <f t="shared" si="19"/>
        <v>1.5166295623858536E-4</v>
      </c>
      <c r="W59" s="2"/>
      <c r="X59" s="2">
        <f t="shared" si="20"/>
        <v>17869.330000000002</v>
      </c>
      <c r="Y59" s="2"/>
      <c r="Z59" s="19">
        <f t="shared" si="21"/>
        <v>58.291730549665637</v>
      </c>
    </row>
    <row r="60" spans="1:26" s="24" customFormat="1" hidden="1" outlineLevel="1" x14ac:dyDescent="0.25">
      <c r="A60" s="44"/>
      <c r="B60" s="11" t="str">
        <f>CONCATENATE("          ", "5028", " - ", "PURCHASES @ COST-ART/TECH")</f>
        <v xml:space="preserve">          5028 - PURCHASES @ COST-ART/TECH</v>
      </c>
      <c r="C60" s="11"/>
      <c r="D60" s="2"/>
      <c r="E60" s="2"/>
      <c r="F60" s="19">
        <f t="shared" si="14"/>
        <v>0</v>
      </c>
      <c r="G60" s="2"/>
      <c r="H60" s="2"/>
      <c r="I60" s="2"/>
      <c r="J60" s="19">
        <f t="shared" si="15"/>
        <v>0</v>
      </c>
      <c r="K60" s="2"/>
      <c r="L60" s="2">
        <f t="shared" si="16"/>
        <v>0</v>
      </c>
      <c r="M60" s="2"/>
      <c r="N60" s="19">
        <f t="shared" si="17"/>
        <v>0</v>
      </c>
      <c r="O60" s="11"/>
      <c r="P60" s="2">
        <v>-83.4</v>
      </c>
      <c r="Q60" s="2"/>
      <c r="R60" s="19">
        <f t="shared" si="18"/>
        <v>-7.003618947940045E-5</v>
      </c>
      <c r="S60" s="2"/>
      <c r="T60" s="2"/>
      <c r="U60" s="2"/>
      <c r="V60" s="19">
        <f t="shared" si="19"/>
        <v>0</v>
      </c>
      <c r="W60" s="2"/>
      <c r="X60" s="2">
        <f t="shared" si="20"/>
        <v>-83.4</v>
      </c>
      <c r="Y60" s="2"/>
      <c r="Z60" s="19">
        <f t="shared" si="21"/>
        <v>0</v>
      </c>
    </row>
    <row r="61" spans="1:26" s="24" customFormat="1" hidden="1" outlineLevel="1" x14ac:dyDescent="0.25">
      <c r="A61" s="44"/>
      <c r="B61" s="11" t="str">
        <f>CONCATENATE("          ", "5031", " - ", "PURCHASES @ COST-FOOD")</f>
        <v xml:space="preserve">          5031 - PURCHASES @ COST-FOOD</v>
      </c>
      <c r="C61" s="11"/>
      <c r="D61" s="2">
        <v>239.16</v>
      </c>
      <c r="E61" s="2"/>
      <c r="F61" s="19">
        <f t="shared" si="14"/>
        <v>1.492023513531959E-3</v>
      </c>
      <c r="G61" s="2"/>
      <c r="H61" s="2"/>
      <c r="I61" s="2"/>
      <c r="J61" s="19">
        <f t="shared" si="15"/>
        <v>0</v>
      </c>
      <c r="K61" s="2"/>
      <c r="L61" s="2">
        <f t="shared" si="16"/>
        <v>239.16</v>
      </c>
      <c r="M61" s="2"/>
      <c r="N61" s="19">
        <f t="shared" si="17"/>
        <v>0</v>
      </c>
      <c r="O61" s="11"/>
      <c r="P61" s="2">
        <v>5072.6899999999996</v>
      </c>
      <c r="Q61" s="2"/>
      <c r="R61" s="19">
        <f t="shared" si="18"/>
        <v>4.2598546524011969E-3</v>
      </c>
      <c r="S61" s="2"/>
      <c r="T61" s="2"/>
      <c r="U61" s="2"/>
      <c r="V61" s="19">
        <f t="shared" si="19"/>
        <v>0</v>
      </c>
      <c r="W61" s="2"/>
      <c r="X61" s="2">
        <f t="shared" si="20"/>
        <v>5072.6899999999996</v>
      </c>
      <c r="Y61" s="2"/>
      <c r="Z61" s="19">
        <f t="shared" si="21"/>
        <v>0</v>
      </c>
    </row>
    <row r="62" spans="1:26" s="24" customFormat="1" hidden="1" outlineLevel="1" x14ac:dyDescent="0.25">
      <c r="A62" s="44"/>
      <c r="B62" s="11" t="str">
        <f>CONCATENATE("          ", "5037", " - ", "PURCHASES @ COST-WATER")</f>
        <v xml:space="preserve">          5037 - PURCHASES @ COST-WATER</v>
      </c>
      <c r="C62" s="11"/>
      <c r="D62" s="2"/>
      <c r="E62" s="2"/>
      <c r="F62" s="19">
        <f t="shared" si="14"/>
        <v>0</v>
      </c>
      <c r="G62" s="2"/>
      <c r="H62" s="2"/>
      <c r="I62" s="2"/>
      <c r="J62" s="19">
        <f t="shared" si="15"/>
        <v>0</v>
      </c>
      <c r="K62" s="2"/>
      <c r="L62" s="2">
        <f t="shared" si="16"/>
        <v>0</v>
      </c>
      <c r="M62" s="2"/>
      <c r="N62" s="19">
        <f t="shared" si="17"/>
        <v>0</v>
      </c>
      <c r="O62" s="11"/>
      <c r="P62" s="2"/>
      <c r="Q62" s="2"/>
      <c r="R62" s="19">
        <f t="shared" si="18"/>
        <v>0</v>
      </c>
      <c r="S62" s="2"/>
      <c r="T62" s="2">
        <v>29.76</v>
      </c>
      <c r="U62" s="2"/>
      <c r="V62" s="19">
        <f t="shared" si="19"/>
        <v>1.4723502129050073E-5</v>
      </c>
      <c r="W62" s="2"/>
      <c r="X62" s="2">
        <f t="shared" si="20"/>
        <v>-29.76</v>
      </c>
      <c r="Y62" s="2"/>
      <c r="Z62" s="19">
        <f t="shared" si="21"/>
        <v>-1</v>
      </c>
    </row>
    <row r="63" spans="1:26" s="24" customFormat="1" hidden="1" outlineLevel="1" x14ac:dyDescent="0.25">
      <c r="A63" s="44"/>
      <c r="B63" s="11" t="str">
        <f>CONCATENATE("          ", "5040", " - ", "PURCHASES @ COST-LOGO CLOTHING")</f>
        <v xml:space="preserve">          5040 - PURCHASES @ COST-LOGO CLOTHING</v>
      </c>
      <c r="C63" s="11"/>
      <c r="D63" s="2">
        <v>34900.79</v>
      </c>
      <c r="E63" s="2"/>
      <c r="F63" s="19">
        <f t="shared" si="14"/>
        <v>0.21773205937799406</v>
      </c>
      <c r="G63" s="2"/>
      <c r="H63" s="2">
        <v>94500.17</v>
      </c>
      <c r="I63" s="2"/>
      <c r="J63" s="19">
        <f t="shared" si="15"/>
        <v>0.35006576779323678</v>
      </c>
      <c r="K63" s="2"/>
      <c r="L63" s="2">
        <f t="shared" si="16"/>
        <v>-59599.38</v>
      </c>
      <c r="M63" s="2"/>
      <c r="N63" s="19">
        <f t="shared" si="17"/>
        <v>-0.63068013528441269</v>
      </c>
      <c r="O63" s="11"/>
      <c r="P63" s="2">
        <v>167371.19</v>
      </c>
      <c r="Q63" s="2"/>
      <c r="R63" s="19">
        <f t="shared" si="18"/>
        <v>0.14055204288048842</v>
      </c>
      <c r="S63" s="2"/>
      <c r="T63" s="2">
        <v>810739.01</v>
      </c>
      <c r="U63" s="2"/>
      <c r="V63" s="19">
        <f t="shared" si="19"/>
        <v>0.40110610012899695</v>
      </c>
      <c r="W63" s="2"/>
      <c r="X63" s="2">
        <f t="shared" si="20"/>
        <v>-643367.82000000007</v>
      </c>
      <c r="Y63" s="2"/>
      <c r="Z63" s="19">
        <f t="shared" si="21"/>
        <v>-0.7935572509333183</v>
      </c>
    </row>
    <row r="64" spans="1:26" s="24" customFormat="1" hidden="1" outlineLevel="1" x14ac:dyDescent="0.25">
      <c r="A64" s="44"/>
      <c r="B64" s="11" t="str">
        <f>CONCATENATE("          ", "5041", " - ", "PURCHASES @ COST-LOGO GIFTS")</f>
        <v xml:space="preserve">          5041 - PURCHASES @ COST-LOGO GIFTS</v>
      </c>
      <c r="C64" s="11"/>
      <c r="D64" s="2">
        <v>8769.24</v>
      </c>
      <c r="E64" s="2"/>
      <c r="F64" s="19">
        <f t="shared" si="14"/>
        <v>5.4707778373494713E-2</v>
      </c>
      <c r="G64" s="2"/>
      <c r="H64" s="2">
        <v>14612.2</v>
      </c>
      <c r="I64" s="2"/>
      <c r="J64" s="19">
        <f t="shared" si="15"/>
        <v>5.4129331324465707E-2</v>
      </c>
      <c r="K64" s="2"/>
      <c r="L64" s="2">
        <f t="shared" si="16"/>
        <v>-5842.9600000000009</v>
      </c>
      <c r="M64" s="2"/>
      <c r="N64" s="19">
        <f t="shared" si="17"/>
        <v>-0.39986860294822141</v>
      </c>
      <c r="O64" s="11"/>
      <c r="P64" s="2">
        <v>40971</v>
      </c>
      <c r="Q64" s="2"/>
      <c r="R64" s="19">
        <f t="shared" si="18"/>
        <v>3.4405907903603303E-2</v>
      </c>
      <c r="S64" s="2"/>
      <c r="T64" s="2">
        <v>124015.87000000001</v>
      </c>
      <c r="U64" s="2"/>
      <c r="V64" s="19">
        <f t="shared" si="19"/>
        <v>6.1355777082694803E-2</v>
      </c>
      <c r="W64" s="2"/>
      <c r="X64" s="2">
        <f t="shared" si="20"/>
        <v>-83044.87000000001</v>
      </c>
      <c r="Y64" s="2"/>
      <c r="Z64" s="19">
        <f t="shared" si="21"/>
        <v>-0.66963099158196449</v>
      </c>
    </row>
    <row r="65" spans="1:26" s="24" customFormat="1" hidden="1" outlineLevel="1" x14ac:dyDescent="0.25">
      <c r="A65" s="44"/>
      <c r="B65" s="11" t="str">
        <f>CONCATENATE("          ", "5042", " - ", "PURCHASES @ COST-EVERYDAY GIFT")</f>
        <v xml:space="preserve">          5042 - PURCHASES @ COST-EVERYDAY GIFT</v>
      </c>
      <c r="C65" s="11"/>
      <c r="D65" s="2">
        <v>6760.7</v>
      </c>
      <c r="E65" s="2"/>
      <c r="F65" s="19">
        <f t="shared" si="14"/>
        <v>4.2177301254120732E-2</v>
      </c>
      <c r="G65" s="2"/>
      <c r="H65" s="2">
        <v>2972.86</v>
      </c>
      <c r="I65" s="2"/>
      <c r="J65" s="19">
        <f t="shared" si="15"/>
        <v>1.101264175971114E-2</v>
      </c>
      <c r="K65" s="2"/>
      <c r="L65" s="2">
        <f t="shared" si="16"/>
        <v>3787.8399999999997</v>
      </c>
      <c r="M65" s="2"/>
      <c r="N65" s="19">
        <f t="shared" si="17"/>
        <v>1.2741400536856762</v>
      </c>
      <c r="O65" s="11"/>
      <c r="P65" s="2">
        <v>17821.98</v>
      </c>
      <c r="Q65" s="2"/>
      <c r="R65" s="19">
        <f t="shared" si="18"/>
        <v>1.4966229834269606E-2</v>
      </c>
      <c r="S65" s="2"/>
      <c r="T65" s="2">
        <v>91360.97</v>
      </c>
      <c r="U65" s="2"/>
      <c r="V65" s="19">
        <f t="shared" si="19"/>
        <v>4.5200048263006713E-2</v>
      </c>
      <c r="W65" s="2"/>
      <c r="X65" s="2">
        <f t="shared" si="20"/>
        <v>-73538.990000000005</v>
      </c>
      <c r="Y65" s="2"/>
      <c r="Z65" s="19">
        <f t="shared" si="21"/>
        <v>-0.80492785923792187</v>
      </c>
    </row>
    <row r="66" spans="1:26" s="24" customFormat="1" hidden="1" outlineLevel="1" x14ac:dyDescent="0.25">
      <c r="A66" s="44"/>
      <c r="B66" s="11" t="str">
        <f>CONCATENATE("          ", "5043", " - ", "PURCHASES @ COST-CARDS")</f>
        <v xml:space="preserve">          5043 - PURCHASES @ COST-CARDS</v>
      </c>
      <c r="C66" s="11"/>
      <c r="D66" s="2">
        <v>8743.1</v>
      </c>
      <c r="E66" s="2"/>
      <c r="F66" s="19">
        <f t="shared" si="14"/>
        <v>5.4544701376322426E-2</v>
      </c>
      <c r="G66" s="2"/>
      <c r="H66" s="2">
        <v>3909.52</v>
      </c>
      <c r="I66" s="2"/>
      <c r="J66" s="19">
        <f t="shared" si="15"/>
        <v>1.4482398502595445E-2</v>
      </c>
      <c r="K66" s="2"/>
      <c r="L66" s="2">
        <f t="shared" si="16"/>
        <v>4833.58</v>
      </c>
      <c r="M66" s="2"/>
      <c r="N66" s="19">
        <f t="shared" si="17"/>
        <v>1.2363614970635781</v>
      </c>
      <c r="O66" s="11"/>
      <c r="P66" s="2">
        <v>55364.33</v>
      </c>
      <c r="Q66" s="2"/>
      <c r="R66" s="19">
        <f t="shared" si="18"/>
        <v>4.6492886166427515E-2</v>
      </c>
      <c r="S66" s="2"/>
      <c r="T66" s="2">
        <v>10694.41</v>
      </c>
      <c r="U66" s="2"/>
      <c r="V66" s="19">
        <f t="shared" si="19"/>
        <v>5.2909666802397311E-3</v>
      </c>
      <c r="W66" s="2"/>
      <c r="X66" s="2">
        <f t="shared" si="20"/>
        <v>44669.919999999998</v>
      </c>
      <c r="Y66" s="2"/>
      <c r="Z66" s="19">
        <f t="shared" si="21"/>
        <v>4.1769410374204838</v>
      </c>
    </row>
    <row r="67" spans="1:26" s="24" customFormat="1" hidden="1" outlineLevel="1" x14ac:dyDescent="0.25">
      <c r="A67" s="44"/>
      <c r="B67" s="11" t="str">
        <f>CONCATENATE("          ", "5044", " - ", "PURCHASES @ COST-ACCESSORIES")</f>
        <v xml:space="preserve">          5044 - PURCHASES @ COST-ACCESSORIES</v>
      </c>
      <c r="C67" s="11"/>
      <c r="D67" s="2">
        <v>782.5</v>
      </c>
      <c r="E67" s="2"/>
      <c r="F67" s="19">
        <f t="shared" si="14"/>
        <v>4.8817042956128031E-3</v>
      </c>
      <c r="G67" s="2"/>
      <c r="H67" s="2">
        <v>3179.63</v>
      </c>
      <c r="I67" s="2"/>
      <c r="J67" s="19">
        <f t="shared" si="15"/>
        <v>1.1778599099328704E-2</v>
      </c>
      <c r="K67" s="2"/>
      <c r="L67" s="2">
        <f t="shared" si="16"/>
        <v>-2397.13</v>
      </c>
      <c r="M67" s="2"/>
      <c r="N67" s="19">
        <f t="shared" si="17"/>
        <v>-0.75390218358739858</v>
      </c>
      <c r="O67" s="11"/>
      <c r="P67" s="2">
        <v>1064.83</v>
      </c>
      <c r="Q67" s="2"/>
      <c r="R67" s="19">
        <f t="shared" si="18"/>
        <v>8.9420426430875262E-4</v>
      </c>
      <c r="S67" s="2"/>
      <c r="T67" s="2">
        <v>20867.21</v>
      </c>
      <c r="U67" s="2"/>
      <c r="V67" s="19">
        <f t="shared" si="19"/>
        <v>1.0323871332739751E-2</v>
      </c>
      <c r="W67" s="2"/>
      <c r="X67" s="2">
        <f t="shared" si="20"/>
        <v>-19802.379999999997</v>
      </c>
      <c r="Y67" s="2"/>
      <c r="Z67" s="19">
        <f t="shared" si="21"/>
        <v>-0.94897113701352498</v>
      </c>
    </row>
    <row r="68" spans="1:26" s="24" customFormat="1" hidden="1" outlineLevel="1" x14ac:dyDescent="0.25">
      <c r="A68" s="44"/>
      <c r="B68" s="11" t="str">
        <f>CONCATENATE("          ", "5045", " - ", "PURCHASES @ COST-SPECIAL ORDER")</f>
        <v xml:space="preserve">          5045 - PURCHASES @ COST-SPECIAL ORDER</v>
      </c>
      <c r="C68" s="11"/>
      <c r="D68" s="2">
        <v>5855.38</v>
      </c>
      <c r="E68" s="2"/>
      <c r="F68" s="19">
        <f t="shared" si="14"/>
        <v>3.6529372138588236E-2</v>
      </c>
      <c r="G68" s="2"/>
      <c r="H68" s="2">
        <v>6835.65</v>
      </c>
      <c r="I68" s="2"/>
      <c r="J68" s="19">
        <f t="shared" si="15"/>
        <v>2.5321933977640876E-2</v>
      </c>
      <c r="K68" s="2"/>
      <c r="L68" s="2">
        <f t="shared" si="16"/>
        <v>-980.26999999999953</v>
      </c>
      <c r="M68" s="2"/>
      <c r="N68" s="19">
        <f t="shared" si="17"/>
        <v>-0.14340552836965023</v>
      </c>
      <c r="O68" s="11"/>
      <c r="P68" s="2">
        <v>93464.38</v>
      </c>
      <c r="Q68" s="2"/>
      <c r="R68" s="19">
        <f t="shared" si="18"/>
        <v>7.8487878024636526E-2</v>
      </c>
      <c r="S68" s="2"/>
      <c r="T68" s="2">
        <v>48016.23</v>
      </c>
      <c r="U68" s="2"/>
      <c r="V68" s="19">
        <f t="shared" si="19"/>
        <v>2.3755613730979772E-2</v>
      </c>
      <c r="W68" s="2"/>
      <c r="X68" s="2">
        <f t="shared" si="20"/>
        <v>45448.15</v>
      </c>
      <c r="Y68" s="2"/>
      <c r="Z68" s="19">
        <f t="shared" si="21"/>
        <v>0.94651641746967641</v>
      </c>
    </row>
    <row r="69" spans="1:26" s="24" customFormat="1" hidden="1" outlineLevel="1" x14ac:dyDescent="0.25">
      <c r="A69" s="44"/>
      <c r="B69" s="11" t="str">
        <f>CONCATENATE("          ", "5083", " - ", "PURCHASES @ COST-COMPUTER EQUI")</f>
        <v xml:space="preserve">          5083 - PURCHASES @ COST-COMPUTER EQUI</v>
      </c>
      <c r="C69" s="11"/>
      <c r="D69" s="2"/>
      <c r="E69" s="2"/>
      <c r="F69" s="19">
        <f t="shared" si="14"/>
        <v>0</v>
      </c>
      <c r="G69" s="2"/>
      <c r="H69" s="2">
        <v>50.4</v>
      </c>
      <c r="I69" s="2"/>
      <c r="J69" s="19">
        <f t="shared" si="15"/>
        <v>1.8670140695809472E-4</v>
      </c>
      <c r="K69" s="2"/>
      <c r="L69" s="2">
        <f t="shared" si="16"/>
        <v>-50.4</v>
      </c>
      <c r="M69" s="2"/>
      <c r="N69" s="19">
        <f t="shared" si="17"/>
        <v>-1</v>
      </c>
      <c r="O69" s="11"/>
      <c r="P69" s="2"/>
      <c r="Q69" s="2"/>
      <c r="R69" s="19">
        <f t="shared" si="18"/>
        <v>0</v>
      </c>
      <c r="S69" s="2"/>
      <c r="T69" s="2">
        <v>90.35</v>
      </c>
      <c r="U69" s="2"/>
      <c r="V69" s="19">
        <f t="shared" si="19"/>
        <v>4.4699879615580447E-5</v>
      </c>
      <c r="W69" s="2"/>
      <c r="X69" s="2">
        <f t="shared" si="20"/>
        <v>-90.35</v>
      </c>
      <c r="Y69" s="2"/>
      <c r="Z69" s="19">
        <f t="shared" si="21"/>
        <v>-1</v>
      </c>
    </row>
    <row r="70" spans="1:26" s="24" customFormat="1" hidden="1" outlineLevel="1" x14ac:dyDescent="0.25">
      <c r="A70" s="44"/>
      <c r="B70" s="11" t="str">
        <f>CONCATENATE("          ", "5092", " - ", "PURCHASES @ COST-GRAD MERCH")</f>
        <v xml:space="preserve">          5092 - PURCHASES @ COST-GRAD MERCH</v>
      </c>
      <c r="C70" s="11"/>
      <c r="D70" s="2"/>
      <c r="E70" s="2"/>
      <c r="F70" s="19">
        <f t="shared" si="14"/>
        <v>0</v>
      </c>
      <c r="G70" s="2"/>
      <c r="H70" s="2"/>
      <c r="I70" s="2"/>
      <c r="J70" s="19">
        <f t="shared" si="15"/>
        <v>0</v>
      </c>
      <c r="K70" s="2"/>
      <c r="L70" s="2">
        <f t="shared" si="16"/>
        <v>0</v>
      </c>
      <c r="M70" s="2"/>
      <c r="N70" s="19">
        <f t="shared" si="17"/>
        <v>0</v>
      </c>
      <c r="O70" s="11"/>
      <c r="P70" s="2"/>
      <c r="Q70" s="2"/>
      <c r="R70" s="19">
        <f t="shared" si="18"/>
        <v>0</v>
      </c>
      <c r="S70" s="2"/>
      <c r="T70" s="2">
        <v>-60.35</v>
      </c>
      <c r="U70" s="2"/>
      <c r="V70" s="19">
        <f t="shared" si="19"/>
        <v>-2.9857639566134809E-5</v>
      </c>
      <c r="W70" s="2"/>
      <c r="X70" s="2">
        <f t="shared" si="20"/>
        <v>60.35</v>
      </c>
      <c r="Y70" s="2"/>
      <c r="Z70" s="19">
        <f t="shared" si="21"/>
        <v>-1</v>
      </c>
    </row>
    <row r="71" spans="1:26" s="24" customFormat="1" hidden="1" outlineLevel="1" x14ac:dyDescent="0.25">
      <c r="A71" s="44"/>
      <c r="B71" s="11" t="str">
        <f>CONCATENATE("          ", "5095", " - ", "PURCHASES @ COST-CUSTOMER SERV")</f>
        <v xml:space="preserve">          5095 - PURCHASES @ COST-CUSTOMER SERV</v>
      </c>
      <c r="C71" s="11"/>
      <c r="D71" s="2"/>
      <c r="E71" s="2"/>
      <c r="F71" s="19">
        <f t="shared" si="14"/>
        <v>0</v>
      </c>
      <c r="G71" s="2"/>
      <c r="H71" s="2"/>
      <c r="I71" s="2"/>
      <c r="J71" s="19">
        <f t="shared" si="15"/>
        <v>0</v>
      </c>
      <c r="K71" s="2"/>
      <c r="L71" s="2">
        <f t="shared" si="16"/>
        <v>0</v>
      </c>
      <c r="M71" s="2"/>
      <c r="N71" s="19">
        <f t="shared" si="17"/>
        <v>0</v>
      </c>
      <c r="O71" s="11"/>
      <c r="P71" s="2"/>
      <c r="Q71" s="2"/>
      <c r="R71" s="19">
        <f t="shared" si="18"/>
        <v>0</v>
      </c>
      <c r="S71" s="2"/>
      <c r="T71" s="2">
        <v>-11.85</v>
      </c>
      <c r="U71" s="2"/>
      <c r="V71" s="19">
        <f t="shared" si="19"/>
        <v>-5.8626848195310269E-6</v>
      </c>
      <c r="W71" s="2"/>
      <c r="X71" s="2">
        <f t="shared" si="20"/>
        <v>11.85</v>
      </c>
      <c r="Y71" s="2"/>
      <c r="Z71" s="19">
        <f t="shared" si="21"/>
        <v>-1</v>
      </c>
    </row>
    <row r="72" spans="1:26" s="24" customFormat="1" hidden="1" outlineLevel="1" x14ac:dyDescent="0.25">
      <c r="A72" s="44"/>
      <c r="B72" s="11" t="str">
        <f>CONCATENATE("          ", "5200", " - ", "PURCHASES OFFSET")</f>
        <v xml:space="preserve">          5200 - PURCHASES OFFSET</v>
      </c>
      <c r="C72" s="11"/>
      <c r="D72" s="2">
        <v>-68791.67</v>
      </c>
      <c r="E72" s="2"/>
      <c r="F72" s="19">
        <f t="shared" si="14"/>
        <v>-0.42916369449377428</v>
      </c>
      <c r="G72" s="2"/>
      <c r="H72" s="2">
        <v>-104949</v>
      </c>
      <c r="I72" s="2"/>
      <c r="J72" s="19">
        <f t="shared" si="15"/>
        <v>-0.38877234045327547</v>
      </c>
      <c r="K72" s="2"/>
      <c r="L72" s="2">
        <f t="shared" si="16"/>
        <v>36157.33</v>
      </c>
      <c r="M72" s="2"/>
      <c r="N72" s="19">
        <f t="shared" si="17"/>
        <v>-0.34452286348607419</v>
      </c>
      <c r="O72" s="11"/>
      <c r="P72" s="2">
        <v>-417276.97000000003</v>
      </c>
      <c r="Q72" s="2"/>
      <c r="R72" s="19">
        <f t="shared" si="18"/>
        <v>-0.35041353640659589</v>
      </c>
      <c r="S72" s="2"/>
      <c r="T72" s="2">
        <v>-1077483</v>
      </c>
      <c r="U72" s="2"/>
      <c r="V72" s="19">
        <f t="shared" si="19"/>
        <v>-0.53307537783989445</v>
      </c>
      <c r="W72" s="2"/>
      <c r="X72" s="2">
        <f t="shared" si="20"/>
        <v>660206.03</v>
      </c>
      <c r="Y72" s="2"/>
      <c r="Z72" s="19">
        <f t="shared" si="21"/>
        <v>-0.61272988065704981</v>
      </c>
    </row>
    <row r="73" spans="1:26" s="24" customFormat="1" hidden="1" outlineLevel="1" x14ac:dyDescent="0.25">
      <c r="A73" s="44"/>
      <c r="B73" s="11" t="str">
        <f>CONCATENATE("          ", "5300", " - ", "COG$ OFFSET")</f>
        <v xml:space="preserve">          5300 - COG$ OFFSET</v>
      </c>
      <c r="C73" s="11"/>
      <c r="D73" s="2">
        <v>84703</v>
      </c>
      <c r="E73" s="2"/>
      <c r="F73" s="19">
        <f t="shared" si="14"/>
        <v>0.52842811367577158</v>
      </c>
      <c r="G73" s="2"/>
      <c r="H73" s="2">
        <v>91102</v>
      </c>
      <c r="I73" s="2"/>
      <c r="J73" s="19">
        <f t="shared" si="15"/>
        <v>0.33747761064873699</v>
      </c>
      <c r="K73" s="2"/>
      <c r="L73" s="2">
        <f t="shared" si="16"/>
        <v>-6399</v>
      </c>
      <c r="M73" s="2"/>
      <c r="N73" s="19">
        <f t="shared" si="17"/>
        <v>-7.0239950824350722E-2</v>
      </c>
      <c r="O73" s="11"/>
      <c r="P73" s="2">
        <v>681994</v>
      </c>
      <c r="Q73" s="2"/>
      <c r="R73" s="19">
        <f t="shared" si="18"/>
        <v>0.57271296172439123</v>
      </c>
      <c r="S73" s="2"/>
      <c r="T73" s="2">
        <v>858471</v>
      </c>
      <c r="U73" s="2"/>
      <c r="V73" s="19">
        <f t="shared" si="19"/>
        <v>0.42472108858292157</v>
      </c>
      <c r="W73" s="2"/>
      <c r="X73" s="2">
        <f t="shared" si="20"/>
        <v>-176477</v>
      </c>
      <c r="Y73" s="2"/>
      <c r="Z73" s="19">
        <f t="shared" si="21"/>
        <v>-0.2055713006030489</v>
      </c>
    </row>
    <row r="74" spans="1:26" s="24" customFormat="1" hidden="1" outlineLevel="1" x14ac:dyDescent="0.25">
      <c r="A74" s="44"/>
      <c r="B74" s="11" t="str">
        <f>CONCATENATE("          ", "5500", " - ", "FREIGHT-IN")</f>
        <v xml:space="preserve">          5500 - FREIGHT-IN</v>
      </c>
      <c r="C74" s="11"/>
      <c r="D74" s="2"/>
      <c r="E74" s="2"/>
      <c r="F74" s="19">
        <f t="shared" si="14"/>
        <v>0</v>
      </c>
      <c r="G74" s="2"/>
      <c r="H74" s="2"/>
      <c r="I74" s="2"/>
      <c r="J74" s="19">
        <f t="shared" si="15"/>
        <v>0</v>
      </c>
      <c r="K74" s="2"/>
      <c r="L74" s="2">
        <f t="shared" si="16"/>
        <v>0</v>
      </c>
      <c r="M74" s="2"/>
      <c r="N74" s="19">
        <f t="shared" si="17"/>
        <v>0</v>
      </c>
      <c r="O74" s="11"/>
      <c r="P74" s="2"/>
      <c r="Q74" s="2"/>
      <c r="R74" s="19">
        <f t="shared" si="18"/>
        <v>0</v>
      </c>
      <c r="S74" s="2"/>
      <c r="T74" s="2">
        <v>29.23</v>
      </c>
      <c r="U74" s="2"/>
      <c r="V74" s="19">
        <f t="shared" si="19"/>
        <v>1.4461289221509868E-5</v>
      </c>
      <c r="W74" s="2"/>
      <c r="X74" s="2">
        <f t="shared" si="20"/>
        <v>-29.23</v>
      </c>
      <c r="Y74" s="2"/>
      <c r="Z74" s="19">
        <f t="shared" si="21"/>
        <v>-1</v>
      </c>
    </row>
    <row r="75" spans="1:26" s="24" customFormat="1" hidden="1" outlineLevel="1" x14ac:dyDescent="0.25">
      <c r="A75" s="44"/>
      <c r="B75" s="11" t="str">
        <f>CONCATENATE("          ", "5525", " - ", "FREIGHT-IN-TEST FORMS")</f>
        <v xml:space="preserve">          5525 - FREIGHT-IN-TEST FORMS</v>
      </c>
      <c r="C75" s="11"/>
      <c r="D75" s="2"/>
      <c r="E75" s="2"/>
      <c r="F75" s="19">
        <f t="shared" si="14"/>
        <v>0</v>
      </c>
      <c r="G75" s="2"/>
      <c r="H75" s="2"/>
      <c r="I75" s="2"/>
      <c r="J75" s="19">
        <f t="shared" si="15"/>
        <v>0</v>
      </c>
      <c r="K75" s="2"/>
      <c r="L75" s="2">
        <f t="shared" si="16"/>
        <v>0</v>
      </c>
      <c r="M75" s="2"/>
      <c r="N75" s="19">
        <f t="shared" si="17"/>
        <v>0</v>
      </c>
      <c r="O75" s="11"/>
      <c r="P75" s="2">
        <v>48.14</v>
      </c>
      <c r="Q75" s="2"/>
      <c r="R75" s="19">
        <f t="shared" si="18"/>
        <v>4.0426165006454886E-5</v>
      </c>
      <c r="S75" s="2"/>
      <c r="T75" s="2"/>
      <c r="U75" s="2"/>
      <c r="V75" s="19">
        <f t="shared" si="19"/>
        <v>0</v>
      </c>
      <c r="W75" s="2"/>
      <c r="X75" s="2">
        <f t="shared" si="20"/>
        <v>48.14</v>
      </c>
      <c r="Y75" s="2"/>
      <c r="Z75" s="19">
        <f t="shared" si="21"/>
        <v>0</v>
      </c>
    </row>
    <row r="76" spans="1:26" s="24" customFormat="1" hidden="1" outlineLevel="1" x14ac:dyDescent="0.25">
      <c r="A76" s="44"/>
      <c r="B76" s="11" t="str">
        <f>CONCATENATE("          ", "5527", " - ", "FREIGHT-IN-SCHOOL SUPPLIES")</f>
        <v xml:space="preserve">          5527 - FREIGHT-IN-SCHOOL SUPPLIES</v>
      </c>
      <c r="C76" s="11"/>
      <c r="D76" s="2"/>
      <c r="E76" s="2"/>
      <c r="F76" s="19">
        <f t="shared" si="14"/>
        <v>0</v>
      </c>
      <c r="G76" s="2"/>
      <c r="H76" s="2"/>
      <c r="I76" s="2"/>
      <c r="J76" s="19">
        <f t="shared" si="15"/>
        <v>0</v>
      </c>
      <c r="K76" s="2"/>
      <c r="L76" s="2">
        <f t="shared" si="16"/>
        <v>0</v>
      </c>
      <c r="M76" s="2"/>
      <c r="N76" s="19">
        <f t="shared" si="17"/>
        <v>0</v>
      </c>
      <c r="O76" s="11"/>
      <c r="P76" s="2">
        <v>177.5</v>
      </c>
      <c r="Q76" s="2"/>
      <c r="R76" s="19">
        <f t="shared" si="18"/>
        <v>1.4905783732126595E-4</v>
      </c>
      <c r="S76" s="2"/>
      <c r="T76" s="2"/>
      <c r="U76" s="2"/>
      <c r="V76" s="19">
        <f t="shared" si="19"/>
        <v>0</v>
      </c>
      <c r="W76" s="2"/>
      <c r="X76" s="2">
        <f t="shared" si="20"/>
        <v>177.5</v>
      </c>
      <c r="Y76" s="2"/>
      <c r="Z76" s="19">
        <f t="shared" si="21"/>
        <v>0</v>
      </c>
    </row>
    <row r="77" spans="1:26" s="24" customFormat="1" hidden="1" outlineLevel="1" x14ac:dyDescent="0.25">
      <c r="A77" s="44"/>
      <c r="B77" s="11" t="str">
        <f>CONCATENATE("          ", "5528", " - ", "FREIGHT-IN-ART/TECH")</f>
        <v xml:space="preserve">          5528 - FREIGHT-IN-ART/TECH</v>
      </c>
      <c r="C77" s="11"/>
      <c r="D77" s="2">
        <v>30.01</v>
      </c>
      <c r="E77" s="2"/>
      <c r="F77" s="19">
        <f t="shared" si="14"/>
        <v>1.8722037816145713E-4</v>
      </c>
      <c r="G77" s="2"/>
      <c r="H77" s="2"/>
      <c r="I77" s="2"/>
      <c r="J77" s="19">
        <f t="shared" si="15"/>
        <v>0</v>
      </c>
      <c r="K77" s="2"/>
      <c r="L77" s="2">
        <f t="shared" si="16"/>
        <v>30.01</v>
      </c>
      <c r="M77" s="2"/>
      <c r="N77" s="19">
        <f t="shared" si="17"/>
        <v>0</v>
      </c>
      <c r="O77" s="11"/>
      <c r="P77" s="2">
        <v>33.950000000000003</v>
      </c>
      <c r="Q77" s="2"/>
      <c r="R77" s="19">
        <f t="shared" si="18"/>
        <v>2.850993564539143E-5</v>
      </c>
      <c r="S77" s="2"/>
      <c r="T77" s="2"/>
      <c r="U77" s="2"/>
      <c r="V77" s="19">
        <f t="shared" si="19"/>
        <v>0</v>
      </c>
      <c r="W77" s="2"/>
      <c r="X77" s="2">
        <f t="shared" si="20"/>
        <v>33.950000000000003</v>
      </c>
      <c r="Y77" s="2"/>
      <c r="Z77" s="19">
        <f t="shared" si="21"/>
        <v>0</v>
      </c>
    </row>
    <row r="78" spans="1:26" s="24" customFormat="1" hidden="1" outlineLevel="1" x14ac:dyDescent="0.25">
      <c r="A78" s="44"/>
      <c r="B78" s="11" t="str">
        <f>CONCATENATE("          ", "5540", " - ", "FREIGHT-IN-LOGO CLOTHING")</f>
        <v xml:space="preserve">          5540 - FREIGHT-IN-LOGO CLOTHING</v>
      </c>
      <c r="C78" s="11"/>
      <c r="D78" s="2">
        <v>347.67</v>
      </c>
      <c r="E78" s="2"/>
      <c r="F78" s="19">
        <f t="shared" si="14"/>
        <v>2.168973971189397E-3</v>
      </c>
      <c r="G78" s="2"/>
      <c r="H78" s="2">
        <v>1400.5</v>
      </c>
      <c r="I78" s="2"/>
      <c r="J78" s="19">
        <f t="shared" si="15"/>
        <v>5.1880023897780091E-3</v>
      </c>
      <c r="K78" s="2"/>
      <c r="L78" s="2">
        <f t="shared" si="16"/>
        <v>-1052.83</v>
      </c>
      <c r="M78" s="2"/>
      <c r="N78" s="19">
        <f t="shared" si="17"/>
        <v>-0.75175294537665116</v>
      </c>
      <c r="O78" s="11"/>
      <c r="P78" s="2">
        <v>5790.63</v>
      </c>
      <c r="Q78" s="2"/>
      <c r="R78" s="19">
        <f t="shared" si="18"/>
        <v>4.8627537156486888E-3</v>
      </c>
      <c r="S78" s="2"/>
      <c r="T78" s="2">
        <v>25677.89</v>
      </c>
      <c r="U78" s="2"/>
      <c r="V78" s="19">
        <f t="shared" si="19"/>
        <v>1.2703913578108655E-2</v>
      </c>
      <c r="W78" s="2"/>
      <c r="X78" s="2">
        <f t="shared" si="20"/>
        <v>-19887.259999999998</v>
      </c>
      <c r="Y78" s="2"/>
      <c r="Z78" s="19">
        <f t="shared" si="21"/>
        <v>-0.77448964848747304</v>
      </c>
    </row>
    <row r="79" spans="1:26" s="24" customFormat="1" hidden="1" outlineLevel="1" x14ac:dyDescent="0.25">
      <c r="A79" s="44"/>
      <c r="B79" s="11" t="str">
        <f>CONCATENATE("          ", "5541", " - ", "FREIGHT-IN-LOGO GIFTS")</f>
        <v xml:space="preserve">          5541 - FREIGHT-IN-LOGO GIFTS</v>
      </c>
      <c r="C79" s="11"/>
      <c r="D79" s="2">
        <v>182.93</v>
      </c>
      <c r="E79" s="2"/>
      <c r="F79" s="19">
        <f t="shared" si="14"/>
        <v>1.1412270502191054E-3</v>
      </c>
      <c r="G79" s="2"/>
      <c r="H79" s="2">
        <v>24.8</v>
      </c>
      <c r="I79" s="2"/>
      <c r="J79" s="19">
        <f t="shared" si="15"/>
        <v>9.1868946280967249E-5</v>
      </c>
      <c r="K79" s="2"/>
      <c r="L79" s="2">
        <f t="shared" si="16"/>
        <v>158.13</v>
      </c>
      <c r="M79" s="2"/>
      <c r="N79" s="19">
        <f t="shared" si="17"/>
        <v>6.3762096774193546</v>
      </c>
      <c r="O79" s="11"/>
      <c r="P79" s="2">
        <v>1702.87</v>
      </c>
      <c r="Q79" s="2"/>
      <c r="R79" s="19">
        <f t="shared" si="18"/>
        <v>1.4300063067000796E-3</v>
      </c>
      <c r="S79" s="2"/>
      <c r="T79" s="2">
        <v>3587.57</v>
      </c>
      <c r="U79" s="2"/>
      <c r="V79" s="19">
        <f t="shared" si="19"/>
        <v>1.7749191711396563E-3</v>
      </c>
      <c r="W79" s="2"/>
      <c r="X79" s="2">
        <f t="shared" si="20"/>
        <v>-1884.7000000000003</v>
      </c>
      <c r="Y79" s="2"/>
      <c r="Z79" s="19">
        <f t="shared" si="21"/>
        <v>-0.52534166580721775</v>
      </c>
    </row>
    <row r="80" spans="1:26" s="24" customFormat="1" hidden="1" outlineLevel="1" x14ac:dyDescent="0.25">
      <c r="A80" s="44"/>
      <c r="B80" s="11" t="str">
        <f>CONCATENATE("          ", "5542", " - ", "FREIGHT-IN-EVERYDAY GIFTS")</f>
        <v xml:space="preserve">          5542 - FREIGHT-IN-EVERYDAY GIFTS</v>
      </c>
      <c r="C80" s="11"/>
      <c r="D80" s="2">
        <v>187.38</v>
      </c>
      <c r="E80" s="2"/>
      <c r="F80" s="19">
        <f t="shared" si="14"/>
        <v>1.1689888190567757E-3</v>
      </c>
      <c r="G80" s="2"/>
      <c r="H80" s="2"/>
      <c r="I80" s="2"/>
      <c r="J80" s="19">
        <f t="shared" si="15"/>
        <v>0</v>
      </c>
      <c r="K80" s="2"/>
      <c r="L80" s="2">
        <f t="shared" si="16"/>
        <v>187.38</v>
      </c>
      <c r="M80" s="2"/>
      <c r="N80" s="19">
        <f t="shared" si="17"/>
        <v>0</v>
      </c>
      <c r="O80" s="11"/>
      <c r="P80" s="2">
        <v>383.93</v>
      </c>
      <c r="Q80" s="2"/>
      <c r="R80" s="19">
        <f t="shared" si="18"/>
        <v>3.2241000271973879E-4</v>
      </c>
      <c r="S80" s="2"/>
      <c r="T80" s="2">
        <v>1708.33</v>
      </c>
      <c r="U80" s="2"/>
      <c r="V80" s="19">
        <f t="shared" si="19"/>
        <v>8.4518146478898223E-4</v>
      </c>
      <c r="W80" s="2"/>
      <c r="X80" s="2">
        <f t="shared" si="20"/>
        <v>-1324.3999999999999</v>
      </c>
      <c r="Y80" s="2"/>
      <c r="Z80" s="19">
        <f t="shared" si="21"/>
        <v>-0.77526004928790104</v>
      </c>
    </row>
    <row r="81" spans="1:26" s="24" customFormat="1" hidden="1" outlineLevel="1" x14ac:dyDescent="0.25">
      <c r="A81" s="44"/>
      <c r="B81" s="11" t="str">
        <f>CONCATENATE("          ", "5543", " - ", "FREIGHT-IN-CARDS")</f>
        <v xml:space="preserve">          5543 - FREIGHT-IN-CARDS</v>
      </c>
      <c r="C81" s="11"/>
      <c r="D81" s="2">
        <v>1992.81</v>
      </c>
      <c r="E81" s="2"/>
      <c r="F81" s="19">
        <f t="shared" si="14"/>
        <v>1.2432343945482618E-2</v>
      </c>
      <c r="G81" s="2"/>
      <c r="H81" s="2"/>
      <c r="I81" s="2"/>
      <c r="J81" s="19">
        <f t="shared" si="15"/>
        <v>0</v>
      </c>
      <c r="K81" s="2"/>
      <c r="L81" s="2">
        <f t="shared" si="16"/>
        <v>1992.81</v>
      </c>
      <c r="M81" s="2"/>
      <c r="N81" s="19">
        <f t="shared" si="17"/>
        <v>0</v>
      </c>
      <c r="O81" s="11"/>
      <c r="P81" s="2">
        <v>9110.5300000000007</v>
      </c>
      <c r="Q81" s="2"/>
      <c r="R81" s="19">
        <f t="shared" si="18"/>
        <v>7.6506811191578202E-3</v>
      </c>
      <c r="S81" s="2"/>
      <c r="T81" s="2">
        <v>121.35</v>
      </c>
      <c r="U81" s="2"/>
      <c r="V81" s="19">
        <f t="shared" si="19"/>
        <v>6.0036861000007604E-5</v>
      </c>
      <c r="W81" s="2"/>
      <c r="X81" s="2">
        <f t="shared" si="20"/>
        <v>8989.18</v>
      </c>
      <c r="Y81" s="2"/>
      <c r="Z81" s="19">
        <f t="shared" si="21"/>
        <v>74.07647301194892</v>
      </c>
    </row>
    <row r="82" spans="1:26" s="24" customFormat="1" hidden="1" outlineLevel="1" x14ac:dyDescent="0.25">
      <c r="A82" s="44"/>
      <c r="B82" s="11" t="str">
        <f>CONCATENATE("          ", "5544", " - ", "FREIGHT-IN-ACCESSORIES")</f>
        <v xml:space="preserve">          5544 - FREIGHT-IN-ACCESSORIES</v>
      </c>
      <c r="C82" s="11"/>
      <c r="D82" s="2"/>
      <c r="E82" s="2"/>
      <c r="F82" s="19">
        <f t="shared" si="14"/>
        <v>0</v>
      </c>
      <c r="G82" s="2"/>
      <c r="H82" s="2"/>
      <c r="I82" s="2"/>
      <c r="J82" s="19">
        <f t="shared" si="15"/>
        <v>0</v>
      </c>
      <c r="K82" s="2"/>
      <c r="L82" s="2">
        <f t="shared" si="16"/>
        <v>0</v>
      </c>
      <c r="M82" s="2"/>
      <c r="N82" s="19">
        <f t="shared" si="17"/>
        <v>0</v>
      </c>
      <c r="O82" s="11"/>
      <c r="P82" s="2"/>
      <c r="Q82" s="2"/>
      <c r="R82" s="19">
        <f t="shared" si="18"/>
        <v>0</v>
      </c>
      <c r="S82" s="2"/>
      <c r="T82" s="2">
        <v>442.31</v>
      </c>
      <c r="U82" s="2"/>
      <c r="V82" s="19">
        <f t="shared" si="19"/>
        <v>2.1882903987567668E-4</v>
      </c>
      <c r="W82" s="2"/>
      <c r="X82" s="2">
        <f t="shared" si="20"/>
        <v>-442.31</v>
      </c>
      <c r="Y82" s="2"/>
      <c r="Z82" s="19">
        <f t="shared" si="21"/>
        <v>-1</v>
      </c>
    </row>
    <row r="83" spans="1:26" s="24" customFormat="1" hidden="1" outlineLevel="1" x14ac:dyDescent="0.25">
      <c r="A83" s="44"/>
      <c r="B83" s="11" t="str">
        <f>CONCATENATE("          ", "5545", " - ", "FREIGHT-IN-SPECIAL ORDERS")</f>
        <v xml:space="preserve">          5545 - FREIGHT-IN-SPECIAL ORDERS</v>
      </c>
      <c r="C83" s="11"/>
      <c r="D83" s="2"/>
      <c r="E83" s="2"/>
      <c r="F83" s="19">
        <f t="shared" si="14"/>
        <v>0</v>
      </c>
      <c r="G83" s="2"/>
      <c r="H83" s="2">
        <v>14.23</v>
      </c>
      <c r="I83" s="2"/>
      <c r="J83" s="19">
        <f t="shared" si="15"/>
        <v>5.2713512321700154E-5</v>
      </c>
      <c r="K83" s="2"/>
      <c r="L83" s="2">
        <f t="shared" si="16"/>
        <v>-14.23</v>
      </c>
      <c r="M83" s="2"/>
      <c r="N83" s="19">
        <f t="shared" si="17"/>
        <v>-1</v>
      </c>
      <c r="O83" s="11"/>
      <c r="P83" s="2">
        <v>1113.79</v>
      </c>
      <c r="Q83" s="2"/>
      <c r="R83" s="19">
        <f t="shared" si="18"/>
        <v>9.3531903453550867E-4</v>
      </c>
      <c r="S83" s="2"/>
      <c r="T83" s="2">
        <v>841.9</v>
      </c>
      <c r="U83" s="2"/>
      <c r="V83" s="19">
        <f t="shared" si="19"/>
        <v>4.1652272992094276E-4</v>
      </c>
      <c r="W83" s="2"/>
      <c r="X83" s="2">
        <f t="shared" si="20"/>
        <v>271.89</v>
      </c>
      <c r="Y83" s="2"/>
      <c r="Z83" s="19">
        <f t="shared" si="21"/>
        <v>0.32294809359781446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8" t="s">
        <v>6</v>
      </c>
      <c r="C85" s="28"/>
      <c r="D85" s="20">
        <f>D12-D56</f>
        <v>75589.380000000077</v>
      </c>
      <c r="E85" s="14"/>
      <c r="F85" s="22">
        <f>IF(D$12=0,0,D85/D$12)</f>
        <v>0.47157188632422858</v>
      </c>
      <c r="G85" s="14"/>
      <c r="H85" s="20">
        <f>H12-H56</f>
        <v>154739.10000000003</v>
      </c>
      <c r="I85" s="14"/>
      <c r="J85" s="22">
        <f>IF(H$12=0,0,H85/H$12)</f>
        <v>0.57321443812359762</v>
      </c>
      <c r="K85" s="15"/>
      <c r="L85" s="20">
        <f>+D85-H85</f>
        <v>-79149.719999999958</v>
      </c>
      <c r="M85" s="15"/>
      <c r="N85" s="22">
        <f>IF(H85=0,0,L85/H85)</f>
        <v>-0.51150433213066338</v>
      </c>
      <c r="O85" s="29"/>
      <c r="P85" s="20">
        <f>P12-P56</f>
        <v>507902.38999999966</v>
      </c>
      <c r="Q85" s="14"/>
      <c r="R85" s="22">
        <f>IF(P$12=0,0,P85/P$12)</f>
        <v>0.42651736238705418</v>
      </c>
      <c r="S85" s="14"/>
      <c r="T85" s="20">
        <f>T12-T56</f>
        <v>1100532.2999999998</v>
      </c>
      <c r="U85" s="14"/>
      <c r="V85" s="22">
        <f>IF(T$12=0,0,T85/T$12)</f>
        <v>0.54447881929228392</v>
      </c>
      <c r="W85" s="15"/>
      <c r="X85" s="20">
        <f>+P85-T85</f>
        <v>-592629.91000000015</v>
      </c>
      <c r="Y85" s="15"/>
      <c r="Z85" s="22">
        <f>IF(T85=0,0,X85/T85)</f>
        <v>-0.5384938815516821</v>
      </c>
    </row>
    <row r="86" spans="1:26" x14ac:dyDescent="0.25">
      <c r="A86" s="9"/>
      <c r="B86" s="10"/>
      <c r="C86" s="9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25">
      <c r="A87" s="10"/>
      <c r="B87" s="29" t="s">
        <v>9</v>
      </c>
      <c r="C87" s="10"/>
      <c r="D87" s="21">
        <f>SUM(OSRRefD22x_0)</f>
        <v>78964.529999999984</v>
      </c>
      <c r="E87" s="21"/>
      <c r="F87" s="35">
        <f t="shared" ref="F87:F96" si="22">IF(D$12=0,0,D87/D$12)</f>
        <v>0.49262809623264658</v>
      </c>
      <c r="G87" s="21"/>
      <c r="H87" s="21">
        <f>SUM(OSRRefH22x_0)</f>
        <v>95820.800000000003</v>
      </c>
      <c r="I87" s="21"/>
      <c r="J87" s="35">
        <f t="shared" ref="J87:J96" si="23">IF(H$12=0,0,H87/H$12)</f>
        <v>0.35495790031448815</v>
      </c>
      <c r="K87" s="4"/>
      <c r="L87" s="21">
        <f t="shared" ref="L87:L96" si="24">+D87-H87</f>
        <v>-16856.270000000019</v>
      </c>
      <c r="M87" s="4"/>
      <c r="N87" s="35">
        <f t="shared" ref="N87:N96" si="25">IF(H87=0,0,L87/H87)</f>
        <v>-0.1759145196032596</v>
      </c>
      <c r="O87" s="10"/>
      <c r="P87" s="21">
        <f>SUM(OSRRefP22x_0)</f>
        <v>484644.47</v>
      </c>
      <c r="Q87" s="21"/>
      <c r="R87" s="35">
        <f t="shared" ref="R87:R96" si="26">IF(P$12=0,0,P87/P$12)</f>
        <v>0.40698623418541491</v>
      </c>
      <c r="S87" s="21"/>
      <c r="T87" s="21">
        <f>SUM(OSRRefT22x_0)</f>
        <v>644454.70000000007</v>
      </c>
      <c r="U87" s="21"/>
      <c r="V87" s="35">
        <f t="shared" ref="V87:V96" si="27">IF(T$12=0,0,T87/T$12)</f>
        <v>0.31883837861311581</v>
      </c>
      <c r="W87" s="4"/>
      <c r="X87" s="21">
        <f t="shared" ref="X87:X96" si="28">+P87-T87</f>
        <v>-159810.2300000001</v>
      </c>
      <c r="Y87" s="4"/>
      <c r="Z87" s="35">
        <f t="shared" ref="Z87:Z96" si="29">IF(T87=0,0,X87/T87)</f>
        <v>-0.24797744511755454</v>
      </c>
    </row>
    <row r="88" spans="1:26" s="26" customFormat="1" outlineLevel="1" collapsed="1" x14ac:dyDescent="0.25">
      <c r="A88" s="27"/>
      <c r="B88" s="13" t="str">
        <f>CONCATENATE("     ","*Benefits                                         ")</f>
        <v xml:space="preserve">     *Benefits                                         </v>
      </c>
      <c r="C88" s="13"/>
      <c r="D88" s="1">
        <f>SUM(OSRRefD22_0x_0)</f>
        <v>14402.33</v>
      </c>
      <c r="E88" s="1"/>
      <c r="F88" s="5">
        <f t="shared" si="22"/>
        <v>8.9850372176144583E-2</v>
      </c>
      <c r="G88" s="1"/>
      <c r="H88" s="1">
        <f>SUM(OSRRefH22_0x_0)</f>
        <v>6824.58</v>
      </c>
      <c r="I88" s="1"/>
      <c r="J88" s="5">
        <f t="shared" si="23"/>
        <v>2.5280926347184009E-2</v>
      </c>
      <c r="K88" s="1"/>
      <c r="L88" s="1">
        <f t="shared" si="24"/>
        <v>7577.75</v>
      </c>
      <c r="M88" s="1"/>
      <c r="N88" s="5">
        <f t="shared" si="25"/>
        <v>1.1103613702235156</v>
      </c>
      <c r="O88" s="13"/>
      <c r="P88" s="1">
        <f>SUM(OSRRefP22_0x_0)</f>
        <v>107382.87999999999</v>
      </c>
      <c r="Q88" s="1"/>
      <c r="R88" s="5">
        <f t="shared" si="26"/>
        <v>9.0176111876783219E-2</v>
      </c>
      <c r="S88" s="1"/>
      <c r="T88" s="1">
        <f>SUM(OSRRefT22_0x_0)</f>
        <v>59778.46</v>
      </c>
      <c r="U88" s="1"/>
      <c r="V88" s="5">
        <f t="shared" si="27"/>
        <v>2.9574875103539469E-2</v>
      </c>
      <c r="W88" s="1"/>
      <c r="X88" s="1">
        <f t="shared" si="28"/>
        <v>47604.419999999991</v>
      </c>
      <c r="Y88" s="1"/>
      <c r="Z88" s="5">
        <f t="shared" si="29"/>
        <v>0.79634737997599792</v>
      </c>
    </row>
    <row r="89" spans="1:26" s="24" customFormat="1" hidden="1" outlineLevel="2" x14ac:dyDescent="0.25">
      <c r="A89" s="25"/>
      <c r="B89" s="11" t="str">
        <f>CONCATENATE("          ", "6111", " - ", "F.I.C.A.")</f>
        <v xml:space="preserve">          6111 - F.I.C.A.</v>
      </c>
      <c r="C89" s="11"/>
      <c r="D89" s="6">
        <v>2448.2600000000002</v>
      </c>
      <c r="E89" s="2"/>
      <c r="F89" s="7">
        <f t="shared" si="22"/>
        <v>1.5273714196520129E-2</v>
      </c>
      <c r="G89" s="2"/>
      <c r="H89" s="6">
        <v>1097.32</v>
      </c>
      <c r="I89" s="2"/>
      <c r="J89" s="7">
        <f t="shared" si="23"/>
        <v>4.064904521493184E-3</v>
      </c>
      <c r="K89" s="2"/>
      <c r="L89" s="6">
        <f t="shared" si="24"/>
        <v>1350.9400000000003</v>
      </c>
      <c r="M89" s="2"/>
      <c r="N89" s="7">
        <f t="shared" si="25"/>
        <v>1.2311267451609378</v>
      </c>
      <c r="O89" s="11"/>
      <c r="P89" s="6">
        <v>21295.96</v>
      </c>
      <c r="Q89" s="2"/>
      <c r="R89" s="7">
        <f t="shared" si="26"/>
        <v>1.7883547838198233E-2</v>
      </c>
      <c r="S89" s="2"/>
      <c r="T89" s="6">
        <v>12498.51</v>
      </c>
      <c r="U89" s="2"/>
      <c r="V89" s="7">
        <f t="shared" si="27"/>
        <v>6.1835295226798934E-3</v>
      </c>
      <c r="W89" s="2"/>
      <c r="X89" s="6">
        <f t="shared" si="28"/>
        <v>8797.4499999999989</v>
      </c>
      <c r="Y89" s="2"/>
      <c r="Z89" s="7">
        <f t="shared" si="29"/>
        <v>0.70387990248437604</v>
      </c>
    </row>
    <row r="90" spans="1:26" s="24" customFormat="1" hidden="1" outlineLevel="2" x14ac:dyDescent="0.25">
      <c r="A90" s="25"/>
      <c r="B90" s="11" t="str">
        <f>CONCATENATE("          ", "6112", " - ", "COMPENSATION INSURANCE")</f>
        <v xml:space="preserve">          6112 - COMPENSATION INSURANCE</v>
      </c>
      <c r="C90" s="11"/>
      <c r="D90" s="6">
        <v>265.27</v>
      </c>
      <c r="E90" s="2"/>
      <c r="F90" s="7">
        <f t="shared" si="22"/>
        <v>1.654913352712087E-3</v>
      </c>
      <c r="G90" s="2"/>
      <c r="H90" s="6">
        <v>557.4</v>
      </c>
      <c r="I90" s="2"/>
      <c r="J90" s="7">
        <f t="shared" si="23"/>
        <v>2.0648286555246427E-3</v>
      </c>
      <c r="K90" s="2"/>
      <c r="L90" s="6">
        <f t="shared" si="24"/>
        <v>-292.13</v>
      </c>
      <c r="M90" s="2"/>
      <c r="N90" s="7">
        <f t="shared" si="25"/>
        <v>-0.52409400789379257</v>
      </c>
      <c r="O90" s="11"/>
      <c r="P90" s="6">
        <v>7740.05</v>
      </c>
      <c r="Q90" s="2"/>
      <c r="R90" s="7">
        <f t="shared" si="26"/>
        <v>6.4998034577941656E-3</v>
      </c>
      <c r="S90" s="2"/>
      <c r="T90" s="6">
        <v>4207.3599999999997</v>
      </c>
      <c r="U90" s="2"/>
      <c r="V90" s="7">
        <f t="shared" si="27"/>
        <v>2.0815549031478532E-3</v>
      </c>
      <c r="W90" s="2"/>
      <c r="X90" s="6">
        <f t="shared" si="28"/>
        <v>3532.6900000000005</v>
      </c>
      <c r="Y90" s="2"/>
      <c r="Z90" s="7">
        <f t="shared" si="29"/>
        <v>0.83964528825676932</v>
      </c>
    </row>
    <row r="91" spans="1:26" s="24" customFormat="1" hidden="1" outlineLevel="2" x14ac:dyDescent="0.25">
      <c r="A91" s="25"/>
      <c r="B91" s="11" t="str">
        <f>CONCATENATE("          ", "6113", " - ", "GROUP INSURANCE")</f>
        <v xml:space="preserve">          6113 - GROUP INSURANCE</v>
      </c>
      <c r="C91" s="11"/>
      <c r="D91" s="6">
        <v>5528.62</v>
      </c>
      <c r="E91" s="2"/>
      <c r="F91" s="7">
        <f t="shared" si="22"/>
        <v>3.4490847287937193E-2</v>
      </c>
      <c r="G91" s="2"/>
      <c r="H91" s="6">
        <v>2416.37</v>
      </c>
      <c r="I91" s="2"/>
      <c r="J91" s="7">
        <f t="shared" si="23"/>
        <v>8.9511841018121291E-3</v>
      </c>
      <c r="K91" s="2"/>
      <c r="L91" s="6">
        <f t="shared" si="24"/>
        <v>3112.25</v>
      </c>
      <c r="M91" s="2"/>
      <c r="N91" s="7">
        <f t="shared" si="25"/>
        <v>1.2879856975545965</v>
      </c>
      <c r="O91" s="11"/>
      <c r="P91" s="6">
        <v>38945.040000000001</v>
      </c>
      <c r="Q91" s="2"/>
      <c r="R91" s="7">
        <f t="shared" si="26"/>
        <v>3.2704582742479969E-2</v>
      </c>
      <c r="S91" s="2"/>
      <c r="T91" s="6">
        <v>21540.329999999998</v>
      </c>
      <c r="U91" s="2"/>
      <c r="V91" s="7">
        <f t="shared" si="27"/>
        <v>1.0656891620142512E-2</v>
      </c>
      <c r="W91" s="2"/>
      <c r="X91" s="6">
        <f t="shared" si="28"/>
        <v>17404.710000000003</v>
      </c>
      <c r="Y91" s="2"/>
      <c r="Z91" s="7">
        <f t="shared" si="29"/>
        <v>0.80800572693176032</v>
      </c>
    </row>
    <row r="92" spans="1:26" s="24" customFormat="1" hidden="1" outlineLevel="2" x14ac:dyDescent="0.25">
      <c r="A92" s="25"/>
      <c r="B92" s="11" t="str">
        <f>CONCATENATE("          ", "6114", " - ", "STATE UNEMPLOYMENT INSURANCE")</f>
        <v xml:space="preserve">          6114 - STATE UNEMPLOYMENT INSURANCE</v>
      </c>
      <c r="C92" s="11"/>
      <c r="D92" s="6">
        <v>211.03</v>
      </c>
      <c r="E92" s="2"/>
      <c r="F92" s="7">
        <f t="shared" si="22"/>
        <v>1.3165317028794501E-3</v>
      </c>
      <c r="G92" s="2"/>
      <c r="H92" s="6">
        <v>76.27</v>
      </c>
      <c r="I92" s="2"/>
      <c r="J92" s="7">
        <f t="shared" si="23"/>
        <v>2.8253405374392628E-4</v>
      </c>
      <c r="K92" s="2"/>
      <c r="L92" s="6">
        <f t="shared" si="24"/>
        <v>134.76</v>
      </c>
      <c r="M92" s="2"/>
      <c r="N92" s="7">
        <f t="shared" si="25"/>
        <v>1.76688081814606</v>
      </c>
      <c r="O92" s="11"/>
      <c r="P92" s="6">
        <v>887.68</v>
      </c>
      <c r="Q92" s="2"/>
      <c r="R92" s="7">
        <f t="shared" si="26"/>
        <v>7.4544034384981038E-4</v>
      </c>
      <c r="S92" s="2"/>
      <c r="T92" s="6">
        <v>661.04</v>
      </c>
      <c r="U92" s="2"/>
      <c r="V92" s="7">
        <f t="shared" si="27"/>
        <v>3.2704381207618479E-4</v>
      </c>
      <c r="W92" s="2"/>
      <c r="X92" s="6">
        <f t="shared" si="28"/>
        <v>226.64</v>
      </c>
      <c r="Y92" s="2"/>
      <c r="Z92" s="7">
        <f t="shared" si="29"/>
        <v>0.34285368510226311</v>
      </c>
    </row>
    <row r="93" spans="1:26" s="24" customFormat="1" hidden="1" outlineLevel="2" x14ac:dyDescent="0.25">
      <c r="A93" s="25"/>
      <c r="B93" s="11" t="str">
        <f>CONCATENATE("          ", "6115", " - ", "P.E.R.S.")</f>
        <v xml:space="preserve">          6115 - P.E.R.S.</v>
      </c>
      <c r="C93" s="11"/>
      <c r="D93" s="6">
        <v>2835.08</v>
      </c>
      <c r="E93" s="2"/>
      <c r="F93" s="7">
        <f t="shared" si="22"/>
        <v>1.7686929347483636E-2</v>
      </c>
      <c r="G93" s="2"/>
      <c r="H93" s="6">
        <v>1166.51</v>
      </c>
      <c r="I93" s="2"/>
      <c r="J93" s="7">
        <f t="shared" si="23"/>
        <v>4.3212114728310921E-3</v>
      </c>
      <c r="K93" s="2"/>
      <c r="L93" s="6">
        <f t="shared" si="24"/>
        <v>1668.57</v>
      </c>
      <c r="M93" s="2"/>
      <c r="N93" s="7">
        <f t="shared" si="25"/>
        <v>1.4303949387489177</v>
      </c>
      <c r="O93" s="11"/>
      <c r="P93" s="6">
        <v>14395.2</v>
      </c>
      <c r="Q93" s="2"/>
      <c r="R93" s="7">
        <f t="shared" si="26"/>
        <v>1.2088548618631479E-2</v>
      </c>
      <c r="S93" s="2"/>
      <c r="T93" s="6">
        <v>7541.4</v>
      </c>
      <c r="U93" s="2"/>
      <c r="V93" s="7">
        <f t="shared" si="27"/>
        <v>3.7310423036296444E-3</v>
      </c>
      <c r="W93" s="2"/>
      <c r="X93" s="6">
        <f t="shared" si="28"/>
        <v>6853.8000000000011</v>
      </c>
      <c r="Y93" s="2"/>
      <c r="Z93" s="7">
        <f t="shared" si="29"/>
        <v>0.90882329540934059</v>
      </c>
    </row>
    <row r="94" spans="1:26" s="24" customFormat="1" hidden="1" outlineLevel="2" x14ac:dyDescent="0.25">
      <c r="A94" s="25"/>
      <c r="B94" s="11" t="str">
        <f>CONCATENATE("          ", "6118", " - ", "VACATION")</f>
        <v xml:space="preserve">          6118 - VACATION</v>
      </c>
      <c r="C94" s="11"/>
      <c r="D94" s="6">
        <v>1729.43</v>
      </c>
      <c r="E94" s="2"/>
      <c r="F94" s="7">
        <f t="shared" si="22"/>
        <v>1.0789221546276869E-2</v>
      </c>
      <c r="G94" s="2"/>
      <c r="H94" s="6">
        <v>711.04</v>
      </c>
      <c r="I94" s="2"/>
      <c r="J94" s="7">
        <f t="shared" si="23"/>
        <v>2.6339715953072156E-3</v>
      </c>
      <c r="K94" s="2"/>
      <c r="L94" s="6">
        <f t="shared" si="24"/>
        <v>1018.3900000000001</v>
      </c>
      <c r="M94" s="2"/>
      <c r="N94" s="7">
        <f t="shared" si="25"/>
        <v>1.4322541629162919</v>
      </c>
      <c r="O94" s="11"/>
      <c r="P94" s="6">
        <v>11996.23</v>
      </c>
      <c r="Q94" s="2"/>
      <c r="R94" s="7">
        <f t="shared" si="26"/>
        <v>1.0073983660892901E-2</v>
      </c>
      <c r="S94" s="2"/>
      <c r="T94" s="6">
        <v>6532.93</v>
      </c>
      <c r="U94" s="2"/>
      <c r="V94" s="7">
        <f t="shared" si="27"/>
        <v>3.2321105095408299E-3</v>
      </c>
      <c r="W94" s="2"/>
      <c r="X94" s="6">
        <f t="shared" si="28"/>
        <v>5463.2999999999993</v>
      </c>
      <c r="Y94" s="2"/>
      <c r="Z94" s="7">
        <f t="shared" si="29"/>
        <v>0.83627101469019249</v>
      </c>
    </row>
    <row r="95" spans="1:26" s="24" customFormat="1" hidden="1" outlineLevel="2" x14ac:dyDescent="0.25">
      <c r="A95" s="25"/>
      <c r="B95" s="11" t="str">
        <f>CONCATENATE("          ", "6119", " - ", "SICK LEAVE")</f>
        <v xml:space="preserve">          6119 - SICK LEAVE</v>
      </c>
      <c r="C95" s="11"/>
      <c r="D95" s="6">
        <v>1220.93</v>
      </c>
      <c r="E95" s="2"/>
      <c r="F95" s="7">
        <f t="shared" si="22"/>
        <v>7.6168935790958967E-3</v>
      </c>
      <c r="G95" s="2"/>
      <c r="H95" s="6">
        <v>472.07</v>
      </c>
      <c r="I95" s="2"/>
      <c r="J95" s="7">
        <f t="shared" si="23"/>
        <v>1.7487328012442019E-3</v>
      </c>
      <c r="K95" s="2"/>
      <c r="L95" s="6">
        <f t="shared" si="24"/>
        <v>748.86000000000013</v>
      </c>
      <c r="M95" s="2"/>
      <c r="N95" s="7">
        <f t="shared" si="25"/>
        <v>1.586332535429068</v>
      </c>
      <c r="O95" s="11"/>
      <c r="P95" s="6">
        <v>9025.4</v>
      </c>
      <c r="Q95" s="2"/>
      <c r="R95" s="7">
        <f t="shared" si="26"/>
        <v>7.5791921406160763E-3</v>
      </c>
      <c r="S95" s="2"/>
      <c r="T95" s="6">
        <v>5054.63</v>
      </c>
      <c r="U95" s="2"/>
      <c r="V95" s="7">
        <f t="shared" si="27"/>
        <v>2.5007343940376468E-3</v>
      </c>
      <c r="W95" s="2"/>
      <c r="X95" s="6">
        <f t="shared" si="28"/>
        <v>3970.7699999999995</v>
      </c>
      <c r="Y95" s="2"/>
      <c r="Z95" s="7">
        <f t="shared" si="29"/>
        <v>0.78557085286163364</v>
      </c>
    </row>
    <row r="96" spans="1:26" s="24" customFormat="1" hidden="1" outlineLevel="2" x14ac:dyDescent="0.25">
      <c r="A96" s="25"/>
      <c r="B96" s="11" t="str">
        <f>CONCATENATE("          ", "6156", " - ", "EMPLOYEE MEALS")</f>
        <v xml:space="preserve">          6156 - EMPLOYEE MEALS</v>
      </c>
      <c r="C96" s="11"/>
      <c r="D96" s="6">
        <v>163.71</v>
      </c>
      <c r="E96" s="2"/>
      <c r="F96" s="7">
        <f t="shared" si="22"/>
        <v>1.0213211632393252E-3</v>
      </c>
      <c r="G96" s="2"/>
      <c r="H96" s="6">
        <v>327.60000000000002</v>
      </c>
      <c r="I96" s="2"/>
      <c r="J96" s="7">
        <f t="shared" si="23"/>
        <v>1.2135591452276156E-3</v>
      </c>
      <c r="K96" s="2"/>
      <c r="L96" s="6">
        <f t="shared" si="24"/>
        <v>-163.89000000000001</v>
      </c>
      <c r="M96" s="2"/>
      <c r="N96" s="7">
        <f t="shared" si="25"/>
        <v>-0.50027472527472527</v>
      </c>
      <c r="O96" s="11"/>
      <c r="P96" s="6">
        <v>3097.32</v>
      </c>
      <c r="Q96" s="2"/>
      <c r="R96" s="7">
        <f t="shared" si="26"/>
        <v>2.6010130743205828E-3</v>
      </c>
      <c r="S96" s="2"/>
      <c r="T96" s="6">
        <v>1742.26</v>
      </c>
      <c r="U96" s="2"/>
      <c r="V96" s="7">
        <f t="shared" si="27"/>
        <v>8.6196803828490526E-4</v>
      </c>
      <c r="W96" s="2"/>
      <c r="X96" s="6">
        <f t="shared" si="28"/>
        <v>1355.0600000000002</v>
      </c>
      <c r="Y96" s="2"/>
      <c r="Z96" s="7">
        <f t="shared" si="29"/>
        <v>0.77775992102212077</v>
      </c>
    </row>
    <row r="97" spans="1:26" s="26" customFormat="1" outlineLevel="1" collapsed="1" x14ac:dyDescent="0.25">
      <c r="A97" s="27"/>
      <c r="B97" s="13" t="str">
        <f>CONCATENATE("     ","*Payroll                                          ")</f>
        <v xml:space="preserve">     *Payroll                                          </v>
      </c>
      <c r="C97" s="13"/>
      <c r="D97" s="1">
        <f>SUM(OSRRefD22_1x_0)</f>
        <v>45208.939999999995</v>
      </c>
      <c r="E97" s="1"/>
      <c r="F97" s="5">
        <f t="shared" ref="F97:F103" si="30">IF(D$12=0,0,D97/D$12)</f>
        <v>0.282040481275529</v>
      </c>
      <c r="G97" s="1"/>
      <c r="H97" s="1">
        <f>SUM(OSRRefH22_1x_0)</f>
        <v>37309.450000000004</v>
      </c>
      <c r="I97" s="1"/>
      <c r="J97" s="5">
        <f t="shared" ref="J97:J103" si="31">IF(H$12=0,0,H97/H$12)</f>
        <v>0.13820886523477555</v>
      </c>
      <c r="K97" s="1"/>
      <c r="L97" s="1">
        <f t="shared" ref="L97:L103" si="32">+D97-H97</f>
        <v>7899.4899999999907</v>
      </c>
      <c r="M97" s="1"/>
      <c r="N97" s="5">
        <f t="shared" ref="N97:N103" si="33">IF(H97=0,0,L97/H97)</f>
        <v>0.21172893194619566</v>
      </c>
      <c r="O97" s="13"/>
      <c r="P97" s="1">
        <f>SUM(OSRRefP22_1x_0)</f>
        <v>266422.78999999998</v>
      </c>
      <c r="Q97" s="1"/>
      <c r="R97" s="5">
        <f t="shared" ref="R97:R103" si="34">IF(P$12=0,0,P97/P$12)</f>
        <v>0.22373185853801575</v>
      </c>
      <c r="S97" s="1"/>
      <c r="T97" s="1">
        <f>SUM(OSRRefT22_1x_0)</f>
        <v>250285.05999999997</v>
      </c>
      <c r="U97" s="1"/>
      <c r="V97" s="5">
        <f t="shared" ref="V97:V103" si="35">IF(T$12=0,0,T97/T$12)</f>
        <v>0.12382636471033014</v>
      </c>
      <c r="W97" s="1"/>
      <c r="X97" s="1">
        <f t="shared" ref="X97:X103" si="36">+P97-T97</f>
        <v>16137.73000000001</v>
      </c>
      <c r="Y97" s="1"/>
      <c r="Z97" s="5">
        <f t="shared" ref="Z97:Z103" si="37">IF(T97=0,0,X97/T97)</f>
        <v>6.4477400289094419E-2</v>
      </c>
    </row>
    <row r="98" spans="1:26" s="24" customFormat="1" hidden="1" outlineLevel="2" x14ac:dyDescent="0.25">
      <c r="A98" s="25"/>
      <c r="B98" s="11" t="str">
        <f>CONCATENATE("          ", "6002", " - ", "STAFF SALARIES")</f>
        <v xml:space="preserve">          6002 - STAFF SALARIES</v>
      </c>
      <c r="C98" s="11"/>
      <c r="D98" s="6">
        <v>23210.36</v>
      </c>
      <c r="E98" s="2"/>
      <c r="F98" s="7">
        <f t="shared" si="30"/>
        <v>0.14480014583350745</v>
      </c>
      <c r="G98" s="2"/>
      <c r="H98" s="6">
        <v>9004.3700000000008</v>
      </c>
      <c r="I98" s="2"/>
      <c r="J98" s="7">
        <f t="shared" si="31"/>
        <v>3.3355725154191655E-2</v>
      </c>
      <c r="K98" s="2"/>
      <c r="L98" s="6">
        <f t="shared" si="32"/>
        <v>14205.99</v>
      </c>
      <c r="M98" s="2"/>
      <c r="N98" s="7">
        <f t="shared" si="33"/>
        <v>1.5776772833635222</v>
      </c>
      <c r="O98" s="11"/>
      <c r="P98" s="6">
        <v>126903.55</v>
      </c>
      <c r="Q98" s="2"/>
      <c r="R98" s="7">
        <f t="shared" si="34"/>
        <v>0.10656883781065431</v>
      </c>
      <c r="S98" s="2"/>
      <c r="T98" s="6">
        <v>70808.509999999995</v>
      </c>
      <c r="U98" s="2"/>
      <c r="V98" s="7">
        <f t="shared" si="35"/>
        <v>3.5031896765452396E-2</v>
      </c>
      <c r="W98" s="2"/>
      <c r="X98" s="6">
        <f t="shared" si="36"/>
        <v>56095.040000000008</v>
      </c>
      <c r="Y98" s="2"/>
      <c r="Z98" s="7">
        <f t="shared" si="37"/>
        <v>0.79220760329514084</v>
      </c>
    </row>
    <row r="99" spans="1:26" s="24" customFormat="1" hidden="1" outlineLevel="2" x14ac:dyDescent="0.25">
      <c r="A99" s="25"/>
      <c r="B99" s="11" t="str">
        <f>CONCATENATE("          ", "6004", " - ", "STAFF HOURLY")</f>
        <v xml:space="preserve">          6004 - STAFF HOURLY</v>
      </c>
      <c r="C99" s="11"/>
      <c r="D99" s="6">
        <v>3770.92</v>
      </c>
      <c r="E99" s="2"/>
      <c r="F99" s="7">
        <f t="shared" si="30"/>
        <v>2.3525260527044383E-2</v>
      </c>
      <c r="G99" s="2"/>
      <c r="H99" s="6">
        <v>1557</v>
      </c>
      <c r="I99" s="2"/>
      <c r="J99" s="7">
        <f t="shared" si="31"/>
        <v>5.767739893526855E-3</v>
      </c>
      <c r="K99" s="2"/>
      <c r="L99" s="6">
        <f t="shared" si="32"/>
        <v>2213.92</v>
      </c>
      <c r="M99" s="2"/>
      <c r="N99" s="7">
        <f t="shared" si="33"/>
        <v>1.4219139370584457</v>
      </c>
      <c r="O99" s="11"/>
      <c r="P99" s="6">
        <v>45662.67</v>
      </c>
      <c r="Q99" s="2"/>
      <c r="R99" s="7">
        <f t="shared" si="34"/>
        <v>3.8345796262054366E-2</v>
      </c>
      <c r="S99" s="2"/>
      <c r="T99" s="6">
        <v>644.39</v>
      </c>
      <c r="U99" s="2"/>
      <c r="V99" s="7">
        <f t="shared" si="35"/>
        <v>3.1880636884874249E-4</v>
      </c>
      <c r="W99" s="2"/>
      <c r="X99" s="6">
        <f t="shared" si="36"/>
        <v>45018.28</v>
      </c>
      <c r="Y99" s="2"/>
      <c r="Z99" s="7">
        <f t="shared" si="37"/>
        <v>69.86185384627322</v>
      </c>
    </row>
    <row r="100" spans="1:26" s="24" customFormat="1" hidden="1" outlineLevel="2" x14ac:dyDescent="0.25">
      <c r="A100" s="25"/>
      <c r="B100" s="11" t="str">
        <f>CONCATENATE("          ", "6005", " - ", "TEMPORARY WAGES-HOURLY")</f>
        <v xml:space="preserve">          6005 - TEMPORARY WAGES-HOURLY</v>
      </c>
      <c r="C100" s="11"/>
      <c r="D100" s="6">
        <v>5750.61</v>
      </c>
      <c r="E100" s="2"/>
      <c r="F100" s="7">
        <f t="shared" si="30"/>
        <v>3.5875754043953913E-2</v>
      </c>
      <c r="G100" s="2"/>
      <c r="H100" s="6">
        <v>4418.8900000000003</v>
      </c>
      <c r="I100" s="2"/>
      <c r="J100" s="7">
        <f t="shared" si="31"/>
        <v>1.6369305162560618E-2</v>
      </c>
      <c r="K100" s="2"/>
      <c r="L100" s="6">
        <f t="shared" si="32"/>
        <v>1331.7199999999993</v>
      </c>
      <c r="M100" s="2"/>
      <c r="N100" s="7">
        <f t="shared" si="33"/>
        <v>0.30136980101337651</v>
      </c>
      <c r="O100" s="11"/>
      <c r="P100" s="6">
        <v>37275.939999999995</v>
      </c>
      <c r="Q100" s="2"/>
      <c r="R100" s="7">
        <f t="shared" si="34"/>
        <v>3.1302935214181801E-2</v>
      </c>
      <c r="S100" s="2"/>
      <c r="T100" s="6">
        <v>30609.09</v>
      </c>
      <c r="U100" s="2"/>
      <c r="V100" s="7">
        <f t="shared" si="35"/>
        <v>1.5143582049169532E-2</v>
      </c>
      <c r="W100" s="2"/>
      <c r="X100" s="6">
        <f t="shared" si="36"/>
        <v>6666.8499999999949</v>
      </c>
      <c r="Y100" s="2"/>
      <c r="Z100" s="7">
        <f t="shared" si="37"/>
        <v>0.21780621377505816</v>
      </c>
    </row>
    <row r="101" spans="1:26" s="24" customFormat="1" hidden="1" outlineLevel="2" x14ac:dyDescent="0.25">
      <c r="A101" s="25"/>
      <c r="B101" s="11" t="str">
        <f>CONCATENATE("          ", "6006", " - ", "TEMPORARY PART TIME")</f>
        <v xml:space="preserve">          6006 - TEMPORARY PART TIME</v>
      </c>
      <c r="C101" s="11"/>
      <c r="D101" s="6"/>
      <c r="E101" s="2"/>
      <c r="F101" s="7">
        <f t="shared" si="30"/>
        <v>0</v>
      </c>
      <c r="G101" s="2"/>
      <c r="H101" s="6"/>
      <c r="I101" s="2"/>
      <c r="J101" s="7">
        <f t="shared" si="31"/>
        <v>0</v>
      </c>
      <c r="K101" s="2"/>
      <c r="L101" s="6">
        <f t="shared" si="32"/>
        <v>0</v>
      </c>
      <c r="M101" s="2"/>
      <c r="N101" s="7">
        <f t="shared" si="33"/>
        <v>0</v>
      </c>
      <c r="O101" s="11"/>
      <c r="P101" s="6"/>
      <c r="Q101" s="2"/>
      <c r="R101" s="7">
        <f t="shared" si="34"/>
        <v>0</v>
      </c>
      <c r="S101" s="2"/>
      <c r="T101" s="6">
        <v>66.5</v>
      </c>
      <c r="U101" s="2"/>
      <c r="V101" s="7">
        <f t="shared" si="35"/>
        <v>3.2900298776271166E-5</v>
      </c>
      <c r="W101" s="2"/>
      <c r="X101" s="6">
        <f t="shared" si="36"/>
        <v>-66.5</v>
      </c>
      <c r="Y101" s="2"/>
      <c r="Z101" s="7">
        <f t="shared" si="37"/>
        <v>-1</v>
      </c>
    </row>
    <row r="102" spans="1:26" s="24" customFormat="1" hidden="1" outlineLevel="2" x14ac:dyDescent="0.25">
      <c r="A102" s="25"/>
      <c r="B102" s="11" t="str">
        <f>CONCATENATE("          ", "6007", " - ", "STUDENT HOURLY")</f>
        <v xml:space="preserve">          6007 - STUDENT HOURLY</v>
      </c>
      <c r="C102" s="11"/>
      <c r="D102" s="6">
        <v>11914.53</v>
      </c>
      <c r="E102" s="2"/>
      <c r="F102" s="7">
        <f t="shared" si="30"/>
        <v>7.4329983745952219E-2</v>
      </c>
      <c r="G102" s="2"/>
      <c r="H102" s="6">
        <v>22329.190000000002</v>
      </c>
      <c r="I102" s="2"/>
      <c r="J102" s="7">
        <f t="shared" si="31"/>
        <v>8.2716095024496422E-2</v>
      </c>
      <c r="K102" s="2"/>
      <c r="L102" s="6">
        <f t="shared" si="32"/>
        <v>-10414.660000000002</v>
      </c>
      <c r="M102" s="2"/>
      <c r="N102" s="7">
        <f t="shared" si="33"/>
        <v>-0.46641459005006453</v>
      </c>
      <c r="O102" s="11"/>
      <c r="P102" s="6">
        <v>51087.66</v>
      </c>
      <c r="Q102" s="2"/>
      <c r="R102" s="7">
        <f t="shared" si="34"/>
        <v>4.2901499230445887E-2</v>
      </c>
      <c r="S102" s="2"/>
      <c r="T102" s="6">
        <v>147961.56999999998</v>
      </c>
      <c r="U102" s="2"/>
      <c r="V102" s="7">
        <f t="shared" si="35"/>
        <v>7.3202704667761798E-2</v>
      </c>
      <c r="W102" s="2"/>
      <c r="X102" s="6">
        <f t="shared" si="36"/>
        <v>-96873.909999999974</v>
      </c>
      <c r="Y102" s="2"/>
      <c r="Z102" s="7">
        <f t="shared" si="37"/>
        <v>-0.654723452853332</v>
      </c>
    </row>
    <row r="103" spans="1:26" s="24" customFormat="1" hidden="1" outlineLevel="2" x14ac:dyDescent="0.25">
      <c r="A103" s="25"/>
      <c r="B103" s="11" t="str">
        <f>CONCATENATE("          ", "6008", " - ", "STUDENT HOURLY-FICA EXEMPT")</f>
        <v xml:space="preserve">          6008 - STUDENT HOURLY-FICA EXEMPT</v>
      </c>
      <c r="C103" s="11"/>
      <c r="D103" s="6">
        <v>562.52</v>
      </c>
      <c r="E103" s="2"/>
      <c r="F103" s="7">
        <f t="shared" si="30"/>
        <v>3.5093371250710719E-3</v>
      </c>
      <c r="G103" s="2"/>
      <c r="H103" s="6"/>
      <c r="I103" s="2"/>
      <c r="J103" s="7">
        <f t="shared" si="31"/>
        <v>0</v>
      </c>
      <c r="K103" s="2"/>
      <c r="L103" s="6">
        <f t="shared" si="32"/>
        <v>562.52</v>
      </c>
      <c r="M103" s="2"/>
      <c r="N103" s="7">
        <f t="shared" si="33"/>
        <v>0</v>
      </c>
      <c r="O103" s="11"/>
      <c r="P103" s="6">
        <v>5492.97</v>
      </c>
      <c r="Q103" s="2"/>
      <c r="R103" s="7">
        <f t="shared" si="34"/>
        <v>4.6127900206794038E-3</v>
      </c>
      <c r="S103" s="2"/>
      <c r="T103" s="6">
        <v>195</v>
      </c>
      <c r="U103" s="2"/>
      <c r="V103" s="7">
        <f t="shared" si="35"/>
        <v>9.6474560321396647E-5</v>
      </c>
      <c r="W103" s="2"/>
      <c r="X103" s="6">
        <f t="shared" si="36"/>
        <v>5297.97</v>
      </c>
      <c r="Y103" s="2"/>
      <c r="Z103" s="7">
        <f t="shared" si="37"/>
        <v>27.169076923076926</v>
      </c>
    </row>
    <row r="104" spans="1:26" s="26" customFormat="1" outlineLevel="1" collapsed="1" x14ac:dyDescent="0.25">
      <c r="A104" s="27"/>
      <c r="B104" s="13" t="str">
        <f>CONCATENATE("     ","Advertising/Promo                                 ")</f>
        <v xml:space="preserve">     Advertising/Promo                                 </v>
      </c>
      <c r="C104" s="13"/>
      <c r="D104" s="1">
        <f>SUM(OSRRefD22_2x_0)</f>
        <v>637.52</v>
      </c>
      <c r="E104" s="1"/>
      <c r="F104" s="5">
        <f t="shared" ref="F104:F112" si="38">IF(D$12=0,0,D104/D$12)</f>
        <v>3.9772321054812442E-3</v>
      </c>
      <c r="G104" s="1"/>
      <c r="H104" s="1">
        <f>SUM(OSRRefH22_2x_0)</f>
        <v>6142.97</v>
      </c>
      <c r="I104" s="1"/>
      <c r="J104" s="5">
        <f t="shared" ref="J104:J112" si="39">IF(H$12=0,0,H104/H$12)</f>
        <v>2.2755975037725539E-2</v>
      </c>
      <c r="K104" s="1"/>
      <c r="L104" s="1">
        <f t="shared" ref="L104:L112" si="40">+D104-H104</f>
        <v>-5505.4500000000007</v>
      </c>
      <c r="M104" s="1"/>
      <c r="N104" s="5">
        <f t="shared" ref="N104:N112" si="41">IF(H104=0,0,L104/H104)</f>
        <v>-0.89621958108211508</v>
      </c>
      <c r="O104" s="13"/>
      <c r="P104" s="1">
        <f>SUM(OSRRefP22_2x_0)</f>
        <v>13684.87</v>
      </c>
      <c r="Q104" s="1"/>
      <c r="R104" s="5">
        <f t="shared" ref="R104:R112" si="42">IF(P$12=0,0,P104/P$12)</f>
        <v>1.1492040147733367E-2</v>
      </c>
      <c r="S104" s="1"/>
      <c r="T104" s="1">
        <f>SUM(OSRRefT22_2x_0)</f>
        <v>19982.990000000002</v>
      </c>
      <c r="U104" s="1"/>
      <c r="V104" s="5">
        <f t="shared" ref="V104:V112" si="43">IF(T$12=0,0,T104/T$12)</f>
        <v>9.8864111495223905E-3</v>
      </c>
      <c r="W104" s="1"/>
      <c r="X104" s="1">
        <f t="shared" ref="X104:X112" si="44">+P104-T104</f>
        <v>-6298.1200000000008</v>
      </c>
      <c r="Y104" s="1"/>
      <c r="Z104" s="5">
        <f t="shared" ref="Z104:Z112" si="45">IF(T104=0,0,X104/T104)</f>
        <v>-0.31517405553423189</v>
      </c>
    </row>
    <row r="105" spans="1:26" s="24" customFormat="1" hidden="1" outlineLevel="2" x14ac:dyDescent="0.25">
      <c r="A105" s="25"/>
      <c r="B105" s="11" t="str">
        <f>CONCATENATE("          ", "6362", " - ", "ADVERTISING EXPENSE")</f>
        <v xml:space="preserve">          6362 - ADVERTISING EXPENSE</v>
      </c>
      <c r="C105" s="11"/>
      <c r="D105" s="6">
        <v>637.52</v>
      </c>
      <c r="E105" s="2"/>
      <c r="F105" s="7">
        <f t="shared" si="38"/>
        <v>3.9772321054812442E-3</v>
      </c>
      <c r="G105" s="2"/>
      <c r="H105" s="6">
        <v>6142.97</v>
      </c>
      <c r="I105" s="2"/>
      <c r="J105" s="7">
        <f t="shared" si="39"/>
        <v>2.2755975037725539E-2</v>
      </c>
      <c r="K105" s="2"/>
      <c r="L105" s="6">
        <f t="shared" si="40"/>
        <v>-5505.4500000000007</v>
      </c>
      <c r="M105" s="2"/>
      <c r="N105" s="7">
        <f t="shared" si="41"/>
        <v>-0.89621958108211508</v>
      </c>
      <c r="O105" s="11"/>
      <c r="P105" s="6">
        <v>13684.87</v>
      </c>
      <c r="Q105" s="2"/>
      <c r="R105" s="7">
        <f t="shared" si="42"/>
        <v>1.1492040147733367E-2</v>
      </c>
      <c r="S105" s="2"/>
      <c r="T105" s="6">
        <v>19982.990000000002</v>
      </c>
      <c r="U105" s="2"/>
      <c r="V105" s="7">
        <f t="shared" si="43"/>
        <v>9.8864111495223905E-3</v>
      </c>
      <c r="W105" s="2"/>
      <c r="X105" s="6">
        <f t="shared" si="44"/>
        <v>-6298.1200000000008</v>
      </c>
      <c r="Y105" s="2"/>
      <c r="Z105" s="7">
        <f t="shared" si="45"/>
        <v>-0.31517405553423189</v>
      </c>
    </row>
    <row r="106" spans="1:26" s="26" customFormat="1" outlineLevel="1" collapsed="1" x14ac:dyDescent="0.25">
      <c r="A106" s="27"/>
      <c r="B106" s="13" t="str">
        <f>CONCATENATE("     ","Bad Debts/Over/Short                              ")</f>
        <v xml:space="preserve">     Bad Debts/Over/Short                              </v>
      </c>
      <c r="C106" s="13"/>
      <c r="D106" s="1">
        <f>SUM(OSRRefD22_3x_0)</f>
        <v>-0.41</v>
      </c>
      <c r="E106" s="1"/>
      <c r="F106" s="5">
        <f t="shared" si="38"/>
        <v>-2.5578258929089445E-6</v>
      </c>
      <c r="G106" s="1"/>
      <c r="H106" s="1">
        <f>SUM(OSRRefH22_3x_0)</f>
        <v>-0.13</v>
      </c>
      <c r="I106" s="1"/>
      <c r="J106" s="5">
        <f t="shared" si="39"/>
        <v>-4.8157108937603797E-7</v>
      </c>
      <c r="K106" s="1"/>
      <c r="L106" s="1">
        <f t="shared" si="40"/>
        <v>-0.27999999999999997</v>
      </c>
      <c r="M106" s="1"/>
      <c r="N106" s="5">
        <f t="shared" si="41"/>
        <v>2.1538461538461537</v>
      </c>
      <c r="O106" s="13"/>
      <c r="P106" s="1">
        <f>SUM(OSRRefP22_3x_0)</f>
        <v>-1.8</v>
      </c>
      <c r="Q106" s="1"/>
      <c r="R106" s="5">
        <f t="shared" si="42"/>
        <v>-1.511572434807204E-6</v>
      </c>
      <c r="S106" s="1"/>
      <c r="T106" s="1">
        <f>SUM(OSRRefT22_3x_0)</f>
        <v>45.81</v>
      </c>
      <c r="U106" s="1"/>
      <c r="V106" s="5">
        <f t="shared" si="43"/>
        <v>2.2664100555503491E-5</v>
      </c>
      <c r="W106" s="1"/>
      <c r="X106" s="1">
        <f t="shared" si="44"/>
        <v>-47.61</v>
      </c>
      <c r="Y106" s="1"/>
      <c r="Z106" s="5">
        <f t="shared" si="45"/>
        <v>-1.0392927308447937</v>
      </c>
    </row>
    <row r="107" spans="1:26" s="24" customFormat="1" hidden="1" outlineLevel="2" x14ac:dyDescent="0.25">
      <c r="A107" s="25"/>
      <c r="B107" s="11" t="str">
        <f>CONCATENATE("          ", "6272", " - ", "CASH (OVER/SHORT)")</f>
        <v xml:space="preserve">          6272 - CASH (OVER/SHORT)</v>
      </c>
      <c r="C107" s="11"/>
      <c r="D107" s="6">
        <v>-0.41</v>
      </c>
      <c r="E107" s="2"/>
      <c r="F107" s="7">
        <f t="shared" si="38"/>
        <v>-2.5578258929089445E-6</v>
      </c>
      <c r="G107" s="2"/>
      <c r="H107" s="6">
        <v>-0.13</v>
      </c>
      <c r="I107" s="2"/>
      <c r="J107" s="7">
        <f t="shared" si="39"/>
        <v>-4.8157108937603797E-7</v>
      </c>
      <c r="K107" s="2"/>
      <c r="L107" s="6">
        <f t="shared" si="40"/>
        <v>-0.27999999999999997</v>
      </c>
      <c r="M107" s="2"/>
      <c r="N107" s="7">
        <f t="shared" si="41"/>
        <v>2.1538461538461537</v>
      </c>
      <c r="O107" s="11"/>
      <c r="P107" s="6">
        <v>-1.8</v>
      </c>
      <c r="Q107" s="2"/>
      <c r="R107" s="7">
        <f t="shared" si="42"/>
        <v>-1.511572434807204E-6</v>
      </c>
      <c r="S107" s="2"/>
      <c r="T107" s="6">
        <v>45.81</v>
      </c>
      <c r="U107" s="2"/>
      <c r="V107" s="7">
        <f t="shared" si="43"/>
        <v>2.2664100555503491E-5</v>
      </c>
      <c r="W107" s="2"/>
      <c r="X107" s="6">
        <f t="shared" si="44"/>
        <v>-47.61</v>
      </c>
      <c r="Y107" s="2"/>
      <c r="Z107" s="7">
        <f t="shared" si="45"/>
        <v>-1.0392927308447937</v>
      </c>
    </row>
    <row r="108" spans="1:26" s="26" customFormat="1" outlineLevel="1" collapsed="1" x14ac:dyDescent="0.25">
      <c r="A108" s="27"/>
      <c r="B108" s="13" t="str">
        <f>CONCATENATE("     ","Bank/card Fees                                    ")</f>
        <v xml:space="preserve">     Bank/card Fees                                    </v>
      </c>
      <c r="C108" s="13"/>
      <c r="D108" s="1">
        <f>SUM(OSRRefD22_4x_0)</f>
        <v>244.74</v>
      </c>
      <c r="E108" s="1"/>
      <c r="F108" s="5">
        <f t="shared" si="38"/>
        <v>1.5268349000744758E-3</v>
      </c>
      <c r="G108" s="1"/>
      <c r="H108" s="1">
        <f>SUM(OSRRefH22_4x_0)</f>
        <v>489.58</v>
      </c>
      <c r="I108" s="1"/>
      <c r="J108" s="5">
        <f t="shared" si="39"/>
        <v>1.8135967225901589E-3</v>
      </c>
      <c r="K108" s="1"/>
      <c r="L108" s="1">
        <f t="shared" si="40"/>
        <v>-244.83999999999997</v>
      </c>
      <c r="M108" s="1"/>
      <c r="N108" s="5">
        <f t="shared" si="41"/>
        <v>-0.50010212835491641</v>
      </c>
      <c r="O108" s="13"/>
      <c r="P108" s="1">
        <f>SUM(OSRRefP22_4x_0)</f>
        <v>2559.0100000000002</v>
      </c>
      <c r="Q108" s="1"/>
      <c r="R108" s="5">
        <f t="shared" si="42"/>
        <v>2.1489605424422128E-3</v>
      </c>
      <c r="S108" s="1"/>
      <c r="T108" s="1">
        <f>SUM(OSRRefT22_4x_0)</f>
        <v>5174.05</v>
      </c>
      <c r="U108" s="1"/>
      <c r="V108" s="5">
        <f t="shared" si="43"/>
        <v>2.5598164042611401E-3</v>
      </c>
      <c r="W108" s="1"/>
      <c r="X108" s="1">
        <f t="shared" si="44"/>
        <v>-2615.04</v>
      </c>
      <c r="Y108" s="1"/>
      <c r="Z108" s="5">
        <f t="shared" si="45"/>
        <v>-0.50541452054000247</v>
      </c>
    </row>
    <row r="109" spans="1:26" s="24" customFormat="1" hidden="1" outlineLevel="2" x14ac:dyDescent="0.25">
      <c r="A109" s="25"/>
      <c r="B109" s="11" t="str">
        <f>CONCATENATE("          ", "6381", " - ", "BANK/CREDIT CARD FEES")</f>
        <v xml:space="preserve">          6381 - BANK/CREDIT CARD FEES</v>
      </c>
      <c r="C109" s="11"/>
      <c r="D109" s="6">
        <v>244.74</v>
      </c>
      <c r="E109" s="2"/>
      <c r="F109" s="7">
        <f t="shared" si="38"/>
        <v>1.5268349000744758E-3</v>
      </c>
      <c r="G109" s="2"/>
      <c r="H109" s="6">
        <v>489.58</v>
      </c>
      <c r="I109" s="2"/>
      <c r="J109" s="7">
        <f t="shared" si="39"/>
        <v>1.8135967225901589E-3</v>
      </c>
      <c r="K109" s="2"/>
      <c r="L109" s="6">
        <f t="shared" si="40"/>
        <v>-244.83999999999997</v>
      </c>
      <c r="M109" s="2"/>
      <c r="N109" s="7">
        <f t="shared" si="41"/>
        <v>-0.50010212835491641</v>
      </c>
      <c r="O109" s="11"/>
      <c r="P109" s="6">
        <v>2559.0100000000002</v>
      </c>
      <c r="Q109" s="2"/>
      <c r="R109" s="7">
        <f t="shared" si="42"/>
        <v>2.1489605424422128E-3</v>
      </c>
      <c r="S109" s="2"/>
      <c r="T109" s="6">
        <v>5174.05</v>
      </c>
      <c r="U109" s="2"/>
      <c r="V109" s="7">
        <f t="shared" si="43"/>
        <v>2.5598164042611401E-3</v>
      </c>
      <c r="W109" s="2"/>
      <c r="X109" s="6">
        <f t="shared" si="44"/>
        <v>-2615.04</v>
      </c>
      <c r="Y109" s="2"/>
      <c r="Z109" s="7">
        <f t="shared" si="45"/>
        <v>-0.50541452054000247</v>
      </c>
    </row>
    <row r="110" spans="1:26" s="26" customFormat="1" outlineLevel="1" collapsed="1" x14ac:dyDescent="0.25">
      <c r="A110" s="27"/>
      <c r="B110" s="13" t="str">
        <f>CONCATENATE("     ","Discounts and Markdowns                           ")</f>
        <v xml:space="preserve">     Discounts and Markdowns                           </v>
      </c>
      <c r="C110" s="13"/>
      <c r="D110" s="1">
        <f>SUM(OSRRefD22_5x_0)</f>
        <v>0</v>
      </c>
      <c r="E110" s="1"/>
      <c r="F110" s="5">
        <f t="shared" si="38"/>
        <v>0</v>
      </c>
      <c r="G110" s="1"/>
      <c r="H110" s="1">
        <f>SUM(OSRRefH22_5x_0)</f>
        <v>31378.300000000003</v>
      </c>
      <c r="I110" s="1"/>
      <c r="J110" s="5">
        <f t="shared" si="39"/>
        <v>0.11623755472129334</v>
      </c>
      <c r="K110" s="1"/>
      <c r="L110" s="1">
        <f t="shared" si="40"/>
        <v>-31378.300000000003</v>
      </c>
      <c r="M110" s="1"/>
      <c r="N110" s="5">
        <f t="shared" si="41"/>
        <v>-1</v>
      </c>
      <c r="O110" s="13"/>
      <c r="P110" s="1">
        <f>SUM(OSRRefP22_5x_0)</f>
        <v>0</v>
      </c>
      <c r="Q110" s="1"/>
      <c r="R110" s="5">
        <f t="shared" si="42"/>
        <v>0</v>
      </c>
      <c r="S110" s="1"/>
      <c r="T110" s="1">
        <f>SUM(OSRRefT22_5x_0)</f>
        <v>210486.62</v>
      </c>
      <c r="U110" s="1"/>
      <c r="V110" s="5">
        <f t="shared" si="43"/>
        <v>0.10413643137454817</v>
      </c>
      <c r="W110" s="1"/>
      <c r="X110" s="1">
        <f t="shared" si="44"/>
        <v>-210486.62</v>
      </c>
      <c r="Y110" s="1"/>
      <c r="Z110" s="5">
        <f t="shared" si="45"/>
        <v>-1</v>
      </c>
    </row>
    <row r="111" spans="1:26" s="24" customFormat="1" hidden="1" outlineLevel="2" x14ac:dyDescent="0.25">
      <c r="A111" s="25"/>
      <c r="B111" s="11" t="str">
        <f>CONCATENATE("          ", "6382", " - ", "DISCOUNTS/MARK DOWNS")</f>
        <v xml:space="preserve">          6382 - DISCOUNTS/MARK DOWNS</v>
      </c>
      <c r="C111" s="11"/>
      <c r="D111" s="6"/>
      <c r="E111" s="2"/>
      <c r="F111" s="7">
        <f t="shared" si="38"/>
        <v>0</v>
      </c>
      <c r="G111" s="2"/>
      <c r="H111" s="6">
        <v>31378.300000000003</v>
      </c>
      <c r="I111" s="2"/>
      <c r="J111" s="7">
        <f t="shared" si="39"/>
        <v>0.11623755472129334</v>
      </c>
      <c r="K111" s="2"/>
      <c r="L111" s="6">
        <f t="shared" si="40"/>
        <v>-31378.300000000003</v>
      </c>
      <c r="M111" s="2"/>
      <c r="N111" s="7">
        <f t="shared" si="41"/>
        <v>-1</v>
      </c>
      <c r="O111" s="11"/>
      <c r="P111" s="6">
        <v>0</v>
      </c>
      <c r="Q111" s="2"/>
      <c r="R111" s="7">
        <f t="shared" si="42"/>
        <v>0</v>
      </c>
      <c r="S111" s="2"/>
      <c r="T111" s="6">
        <v>210506.01</v>
      </c>
      <c r="U111" s="2"/>
      <c r="V111" s="7">
        <f t="shared" si="43"/>
        <v>0.10414602440903348</v>
      </c>
      <c r="W111" s="2"/>
      <c r="X111" s="6">
        <f t="shared" si="44"/>
        <v>-210506.01</v>
      </c>
      <c r="Y111" s="2"/>
      <c r="Z111" s="7">
        <f t="shared" si="45"/>
        <v>-1</v>
      </c>
    </row>
    <row r="112" spans="1:26" s="24" customFormat="1" hidden="1" outlineLevel="2" x14ac:dyDescent="0.25">
      <c r="A112" s="25"/>
      <c r="B112" s="11" t="str">
        <f>CONCATENATE("          ", "9175", " - ", "EARNED DISCOUNTS")</f>
        <v xml:space="preserve">          9175 - EARNED DISCOUNTS</v>
      </c>
      <c r="C112" s="11"/>
      <c r="D112" s="6"/>
      <c r="E112" s="2"/>
      <c r="F112" s="7">
        <f t="shared" si="38"/>
        <v>0</v>
      </c>
      <c r="G112" s="2"/>
      <c r="H112" s="6"/>
      <c r="I112" s="2"/>
      <c r="J112" s="7">
        <f t="shared" si="39"/>
        <v>0</v>
      </c>
      <c r="K112" s="2"/>
      <c r="L112" s="6">
        <f t="shared" si="40"/>
        <v>0</v>
      </c>
      <c r="M112" s="2"/>
      <c r="N112" s="7">
        <f t="shared" si="41"/>
        <v>0</v>
      </c>
      <c r="O112" s="11"/>
      <c r="P112" s="6"/>
      <c r="Q112" s="2"/>
      <c r="R112" s="7">
        <f t="shared" si="42"/>
        <v>0</v>
      </c>
      <c r="S112" s="2"/>
      <c r="T112" s="6">
        <v>-19.39</v>
      </c>
      <c r="U112" s="2"/>
      <c r="V112" s="7">
        <f t="shared" si="43"/>
        <v>-9.5930344852916969E-6</v>
      </c>
      <c r="W112" s="2"/>
      <c r="X112" s="6">
        <f t="shared" si="44"/>
        <v>19.39</v>
      </c>
      <c r="Y112" s="2"/>
      <c r="Z112" s="7">
        <f t="shared" si="45"/>
        <v>-1</v>
      </c>
    </row>
    <row r="113" spans="1:26" s="26" customFormat="1" outlineLevel="1" collapsed="1" x14ac:dyDescent="0.25">
      <c r="A113" s="27"/>
      <c r="B113" s="13" t="str">
        <f>CONCATENATE("     ","Employees' Appreciation                           ")</f>
        <v xml:space="preserve">     Employees' Appreciation                           </v>
      </c>
      <c r="C113" s="13"/>
      <c r="D113" s="1">
        <f>SUM(OSRRefD22_6x_0)</f>
        <v>0</v>
      </c>
      <c r="E113" s="1"/>
      <c r="F113" s="5">
        <f t="shared" ref="F113:F117" si="46">IF(D$12=0,0,D113/D$12)</f>
        <v>0</v>
      </c>
      <c r="G113" s="1"/>
      <c r="H113" s="1">
        <f>SUM(OSRRefH22_6x_0)</f>
        <v>0</v>
      </c>
      <c r="I113" s="1"/>
      <c r="J113" s="5">
        <f t="shared" ref="J113:J117" si="47">IF(H$12=0,0,H113/H$12)</f>
        <v>0</v>
      </c>
      <c r="K113" s="1"/>
      <c r="L113" s="1">
        <f t="shared" ref="L113:L117" si="48">+D113-H113</f>
        <v>0</v>
      </c>
      <c r="M113" s="1"/>
      <c r="N113" s="5">
        <f t="shared" ref="N113:N117" si="49">IF(H113=0,0,L113/H113)</f>
        <v>0</v>
      </c>
      <c r="O113" s="13"/>
      <c r="P113" s="1">
        <f>SUM(OSRRefP22_6x_0)</f>
        <v>0</v>
      </c>
      <c r="Q113" s="1"/>
      <c r="R113" s="5">
        <f t="shared" ref="R113:R117" si="50">IF(P$12=0,0,P113/P$12)</f>
        <v>0</v>
      </c>
      <c r="S113" s="1"/>
      <c r="T113" s="1">
        <f>SUM(OSRRefT22_6x_0)</f>
        <v>330.41</v>
      </c>
      <c r="U113" s="1"/>
      <c r="V113" s="5">
        <f t="shared" ref="V113:V117" si="51">IF(T$12=0,0,T113/T$12)</f>
        <v>1.6346748449124444E-4</v>
      </c>
      <c r="W113" s="1"/>
      <c r="X113" s="1">
        <f t="shared" ref="X113:X117" si="52">+P113-T113</f>
        <v>-330.41</v>
      </c>
      <c r="Y113" s="1"/>
      <c r="Z113" s="5">
        <f t="shared" ref="Z113:Z117" si="53">IF(T113=0,0,X113/T113)</f>
        <v>-1</v>
      </c>
    </row>
    <row r="114" spans="1:26" s="24" customFormat="1" hidden="1" outlineLevel="2" x14ac:dyDescent="0.25">
      <c r="A114" s="25"/>
      <c r="B114" s="11" t="str">
        <f>CONCATENATE("          ", "6277", " - ", "EMPLOYEE APPRECIATION")</f>
        <v xml:space="preserve">          6277 - EMPLOYEE APPRECIATION</v>
      </c>
      <c r="C114" s="11"/>
      <c r="D114" s="6"/>
      <c r="E114" s="2"/>
      <c r="F114" s="7">
        <f t="shared" si="46"/>
        <v>0</v>
      </c>
      <c r="G114" s="2"/>
      <c r="H114" s="6"/>
      <c r="I114" s="2"/>
      <c r="J114" s="7">
        <f t="shared" si="47"/>
        <v>0</v>
      </c>
      <c r="K114" s="2"/>
      <c r="L114" s="6">
        <f t="shared" si="48"/>
        <v>0</v>
      </c>
      <c r="M114" s="2"/>
      <c r="N114" s="7">
        <f t="shared" si="49"/>
        <v>0</v>
      </c>
      <c r="O114" s="11"/>
      <c r="P114" s="6"/>
      <c r="Q114" s="2"/>
      <c r="R114" s="7">
        <f t="shared" si="50"/>
        <v>0</v>
      </c>
      <c r="S114" s="2"/>
      <c r="T114" s="6">
        <v>330.41</v>
      </c>
      <c r="U114" s="2"/>
      <c r="V114" s="7">
        <f t="shared" si="51"/>
        <v>1.6346748449124444E-4</v>
      </c>
      <c r="W114" s="2"/>
      <c r="X114" s="6">
        <f t="shared" si="52"/>
        <v>-330.41</v>
      </c>
      <c r="Y114" s="2"/>
      <c r="Z114" s="7">
        <f t="shared" si="53"/>
        <v>-1</v>
      </c>
    </row>
    <row r="115" spans="1:26" s="26" customFormat="1" outlineLevel="1" collapsed="1" x14ac:dyDescent="0.25">
      <c r="A115" s="27"/>
      <c r="B115" s="13" t="str">
        <f>CONCATENATE("     ","Freight out/Postage                               ")</f>
        <v xml:space="preserve">     Freight out/Postage                               </v>
      </c>
      <c r="C115" s="13"/>
      <c r="D115" s="1">
        <f>SUM(OSRRefD22_7x_0)</f>
        <v>127.18</v>
      </c>
      <c r="E115" s="1"/>
      <c r="F115" s="5">
        <f t="shared" si="46"/>
        <v>7.9342511478087702E-4</v>
      </c>
      <c r="G115" s="1"/>
      <c r="H115" s="1">
        <f>SUM(OSRRefH22_7x_0)</f>
        <v>10.68</v>
      </c>
      <c r="I115" s="1"/>
      <c r="J115" s="5">
        <f t="shared" si="47"/>
        <v>3.9562917188739114E-5</v>
      </c>
      <c r="K115" s="1"/>
      <c r="L115" s="1">
        <f t="shared" si="48"/>
        <v>116.5</v>
      </c>
      <c r="M115" s="1"/>
      <c r="N115" s="5">
        <f t="shared" si="49"/>
        <v>10.908239700374532</v>
      </c>
      <c r="O115" s="13"/>
      <c r="P115" s="1">
        <f>SUM(OSRRefP22_7x_0)</f>
        <v>234.42</v>
      </c>
      <c r="Q115" s="1"/>
      <c r="R115" s="5">
        <f t="shared" si="50"/>
        <v>1.9685711675972484E-4</v>
      </c>
      <c r="S115" s="1"/>
      <c r="T115" s="1">
        <f>SUM(OSRRefT22_7x_0)</f>
        <v>81.180000000000007</v>
      </c>
      <c r="U115" s="1"/>
      <c r="V115" s="5">
        <f t="shared" si="51"/>
        <v>4.0163101573799903E-5</v>
      </c>
      <c r="W115" s="1"/>
      <c r="X115" s="1">
        <f t="shared" si="52"/>
        <v>153.23999999999998</v>
      </c>
      <c r="Y115" s="1"/>
      <c r="Z115" s="5">
        <f t="shared" si="53"/>
        <v>1.8876570583887653</v>
      </c>
    </row>
    <row r="116" spans="1:26" s="24" customFormat="1" hidden="1" outlineLevel="2" x14ac:dyDescent="0.25">
      <c r="A116" s="25"/>
      <c r="B116" s="11" t="str">
        <f>CONCATENATE("          ", "6305", " - ", "FREIGHT OUT")</f>
        <v xml:space="preserve">          6305 - FREIGHT OUT</v>
      </c>
      <c r="C116" s="11"/>
      <c r="D116" s="6">
        <v>127.18</v>
      </c>
      <c r="E116" s="2"/>
      <c r="F116" s="7">
        <f t="shared" si="46"/>
        <v>7.9342511478087702E-4</v>
      </c>
      <c r="G116" s="2"/>
      <c r="H116" s="6">
        <v>10.68</v>
      </c>
      <c r="I116" s="2"/>
      <c r="J116" s="7">
        <f t="shared" si="47"/>
        <v>3.9562917188739114E-5</v>
      </c>
      <c r="K116" s="2"/>
      <c r="L116" s="6">
        <f t="shared" si="48"/>
        <v>116.5</v>
      </c>
      <c r="M116" s="2"/>
      <c r="N116" s="7">
        <f t="shared" si="49"/>
        <v>10.908239700374532</v>
      </c>
      <c r="O116" s="11"/>
      <c r="P116" s="6">
        <v>240.42</v>
      </c>
      <c r="Q116" s="2"/>
      <c r="R116" s="7">
        <f t="shared" si="50"/>
        <v>2.0189569154241551E-4</v>
      </c>
      <c r="S116" s="2"/>
      <c r="T116" s="6">
        <v>80.680000000000007</v>
      </c>
      <c r="U116" s="2"/>
      <c r="V116" s="7">
        <f t="shared" si="51"/>
        <v>3.9915730906309136E-5</v>
      </c>
      <c r="W116" s="2"/>
      <c r="X116" s="6">
        <f t="shared" si="52"/>
        <v>159.73999999999998</v>
      </c>
      <c r="Y116" s="2"/>
      <c r="Z116" s="7">
        <f t="shared" si="53"/>
        <v>1.9799206742687154</v>
      </c>
    </row>
    <row r="117" spans="1:26" s="24" customFormat="1" hidden="1" outlineLevel="2" x14ac:dyDescent="0.25">
      <c r="A117" s="25"/>
      <c r="B117" s="11" t="str">
        <f>CONCATENATE("          ", "6307", " - ", "POSTAGE")</f>
        <v xml:space="preserve">          6307 - POSTAGE</v>
      </c>
      <c r="C117" s="11"/>
      <c r="D117" s="6"/>
      <c r="E117" s="2"/>
      <c r="F117" s="7">
        <f t="shared" si="46"/>
        <v>0</v>
      </c>
      <c r="G117" s="2"/>
      <c r="H117" s="6"/>
      <c r="I117" s="2"/>
      <c r="J117" s="7">
        <f t="shared" si="47"/>
        <v>0</v>
      </c>
      <c r="K117" s="2"/>
      <c r="L117" s="6">
        <f t="shared" si="48"/>
        <v>0</v>
      </c>
      <c r="M117" s="2"/>
      <c r="N117" s="7">
        <f t="shared" si="49"/>
        <v>0</v>
      </c>
      <c r="O117" s="11"/>
      <c r="P117" s="6">
        <v>-6</v>
      </c>
      <c r="Q117" s="2"/>
      <c r="R117" s="7">
        <f t="shared" si="50"/>
        <v>-5.0385747826906797E-6</v>
      </c>
      <c r="S117" s="2"/>
      <c r="T117" s="6">
        <v>0.5</v>
      </c>
      <c r="U117" s="2"/>
      <c r="V117" s="7">
        <f t="shared" si="51"/>
        <v>2.4737066749076063E-7</v>
      </c>
      <c r="W117" s="2"/>
      <c r="X117" s="6">
        <f t="shared" si="52"/>
        <v>-6.5</v>
      </c>
      <c r="Y117" s="2"/>
      <c r="Z117" s="7">
        <f t="shared" si="53"/>
        <v>-13</v>
      </c>
    </row>
    <row r="118" spans="1:26" s="26" customFormat="1" outlineLevel="1" collapsed="1" x14ac:dyDescent="0.25">
      <c r="A118" s="27"/>
      <c r="B118" s="13" t="str">
        <f>CONCATENATE("     ","General                                           ")</f>
        <v xml:space="preserve">     General                                           </v>
      </c>
      <c r="C118" s="13"/>
      <c r="D118" s="1">
        <f>SUM(OSRRefD22_8x_0)</f>
        <v>0</v>
      </c>
      <c r="E118" s="1"/>
      <c r="F118" s="5">
        <f t="shared" ref="F118:F130" si="54">IF(D$12=0,0,D118/D$12)</f>
        <v>0</v>
      </c>
      <c r="G118" s="1"/>
      <c r="H118" s="1">
        <f>SUM(OSRRefH22_8x_0)</f>
        <v>0</v>
      </c>
      <c r="I118" s="1"/>
      <c r="J118" s="5">
        <f t="shared" ref="J118:J130" si="55">IF(H$12=0,0,H118/H$12)</f>
        <v>0</v>
      </c>
      <c r="K118" s="1"/>
      <c r="L118" s="1">
        <f t="shared" ref="L118:L130" si="56">+D118-H118</f>
        <v>0</v>
      </c>
      <c r="M118" s="1"/>
      <c r="N118" s="5">
        <f t="shared" ref="N118:N130" si="57">IF(H118=0,0,L118/H118)</f>
        <v>0</v>
      </c>
      <c r="O118" s="13"/>
      <c r="P118" s="1">
        <f>SUM(OSRRefP22_8x_0)</f>
        <v>1285.46</v>
      </c>
      <c r="Q118" s="1"/>
      <c r="R118" s="5">
        <f t="shared" ref="R118:R130" si="58">IF(P$12=0,0,P118/P$12)</f>
        <v>1.0794810566929268E-3</v>
      </c>
      <c r="S118" s="1"/>
      <c r="T118" s="1">
        <f>SUM(OSRRefT22_8x_0)</f>
        <v>1271.44</v>
      </c>
      <c r="U118" s="1"/>
      <c r="V118" s="5">
        <f t="shared" ref="V118:V130" si="59">IF(T$12=0,0,T118/T$12)</f>
        <v>6.2903392294890543E-4</v>
      </c>
      <c r="W118" s="1"/>
      <c r="X118" s="1">
        <f t="shared" ref="X118:X130" si="60">+P118-T118</f>
        <v>14.019999999999982</v>
      </c>
      <c r="Y118" s="1"/>
      <c r="Z118" s="5">
        <f t="shared" ref="Z118:Z130" si="61">IF(T118=0,0,X118/T118)</f>
        <v>1.1026867174227633E-2</v>
      </c>
    </row>
    <row r="119" spans="1:26" s="24" customFormat="1" hidden="1" outlineLevel="2" x14ac:dyDescent="0.25">
      <c r="A119" s="25"/>
      <c r="B119" s="11" t="str">
        <f>CONCATENATE("          ", "6279", " - ", "GENERAL EXPENSE")</f>
        <v xml:space="preserve">          6279 - GENERAL EXPENSE</v>
      </c>
      <c r="C119" s="11"/>
      <c r="D119" s="6"/>
      <c r="E119" s="2"/>
      <c r="F119" s="7">
        <f t="shared" si="54"/>
        <v>0</v>
      </c>
      <c r="G119" s="2"/>
      <c r="H119" s="6"/>
      <c r="I119" s="2"/>
      <c r="J119" s="7">
        <f t="shared" si="55"/>
        <v>0</v>
      </c>
      <c r="K119" s="2"/>
      <c r="L119" s="6">
        <f t="shared" si="56"/>
        <v>0</v>
      </c>
      <c r="M119" s="2"/>
      <c r="N119" s="7">
        <f t="shared" si="57"/>
        <v>0</v>
      </c>
      <c r="O119" s="11"/>
      <c r="P119" s="6">
        <v>1285.46</v>
      </c>
      <c r="Q119" s="2"/>
      <c r="R119" s="7">
        <f t="shared" si="58"/>
        <v>1.0794810566929268E-3</v>
      </c>
      <c r="S119" s="2"/>
      <c r="T119" s="6">
        <v>1271.44</v>
      </c>
      <c r="U119" s="2"/>
      <c r="V119" s="7">
        <f t="shared" si="59"/>
        <v>6.2903392294890543E-4</v>
      </c>
      <c r="W119" s="2"/>
      <c r="X119" s="6">
        <f t="shared" si="60"/>
        <v>14.019999999999982</v>
      </c>
      <c r="Y119" s="2"/>
      <c r="Z119" s="7">
        <f t="shared" si="61"/>
        <v>1.1026867174227633E-2</v>
      </c>
    </row>
    <row r="120" spans="1:26" s="26" customFormat="1" outlineLevel="1" collapsed="1" x14ac:dyDescent="0.25">
      <c r="A120" s="27"/>
      <c r="B120" s="13" t="str">
        <f>CONCATENATE("     ","Insurance                                         ")</f>
        <v xml:space="preserve">     Insurance                                         </v>
      </c>
      <c r="C120" s="13"/>
      <c r="D120" s="1">
        <f>SUM(OSRRefD22_9x_0)</f>
        <v>161.18</v>
      </c>
      <c r="E120" s="1"/>
      <c r="F120" s="5">
        <f t="shared" si="54"/>
        <v>1.0055375059001555E-3</v>
      </c>
      <c r="G120" s="1"/>
      <c r="H120" s="1">
        <f>SUM(OSRRefH22_9x_0)</f>
        <v>161.18</v>
      </c>
      <c r="I120" s="1"/>
      <c r="J120" s="5">
        <f t="shared" si="55"/>
        <v>5.9707406296638304E-4</v>
      </c>
      <c r="K120" s="1"/>
      <c r="L120" s="1">
        <f t="shared" si="56"/>
        <v>0</v>
      </c>
      <c r="M120" s="1"/>
      <c r="N120" s="5">
        <f t="shared" si="57"/>
        <v>0</v>
      </c>
      <c r="O120" s="13"/>
      <c r="P120" s="1">
        <f>SUM(OSRRefP22_9x_0)</f>
        <v>1128.26</v>
      </c>
      <c r="Q120" s="1"/>
      <c r="R120" s="5">
        <f t="shared" si="58"/>
        <v>9.4747039738643101E-4</v>
      </c>
      <c r="S120" s="1"/>
      <c r="T120" s="1">
        <f>SUM(OSRRefT22_9x_0)</f>
        <v>1128.26</v>
      </c>
      <c r="U120" s="1"/>
      <c r="V120" s="5">
        <f t="shared" si="59"/>
        <v>5.5819685860625115E-4</v>
      </c>
      <c r="W120" s="1"/>
      <c r="X120" s="1">
        <f t="shared" si="60"/>
        <v>0</v>
      </c>
      <c r="Y120" s="1"/>
      <c r="Z120" s="5">
        <f t="shared" si="61"/>
        <v>0</v>
      </c>
    </row>
    <row r="121" spans="1:26" s="24" customFormat="1" hidden="1" outlineLevel="2" x14ac:dyDescent="0.25">
      <c r="A121" s="25"/>
      <c r="B121" s="11" t="str">
        <f>CONCATENATE("          ", "6314", " - ", "LIABILITY INSURANCE")</f>
        <v xml:space="preserve">          6314 - LIABILITY INSURANCE</v>
      </c>
      <c r="C121" s="11"/>
      <c r="D121" s="6">
        <v>161.18</v>
      </c>
      <c r="E121" s="2"/>
      <c r="F121" s="7">
        <f t="shared" si="54"/>
        <v>1.0055375059001555E-3</v>
      </c>
      <c r="G121" s="2"/>
      <c r="H121" s="6">
        <v>161.18</v>
      </c>
      <c r="I121" s="2"/>
      <c r="J121" s="7">
        <f t="shared" si="55"/>
        <v>5.9707406296638304E-4</v>
      </c>
      <c r="K121" s="2"/>
      <c r="L121" s="6">
        <f t="shared" si="56"/>
        <v>0</v>
      </c>
      <c r="M121" s="2"/>
      <c r="N121" s="7">
        <f t="shared" si="57"/>
        <v>0</v>
      </c>
      <c r="O121" s="11"/>
      <c r="P121" s="6">
        <v>1128.26</v>
      </c>
      <c r="Q121" s="2"/>
      <c r="R121" s="7">
        <f t="shared" si="58"/>
        <v>9.4747039738643101E-4</v>
      </c>
      <c r="S121" s="2"/>
      <c r="T121" s="6">
        <v>1128.26</v>
      </c>
      <c r="U121" s="2"/>
      <c r="V121" s="7">
        <f t="shared" si="59"/>
        <v>5.5819685860625115E-4</v>
      </c>
      <c r="W121" s="2"/>
      <c r="X121" s="6">
        <f t="shared" si="60"/>
        <v>0</v>
      </c>
      <c r="Y121" s="2"/>
      <c r="Z121" s="7">
        <f t="shared" si="61"/>
        <v>0</v>
      </c>
    </row>
    <row r="122" spans="1:26" s="26" customFormat="1" outlineLevel="1" collapsed="1" x14ac:dyDescent="0.25">
      <c r="A122" s="27"/>
      <c r="B122" s="13" t="str">
        <f>CONCATENATE("     ","Inventory Adjustment                              ")</f>
        <v xml:space="preserve">     Inventory Adjustment                              </v>
      </c>
      <c r="C122" s="13"/>
      <c r="D122" s="1">
        <f>SUM(OSRRefD22_10x_0)</f>
        <v>1100</v>
      </c>
      <c r="E122" s="1"/>
      <c r="F122" s="5">
        <f t="shared" si="54"/>
        <v>6.8624597126825341E-3</v>
      </c>
      <c r="G122" s="1"/>
      <c r="H122" s="1">
        <f>SUM(OSRRefH22_10x_0)</f>
        <v>3150</v>
      </c>
      <c r="I122" s="1"/>
      <c r="J122" s="5">
        <f t="shared" si="55"/>
        <v>1.1668837934880919E-2</v>
      </c>
      <c r="K122" s="1"/>
      <c r="L122" s="1">
        <f t="shared" si="56"/>
        <v>-2050</v>
      </c>
      <c r="M122" s="1"/>
      <c r="N122" s="5">
        <f t="shared" si="57"/>
        <v>-0.65079365079365081</v>
      </c>
      <c r="O122" s="13"/>
      <c r="P122" s="1">
        <f>SUM(OSRRefP22_10x_0)</f>
        <v>7700</v>
      </c>
      <c r="Q122" s="1"/>
      <c r="R122" s="5">
        <f t="shared" si="58"/>
        <v>6.4661709711197057E-3</v>
      </c>
      <c r="S122" s="1"/>
      <c r="T122" s="1">
        <f>SUM(OSRRefT22_10x_0)</f>
        <v>22050</v>
      </c>
      <c r="U122" s="1"/>
      <c r="V122" s="5">
        <f t="shared" si="59"/>
        <v>1.0909046436342544E-2</v>
      </c>
      <c r="W122" s="1"/>
      <c r="X122" s="1">
        <f t="shared" si="60"/>
        <v>-14350</v>
      </c>
      <c r="Y122" s="1"/>
      <c r="Z122" s="5">
        <f t="shared" si="61"/>
        <v>-0.65079365079365081</v>
      </c>
    </row>
    <row r="123" spans="1:26" s="24" customFormat="1" hidden="1" outlineLevel="2" x14ac:dyDescent="0.25">
      <c r="A123" s="25"/>
      <c r="B123" s="11" t="str">
        <f>CONCATENATE("          ", "6408", " - ", "INVENTORY ADJUSTMENT")</f>
        <v xml:space="preserve">          6408 - INVENTORY ADJUSTMENT</v>
      </c>
      <c r="C123" s="11"/>
      <c r="D123" s="6">
        <v>1100</v>
      </c>
      <c r="E123" s="2"/>
      <c r="F123" s="7">
        <f t="shared" si="54"/>
        <v>6.8624597126825341E-3</v>
      </c>
      <c r="G123" s="2"/>
      <c r="H123" s="6">
        <v>3150</v>
      </c>
      <c r="I123" s="2"/>
      <c r="J123" s="7">
        <f t="shared" si="55"/>
        <v>1.1668837934880919E-2</v>
      </c>
      <c r="K123" s="2"/>
      <c r="L123" s="6">
        <f t="shared" si="56"/>
        <v>-2050</v>
      </c>
      <c r="M123" s="2"/>
      <c r="N123" s="7">
        <f t="shared" si="57"/>
        <v>-0.65079365079365081</v>
      </c>
      <c r="O123" s="11"/>
      <c r="P123" s="6">
        <v>7700</v>
      </c>
      <c r="Q123" s="2"/>
      <c r="R123" s="7">
        <f t="shared" si="58"/>
        <v>6.4661709711197057E-3</v>
      </c>
      <c r="S123" s="2"/>
      <c r="T123" s="6">
        <v>22050</v>
      </c>
      <c r="U123" s="2"/>
      <c r="V123" s="7">
        <f t="shared" si="59"/>
        <v>1.0909046436342544E-2</v>
      </c>
      <c r="W123" s="2"/>
      <c r="X123" s="6">
        <f t="shared" si="60"/>
        <v>-14350</v>
      </c>
      <c r="Y123" s="2"/>
      <c r="Z123" s="7">
        <f t="shared" si="61"/>
        <v>-0.65079365079365081</v>
      </c>
    </row>
    <row r="124" spans="1:26" s="26" customFormat="1" outlineLevel="1" collapsed="1" x14ac:dyDescent="0.25">
      <c r="A124" s="27"/>
      <c r="B124" s="13" t="str">
        <f>CONCATENATE("     ","Professional Services                             ")</f>
        <v xml:space="preserve">     Professional Services                             </v>
      </c>
      <c r="C124" s="13"/>
      <c r="D124" s="1">
        <f>SUM(OSRRefD22_11x_0)</f>
        <v>0</v>
      </c>
      <c r="E124" s="1"/>
      <c r="F124" s="5">
        <f t="shared" si="54"/>
        <v>0</v>
      </c>
      <c r="G124" s="1"/>
      <c r="H124" s="1">
        <f>SUM(OSRRefH22_11x_0)</f>
        <v>0</v>
      </c>
      <c r="I124" s="1"/>
      <c r="J124" s="5">
        <f t="shared" si="55"/>
        <v>0</v>
      </c>
      <c r="K124" s="1"/>
      <c r="L124" s="1">
        <f t="shared" si="56"/>
        <v>0</v>
      </c>
      <c r="M124" s="1"/>
      <c r="N124" s="5">
        <f t="shared" si="57"/>
        <v>0</v>
      </c>
      <c r="O124" s="13"/>
      <c r="P124" s="1">
        <f>SUM(OSRRefP22_11x_0)</f>
        <v>0</v>
      </c>
      <c r="Q124" s="1"/>
      <c r="R124" s="5">
        <f t="shared" si="58"/>
        <v>0</v>
      </c>
      <c r="S124" s="1"/>
      <c r="T124" s="1">
        <f>SUM(OSRRefT22_11x_0)</f>
        <v>750</v>
      </c>
      <c r="U124" s="1"/>
      <c r="V124" s="5">
        <f t="shared" si="59"/>
        <v>3.7105600123614094E-4</v>
      </c>
      <c r="W124" s="1"/>
      <c r="X124" s="1">
        <f t="shared" si="60"/>
        <v>-750</v>
      </c>
      <c r="Y124" s="1"/>
      <c r="Z124" s="5">
        <f t="shared" si="61"/>
        <v>-1</v>
      </c>
    </row>
    <row r="125" spans="1:26" s="24" customFormat="1" hidden="1" outlineLevel="2" x14ac:dyDescent="0.25">
      <c r="A125" s="25"/>
      <c r="B125" s="11" t="str">
        <f>CONCATENATE("          ", "6336", " - ", "PROFESSIONAL SERVICES")</f>
        <v xml:space="preserve">          6336 - PROFESSIONAL SERVICES</v>
      </c>
      <c r="C125" s="11"/>
      <c r="D125" s="6"/>
      <c r="E125" s="2"/>
      <c r="F125" s="7">
        <f t="shared" si="54"/>
        <v>0</v>
      </c>
      <c r="G125" s="2"/>
      <c r="H125" s="6"/>
      <c r="I125" s="2"/>
      <c r="J125" s="7">
        <f t="shared" si="55"/>
        <v>0</v>
      </c>
      <c r="K125" s="2"/>
      <c r="L125" s="6">
        <f t="shared" si="56"/>
        <v>0</v>
      </c>
      <c r="M125" s="2"/>
      <c r="N125" s="7">
        <f t="shared" si="57"/>
        <v>0</v>
      </c>
      <c r="O125" s="11"/>
      <c r="P125" s="6"/>
      <c r="Q125" s="2"/>
      <c r="R125" s="7">
        <f t="shared" si="58"/>
        <v>0</v>
      </c>
      <c r="S125" s="2"/>
      <c r="T125" s="6">
        <v>750</v>
      </c>
      <c r="U125" s="2"/>
      <c r="V125" s="7">
        <f t="shared" si="59"/>
        <v>3.7105600123614094E-4</v>
      </c>
      <c r="W125" s="2"/>
      <c r="X125" s="6">
        <f t="shared" si="60"/>
        <v>-750</v>
      </c>
      <c r="Y125" s="2"/>
      <c r="Z125" s="7">
        <f t="shared" si="61"/>
        <v>-1</v>
      </c>
    </row>
    <row r="126" spans="1:26" s="26" customFormat="1" outlineLevel="1" collapsed="1" x14ac:dyDescent="0.25">
      <c r="A126" s="27"/>
      <c r="B126" s="13" t="str">
        <f>CONCATENATE("     ","Rent                                              ")</f>
        <v xml:space="preserve">     Rent                                              </v>
      </c>
      <c r="C126" s="13"/>
      <c r="D126" s="1">
        <f>SUM(OSRRefD22_12x_0)</f>
        <v>6900</v>
      </c>
      <c r="E126" s="1"/>
      <c r="F126" s="5">
        <f t="shared" si="54"/>
        <v>4.3046338197735894E-2</v>
      </c>
      <c r="G126" s="1"/>
      <c r="H126" s="1">
        <f>SUM(OSRRefH22_12x_0)</f>
        <v>6900</v>
      </c>
      <c r="I126" s="1"/>
      <c r="J126" s="5">
        <f t="shared" si="55"/>
        <v>2.5560311666882014E-2</v>
      </c>
      <c r="K126" s="1"/>
      <c r="L126" s="1">
        <f t="shared" si="56"/>
        <v>0</v>
      </c>
      <c r="M126" s="1"/>
      <c r="N126" s="5">
        <f t="shared" si="57"/>
        <v>0</v>
      </c>
      <c r="O126" s="13"/>
      <c r="P126" s="1">
        <f>SUM(OSRRefP22_12x_0)</f>
        <v>48300</v>
      </c>
      <c r="Q126" s="1"/>
      <c r="R126" s="5">
        <f t="shared" si="58"/>
        <v>4.0560527000659971E-2</v>
      </c>
      <c r="S126" s="1"/>
      <c r="T126" s="1">
        <f>SUM(OSRRefT22_12x_0)</f>
        <v>48300</v>
      </c>
      <c r="U126" s="1"/>
      <c r="V126" s="5">
        <f t="shared" si="59"/>
        <v>2.3896006479607476E-2</v>
      </c>
      <c r="W126" s="1"/>
      <c r="X126" s="1">
        <f t="shared" si="60"/>
        <v>0</v>
      </c>
      <c r="Y126" s="1"/>
      <c r="Z126" s="5">
        <f t="shared" si="61"/>
        <v>0</v>
      </c>
    </row>
    <row r="127" spans="1:26" s="24" customFormat="1" hidden="1" outlineLevel="2" x14ac:dyDescent="0.25">
      <c r="A127" s="25"/>
      <c r="B127" s="11" t="str">
        <f>CONCATENATE("          ", "6273", " - ", "RENT")</f>
        <v xml:space="preserve">          6273 - RENT</v>
      </c>
      <c r="C127" s="11"/>
      <c r="D127" s="6">
        <v>6900</v>
      </c>
      <c r="E127" s="2"/>
      <c r="F127" s="7">
        <f t="shared" si="54"/>
        <v>4.3046338197735894E-2</v>
      </c>
      <c r="G127" s="2"/>
      <c r="H127" s="6">
        <v>6900</v>
      </c>
      <c r="I127" s="2"/>
      <c r="J127" s="7">
        <f t="shared" si="55"/>
        <v>2.5560311666882014E-2</v>
      </c>
      <c r="K127" s="2"/>
      <c r="L127" s="6">
        <f t="shared" si="56"/>
        <v>0</v>
      </c>
      <c r="M127" s="2"/>
      <c r="N127" s="7">
        <f t="shared" si="57"/>
        <v>0</v>
      </c>
      <c r="O127" s="11"/>
      <c r="P127" s="6">
        <v>48300</v>
      </c>
      <c r="Q127" s="2"/>
      <c r="R127" s="7">
        <f t="shared" si="58"/>
        <v>4.0560527000659971E-2</v>
      </c>
      <c r="S127" s="2"/>
      <c r="T127" s="6">
        <v>48300</v>
      </c>
      <c r="U127" s="2"/>
      <c r="V127" s="7">
        <f t="shared" si="59"/>
        <v>2.3896006479607476E-2</v>
      </c>
      <c r="W127" s="2"/>
      <c r="X127" s="6">
        <f t="shared" si="60"/>
        <v>0</v>
      </c>
      <c r="Y127" s="2"/>
      <c r="Z127" s="7">
        <f t="shared" si="61"/>
        <v>0</v>
      </c>
    </row>
    <row r="128" spans="1:26" s="26" customFormat="1" outlineLevel="1" collapsed="1" x14ac:dyDescent="0.25">
      <c r="A128" s="27"/>
      <c r="B128" s="13" t="str">
        <f>CONCATENATE("     ","Repair and Maintenance                            ")</f>
        <v xml:space="preserve">     Repair and Maintenance                            </v>
      </c>
      <c r="C128" s="13"/>
      <c r="D128" s="1">
        <f>SUM(OSRRefD22_13x_0)</f>
        <v>0</v>
      </c>
      <c r="E128" s="1"/>
      <c r="F128" s="5">
        <f t="shared" si="54"/>
        <v>0</v>
      </c>
      <c r="G128" s="1"/>
      <c r="H128" s="1">
        <f>SUM(OSRRefH22_13x_0)</f>
        <v>0</v>
      </c>
      <c r="I128" s="1"/>
      <c r="J128" s="5">
        <f t="shared" si="55"/>
        <v>0</v>
      </c>
      <c r="K128" s="1"/>
      <c r="L128" s="1">
        <f t="shared" si="56"/>
        <v>0</v>
      </c>
      <c r="M128" s="1"/>
      <c r="N128" s="5">
        <f t="shared" si="57"/>
        <v>0</v>
      </c>
      <c r="O128" s="13"/>
      <c r="P128" s="1">
        <f>SUM(OSRRefP22_13x_0)</f>
        <v>96.44</v>
      </c>
      <c r="Q128" s="1"/>
      <c r="R128" s="5">
        <f t="shared" si="58"/>
        <v>8.098669200711486E-5</v>
      </c>
      <c r="S128" s="1"/>
      <c r="T128" s="1">
        <f>SUM(OSRRefT22_13x_0)</f>
        <v>275.75</v>
      </c>
      <c r="U128" s="1"/>
      <c r="V128" s="5">
        <f t="shared" si="59"/>
        <v>1.364249231211545E-4</v>
      </c>
      <c r="W128" s="1"/>
      <c r="X128" s="1">
        <f t="shared" si="60"/>
        <v>-179.31</v>
      </c>
      <c r="Y128" s="1"/>
      <c r="Z128" s="5">
        <f t="shared" si="61"/>
        <v>-0.65026291931097013</v>
      </c>
    </row>
    <row r="129" spans="1:26" s="24" customFormat="1" hidden="1" outlineLevel="2" x14ac:dyDescent="0.25">
      <c r="A129" s="25"/>
      <c r="B129" s="11" t="str">
        <f>CONCATENATE("          ", "6373", " - ", "MAINTENANCE CONTRACTS")</f>
        <v xml:space="preserve">          6373 - MAINTENANCE CONTRACTS</v>
      </c>
      <c r="C129" s="11"/>
      <c r="D129" s="6"/>
      <c r="E129" s="2"/>
      <c r="F129" s="7">
        <f t="shared" si="54"/>
        <v>0</v>
      </c>
      <c r="G129" s="2"/>
      <c r="H129" s="6"/>
      <c r="I129" s="2"/>
      <c r="J129" s="7">
        <f t="shared" si="55"/>
        <v>0</v>
      </c>
      <c r="K129" s="2"/>
      <c r="L129" s="6">
        <f t="shared" si="56"/>
        <v>0</v>
      </c>
      <c r="M129" s="2"/>
      <c r="N129" s="7">
        <f t="shared" si="57"/>
        <v>0</v>
      </c>
      <c r="O129" s="11"/>
      <c r="P129" s="6">
        <v>96.44</v>
      </c>
      <c r="Q129" s="2"/>
      <c r="R129" s="7">
        <f t="shared" si="58"/>
        <v>8.098669200711486E-5</v>
      </c>
      <c r="S129" s="2"/>
      <c r="T129" s="6">
        <v>93.22</v>
      </c>
      <c r="U129" s="2"/>
      <c r="V129" s="7">
        <f t="shared" si="59"/>
        <v>4.6119787246977416E-5</v>
      </c>
      <c r="W129" s="2"/>
      <c r="X129" s="6">
        <f t="shared" si="60"/>
        <v>3.2199999999999989</v>
      </c>
      <c r="Y129" s="2"/>
      <c r="Z129" s="7">
        <f t="shared" si="61"/>
        <v>3.4541943788886496E-2</v>
      </c>
    </row>
    <row r="130" spans="1:26" s="24" customFormat="1" hidden="1" outlineLevel="2" x14ac:dyDescent="0.25">
      <c r="A130" s="25"/>
      <c r="B130" s="11" t="str">
        <f>CONCATENATE("          ", "6375", " - ", "OUTSIDE REPAIRS &amp; MAINTENANCE")</f>
        <v xml:space="preserve">          6375 - OUTSIDE REPAIRS &amp; MAINTENANCE</v>
      </c>
      <c r="C130" s="11"/>
      <c r="D130" s="6"/>
      <c r="E130" s="2"/>
      <c r="F130" s="7">
        <f t="shared" si="54"/>
        <v>0</v>
      </c>
      <c r="G130" s="2"/>
      <c r="H130" s="6"/>
      <c r="I130" s="2"/>
      <c r="J130" s="7">
        <f t="shared" si="55"/>
        <v>0</v>
      </c>
      <c r="K130" s="2"/>
      <c r="L130" s="6">
        <f t="shared" si="56"/>
        <v>0</v>
      </c>
      <c r="M130" s="2"/>
      <c r="N130" s="7">
        <f t="shared" si="57"/>
        <v>0</v>
      </c>
      <c r="O130" s="11"/>
      <c r="P130" s="6"/>
      <c r="Q130" s="2"/>
      <c r="R130" s="7">
        <f t="shared" si="58"/>
        <v>0</v>
      </c>
      <c r="S130" s="2"/>
      <c r="T130" s="6">
        <v>182.53</v>
      </c>
      <c r="U130" s="2"/>
      <c r="V130" s="7">
        <f t="shared" si="59"/>
        <v>9.0305135874177073E-5</v>
      </c>
      <c r="W130" s="2"/>
      <c r="X130" s="6">
        <f t="shared" si="60"/>
        <v>-182.53</v>
      </c>
      <c r="Y130" s="2"/>
      <c r="Z130" s="7">
        <f t="shared" si="61"/>
        <v>-1</v>
      </c>
    </row>
    <row r="131" spans="1:26" s="26" customFormat="1" outlineLevel="1" collapsed="1" x14ac:dyDescent="0.25">
      <c r="A131" s="27"/>
      <c r="B131" s="13" t="str">
        <f>CONCATENATE("     ","Royalty &amp; Commissions                             ")</f>
        <v xml:space="preserve">     Royalty &amp; Commissions                             </v>
      </c>
      <c r="C131" s="13"/>
      <c r="D131" s="1">
        <f>SUM(OSRRefD22_14x_0)</f>
        <v>7785.78</v>
      </c>
      <c r="E131" s="1"/>
      <c r="F131" s="5">
        <f t="shared" ref="F131:F133" si="62">IF(D$12=0,0,D131/D$12)</f>
        <v>4.8572365074372195E-2</v>
      </c>
      <c r="G131" s="1"/>
      <c r="H131" s="1">
        <f>SUM(OSRRefH22_14x_0)</f>
        <v>760.81</v>
      </c>
      <c r="I131" s="1"/>
      <c r="J131" s="5">
        <f t="shared" ref="J131:J133" si="63">IF(H$12=0,0,H131/H$12)</f>
        <v>2.8183392346783341E-3</v>
      </c>
      <c r="K131" s="1"/>
      <c r="L131" s="1">
        <f t="shared" ref="L131:L133" si="64">+D131-H131</f>
        <v>7024.9699999999993</v>
      </c>
      <c r="M131" s="1"/>
      <c r="N131" s="5">
        <f t="shared" ref="N131:N133" si="65">IF(H131=0,0,L131/H131)</f>
        <v>9.2335405686045142</v>
      </c>
      <c r="O131" s="13"/>
      <c r="P131" s="1">
        <f>SUM(OSRRefP22_14x_0)</f>
        <v>26197.58</v>
      </c>
      <c r="Q131" s="1"/>
      <c r="R131" s="5">
        <f t="shared" ref="R131:R133" si="66">IF(P$12=0,0,P131/P$12)</f>
        <v>2.1999744325920285E-2</v>
      </c>
      <c r="S131" s="1"/>
      <c r="T131" s="1">
        <f>SUM(OSRRefT22_14x_0)</f>
        <v>7691.6</v>
      </c>
      <c r="U131" s="1"/>
      <c r="V131" s="5">
        <f t="shared" ref="V131:V133" si="67">IF(T$12=0,0,T131/T$12)</f>
        <v>3.8053524521438693E-3</v>
      </c>
      <c r="W131" s="1"/>
      <c r="X131" s="1">
        <f t="shared" ref="X131:X133" si="68">+P131-T131</f>
        <v>18505.980000000003</v>
      </c>
      <c r="Y131" s="1"/>
      <c r="Z131" s="5">
        <f t="shared" ref="Z131:Z133" si="69">IF(T131=0,0,X131/T131)</f>
        <v>2.4059987518851735</v>
      </c>
    </row>
    <row r="132" spans="1:26" s="24" customFormat="1" hidden="1" outlineLevel="2" x14ac:dyDescent="0.25">
      <c r="A132" s="25"/>
      <c r="B132" s="11" t="str">
        <f>CONCATENATE("          ", "6253", " - ", "ROYALTY DUE ATHLETICS-LRG")</f>
        <v xml:space="preserve">          6253 - ROYALTY DUE ATHLETICS-LRG</v>
      </c>
      <c r="C132" s="11"/>
      <c r="D132" s="6">
        <v>7785.78</v>
      </c>
      <c r="E132" s="2"/>
      <c r="F132" s="7">
        <f t="shared" si="62"/>
        <v>4.8572365074372195E-2</v>
      </c>
      <c r="G132" s="2"/>
      <c r="H132" s="6"/>
      <c r="I132" s="2"/>
      <c r="J132" s="7">
        <f t="shared" si="63"/>
        <v>0</v>
      </c>
      <c r="K132" s="2"/>
      <c r="L132" s="6">
        <f t="shared" si="64"/>
        <v>7785.78</v>
      </c>
      <c r="M132" s="2"/>
      <c r="N132" s="7">
        <f t="shared" si="65"/>
        <v>0</v>
      </c>
      <c r="O132" s="11"/>
      <c r="P132" s="6">
        <v>26197.58</v>
      </c>
      <c r="Q132" s="2"/>
      <c r="R132" s="7">
        <f t="shared" si="66"/>
        <v>2.1999744325920285E-2</v>
      </c>
      <c r="S132" s="2"/>
      <c r="T132" s="6">
        <v>4366.95</v>
      </c>
      <c r="U132" s="2"/>
      <c r="V132" s="7">
        <f t="shared" si="67"/>
        <v>2.1605106727975542E-3</v>
      </c>
      <c r="W132" s="2"/>
      <c r="X132" s="6">
        <f t="shared" si="68"/>
        <v>21830.63</v>
      </c>
      <c r="Y132" s="2"/>
      <c r="Z132" s="7">
        <f t="shared" si="69"/>
        <v>4.9990565497658555</v>
      </c>
    </row>
    <row r="133" spans="1:26" s="24" customFormat="1" hidden="1" outlineLevel="2" x14ac:dyDescent="0.25">
      <c r="A133" s="25"/>
      <c r="B133" s="11" t="str">
        <f>CONCATENATE("          ", "6254", " - ", "ROYALTY &amp; COMMISSIONS")</f>
        <v xml:space="preserve">          6254 - ROYALTY &amp; COMMISSIONS</v>
      </c>
      <c r="C133" s="11"/>
      <c r="D133" s="6"/>
      <c r="E133" s="2"/>
      <c r="F133" s="7">
        <f t="shared" si="62"/>
        <v>0</v>
      </c>
      <c r="G133" s="2"/>
      <c r="H133" s="6">
        <v>760.81</v>
      </c>
      <c r="I133" s="2"/>
      <c r="J133" s="7">
        <f t="shared" si="63"/>
        <v>2.8183392346783341E-3</v>
      </c>
      <c r="K133" s="2"/>
      <c r="L133" s="6">
        <f t="shared" si="64"/>
        <v>-760.81</v>
      </c>
      <c r="M133" s="2"/>
      <c r="N133" s="7">
        <f t="shared" si="65"/>
        <v>-1</v>
      </c>
      <c r="O133" s="11"/>
      <c r="P133" s="6"/>
      <c r="Q133" s="2"/>
      <c r="R133" s="7">
        <f t="shared" si="66"/>
        <v>0</v>
      </c>
      <c r="S133" s="2"/>
      <c r="T133" s="6">
        <v>3324.65</v>
      </c>
      <c r="U133" s="2"/>
      <c r="V133" s="7">
        <f t="shared" si="67"/>
        <v>1.6448417793463147E-3</v>
      </c>
      <c r="W133" s="2"/>
      <c r="X133" s="6">
        <f t="shared" si="68"/>
        <v>-3324.65</v>
      </c>
      <c r="Y133" s="2"/>
      <c r="Z133" s="7">
        <f t="shared" si="69"/>
        <v>-1</v>
      </c>
    </row>
    <row r="134" spans="1:26" s="26" customFormat="1" outlineLevel="1" collapsed="1" x14ac:dyDescent="0.25">
      <c r="A134" s="27"/>
      <c r="B134" s="13" t="str">
        <f>CONCATENATE("     ","Services                                          ")</f>
        <v xml:space="preserve">     Services                                          </v>
      </c>
      <c r="C134" s="13"/>
      <c r="D134" s="1">
        <f>SUM(OSRRefD22_15x_0)</f>
        <v>81.84</v>
      </c>
      <c r="E134" s="1"/>
      <c r="F134" s="5">
        <f t="shared" ref="F134:F137" si="70">IF(D$12=0,0,D134/D$12)</f>
        <v>5.1056700262358057E-4</v>
      </c>
      <c r="G134" s="1"/>
      <c r="H134" s="1">
        <f>SUM(OSRRefH22_15x_0)</f>
        <v>189.45</v>
      </c>
      <c r="I134" s="1"/>
      <c r="J134" s="5">
        <f t="shared" ref="J134:J137" si="71">IF(H$12=0,0,H134/H$12)</f>
        <v>7.0179725294069529E-4</v>
      </c>
      <c r="K134" s="1"/>
      <c r="L134" s="1">
        <f t="shared" ref="L134:L137" si="72">+D134-H134</f>
        <v>-107.60999999999999</v>
      </c>
      <c r="M134" s="1"/>
      <c r="N134" s="5">
        <f t="shared" ref="N134:N137" si="73">IF(H134=0,0,L134/H134)</f>
        <v>-0.56801266825019792</v>
      </c>
      <c r="O134" s="13"/>
      <c r="P134" s="1">
        <f>SUM(OSRRefP22_15x_0)</f>
        <v>274.65999999999997</v>
      </c>
      <c r="Q134" s="1"/>
      <c r="R134" s="5">
        <f t="shared" ref="R134:R137" si="74">IF(P$12=0,0,P134/P$12)</f>
        <v>2.3064915830230365E-4</v>
      </c>
      <c r="S134" s="1"/>
      <c r="T134" s="1">
        <f>SUM(OSRRefT22_15x_0)</f>
        <v>2191.73</v>
      </c>
      <c r="U134" s="1"/>
      <c r="V134" s="5">
        <f t="shared" ref="V134:V137" si="75">IF(T$12=0,0,T134/T$12)</f>
        <v>1.0843394261190497E-3</v>
      </c>
      <c r="W134" s="1"/>
      <c r="X134" s="1">
        <f t="shared" ref="X134:X137" si="76">+P134-T134</f>
        <v>-1917.0700000000002</v>
      </c>
      <c r="Y134" s="1"/>
      <c r="Z134" s="5">
        <f t="shared" ref="Z134:Z137" si="77">IF(T134=0,0,X134/T134)</f>
        <v>-0.87468346922294271</v>
      </c>
    </row>
    <row r="135" spans="1:26" s="24" customFormat="1" hidden="1" outlineLevel="2" x14ac:dyDescent="0.25">
      <c r="A135" s="25"/>
      <c r="B135" s="11" t="str">
        <f>CONCATENATE("          ", "6283", " - ", "PLANT SERVICE")</f>
        <v xml:space="preserve">          6283 - PLANT SERVICE</v>
      </c>
      <c r="C135" s="11"/>
      <c r="D135" s="6"/>
      <c r="E135" s="2"/>
      <c r="F135" s="7">
        <f t="shared" si="70"/>
        <v>0</v>
      </c>
      <c r="G135" s="2"/>
      <c r="H135" s="6"/>
      <c r="I135" s="2"/>
      <c r="J135" s="7">
        <f t="shared" si="71"/>
        <v>0</v>
      </c>
      <c r="K135" s="2"/>
      <c r="L135" s="6">
        <f t="shared" si="72"/>
        <v>0</v>
      </c>
      <c r="M135" s="2"/>
      <c r="N135" s="7">
        <f t="shared" si="73"/>
        <v>0</v>
      </c>
      <c r="O135" s="11"/>
      <c r="P135" s="6">
        <v>41.31</v>
      </c>
      <c r="Q135" s="2"/>
      <c r="R135" s="7">
        <f t="shared" si="74"/>
        <v>3.4690587378825329E-5</v>
      </c>
      <c r="S135" s="2"/>
      <c r="T135" s="6">
        <v>178.65</v>
      </c>
      <c r="U135" s="2"/>
      <c r="V135" s="7">
        <f t="shared" si="75"/>
        <v>8.8385539494448777E-5</v>
      </c>
      <c r="W135" s="2"/>
      <c r="X135" s="6">
        <f t="shared" si="76"/>
        <v>-137.34</v>
      </c>
      <c r="Y135" s="2"/>
      <c r="Z135" s="7">
        <f t="shared" si="77"/>
        <v>-0.7687657430730479</v>
      </c>
    </row>
    <row r="136" spans="1:26" s="24" customFormat="1" hidden="1" outlineLevel="2" x14ac:dyDescent="0.25">
      <c r="A136" s="25"/>
      <c r="B136" s="11" t="str">
        <f>CONCATENATE("          ", "6284", " - ", "TRASH REMOVAL EXPENSE")</f>
        <v xml:space="preserve">          6284 - TRASH REMOVAL EXPENSE</v>
      </c>
      <c r="C136" s="11"/>
      <c r="D136" s="6">
        <v>142.57</v>
      </c>
      <c r="E136" s="2"/>
      <c r="F136" s="7">
        <f t="shared" si="70"/>
        <v>8.8943716476104441E-4</v>
      </c>
      <c r="G136" s="2"/>
      <c r="H136" s="6">
        <v>134.82</v>
      </c>
      <c r="I136" s="2"/>
      <c r="J136" s="7">
        <f t="shared" si="71"/>
        <v>4.9942626361290329E-4</v>
      </c>
      <c r="K136" s="2"/>
      <c r="L136" s="6">
        <f t="shared" si="72"/>
        <v>7.75</v>
      </c>
      <c r="M136" s="2"/>
      <c r="N136" s="7">
        <f t="shared" si="73"/>
        <v>5.7484052811155616E-2</v>
      </c>
      <c r="O136" s="11"/>
      <c r="P136" s="6">
        <v>1013.01</v>
      </c>
      <c r="Q136" s="2"/>
      <c r="R136" s="7">
        <f t="shared" si="74"/>
        <v>8.5068777343558092E-4</v>
      </c>
      <c r="S136" s="2"/>
      <c r="T136" s="6">
        <v>943.74</v>
      </c>
      <c r="U136" s="2"/>
      <c r="V136" s="7">
        <f t="shared" si="75"/>
        <v>4.669071874754609E-4</v>
      </c>
      <c r="W136" s="2"/>
      <c r="X136" s="6">
        <f t="shared" si="76"/>
        <v>69.269999999999982</v>
      </c>
      <c r="Y136" s="2"/>
      <c r="Z136" s="7">
        <f t="shared" si="77"/>
        <v>7.3399453239239604E-2</v>
      </c>
    </row>
    <row r="137" spans="1:26" s="24" customFormat="1" hidden="1" outlineLevel="2" x14ac:dyDescent="0.25">
      <c r="A137" s="25"/>
      <c r="B137" s="11" t="str">
        <f>CONCATENATE("          ", "6285", " - ", "JANITORIAL SERVICES")</f>
        <v xml:space="preserve">          6285 - JANITORIAL SERVICES</v>
      </c>
      <c r="C137" s="11"/>
      <c r="D137" s="6">
        <v>-60.73</v>
      </c>
      <c r="E137" s="2"/>
      <c r="F137" s="7">
        <f t="shared" si="70"/>
        <v>-3.7887016213746389E-4</v>
      </c>
      <c r="G137" s="2"/>
      <c r="H137" s="6">
        <v>54.63</v>
      </c>
      <c r="I137" s="2"/>
      <c r="J137" s="7">
        <f t="shared" si="71"/>
        <v>2.0237098932779195E-4</v>
      </c>
      <c r="K137" s="2"/>
      <c r="L137" s="6">
        <f t="shared" si="72"/>
        <v>-115.36</v>
      </c>
      <c r="M137" s="2"/>
      <c r="N137" s="7">
        <f t="shared" si="73"/>
        <v>-2.1116602599304408</v>
      </c>
      <c r="O137" s="11"/>
      <c r="P137" s="6">
        <v>-779.66</v>
      </c>
      <c r="Q137" s="2"/>
      <c r="R137" s="7">
        <f t="shared" si="74"/>
        <v>-6.5472920251210252E-4</v>
      </c>
      <c r="S137" s="2"/>
      <c r="T137" s="6">
        <v>1069.3399999999999</v>
      </c>
      <c r="U137" s="2"/>
      <c r="V137" s="7">
        <f t="shared" si="75"/>
        <v>5.2904669914913987E-4</v>
      </c>
      <c r="W137" s="2"/>
      <c r="X137" s="6">
        <f t="shared" si="76"/>
        <v>-1849</v>
      </c>
      <c r="Y137" s="2"/>
      <c r="Z137" s="7">
        <f t="shared" si="77"/>
        <v>-1.7291039332672491</v>
      </c>
    </row>
    <row r="138" spans="1:26" s="26" customFormat="1" outlineLevel="1" collapsed="1" x14ac:dyDescent="0.25">
      <c r="A138" s="27"/>
      <c r="B138" s="13" t="str">
        <f>CONCATENATE("     ","Subscriptions &amp; Dues                              ")</f>
        <v xml:space="preserve">     Subscriptions &amp; Dues                              </v>
      </c>
      <c r="C138" s="13"/>
      <c r="D138" s="1">
        <f>SUM(OSRRefD22_16x_0)</f>
        <v>208.7</v>
      </c>
      <c r="E138" s="1"/>
      <c r="F138" s="5">
        <f t="shared" ref="F138:F140" si="78">IF(D$12=0,0,D138/D$12)</f>
        <v>1.3019957654880408E-3</v>
      </c>
      <c r="G138" s="1"/>
      <c r="H138" s="1">
        <f>SUM(OSRRefH22_16x_0)</f>
        <v>75</v>
      </c>
      <c r="I138" s="1"/>
      <c r="J138" s="5">
        <f t="shared" ref="J138:J140" si="79">IF(H$12=0,0,H138/H$12)</f>
        <v>2.7782947464002189E-4</v>
      </c>
      <c r="K138" s="1"/>
      <c r="L138" s="1">
        <f t="shared" ref="L138:L140" si="80">+D138-H138</f>
        <v>133.69999999999999</v>
      </c>
      <c r="M138" s="1"/>
      <c r="N138" s="5">
        <f t="shared" ref="N138:N140" si="81">IF(H138=0,0,L138/H138)</f>
        <v>1.7826666666666666</v>
      </c>
      <c r="O138" s="13"/>
      <c r="P138" s="1">
        <f>SUM(OSRRefP22_16x_0)</f>
        <v>-67.299999999999955</v>
      </c>
      <c r="Q138" s="1"/>
      <c r="R138" s="5">
        <f t="shared" ref="R138:R140" si="82">IF(P$12=0,0,P138/P$12)</f>
        <v>-5.6516013812513754E-5</v>
      </c>
      <c r="S138" s="1"/>
      <c r="T138" s="1">
        <f>SUM(OSRRefT22_16x_0)</f>
        <v>460.06</v>
      </c>
      <c r="U138" s="1"/>
      <c r="V138" s="5">
        <f t="shared" ref="V138:V140" si="83">IF(T$12=0,0,T138/T$12)</f>
        <v>2.2761069857159868E-4</v>
      </c>
      <c r="W138" s="1"/>
      <c r="X138" s="1">
        <f t="shared" ref="X138:X140" si="84">+P138-T138</f>
        <v>-527.3599999999999</v>
      </c>
      <c r="Y138" s="1"/>
      <c r="Z138" s="5">
        <f t="shared" ref="Z138:Z140" si="85">IF(T138=0,0,X138/T138)</f>
        <v>-1.1462852671390686</v>
      </c>
    </row>
    <row r="139" spans="1:26" s="24" customFormat="1" hidden="1" outlineLevel="2" x14ac:dyDescent="0.25">
      <c r="A139" s="25"/>
      <c r="B139" s="11" t="str">
        <f>CONCATENATE("          ", "6258", " - ", "MEMBERSHIP DUES")</f>
        <v xml:space="preserve">          6258 - MEMBERSHIP DUES</v>
      </c>
      <c r="C139" s="11"/>
      <c r="D139" s="6">
        <v>133.69999999999999</v>
      </c>
      <c r="E139" s="2"/>
      <c r="F139" s="7">
        <f t="shared" si="78"/>
        <v>8.341007850778679E-4</v>
      </c>
      <c r="G139" s="2"/>
      <c r="H139" s="6"/>
      <c r="I139" s="2"/>
      <c r="J139" s="7">
        <f t="shared" si="79"/>
        <v>0</v>
      </c>
      <c r="K139" s="2"/>
      <c r="L139" s="6">
        <f t="shared" si="80"/>
        <v>133.69999999999999</v>
      </c>
      <c r="M139" s="2"/>
      <c r="N139" s="7">
        <f t="shared" si="81"/>
        <v>0</v>
      </c>
      <c r="O139" s="11"/>
      <c r="P139" s="6">
        <v>-368.03</v>
      </c>
      <c r="Q139" s="2"/>
      <c r="R139" s="7">
        <f t="shared" si="82"/>
        <v>-3.0905777954560846E-4</v>
      </c>
      <c r="S139" s="2"/>
      <c r="T139" s="6"/>
      <c r="U139" s="2"/>
      <c r="V139" s="7">
        <f t="shared" si="83"/>
        <v>0</v>
      </c>
      <c r="W139" s="2"/>
      <c r="X139" s="6">
        <f t="shared" si="84"/>
        <v>-368.03</v>
      </c>
      <c r="Y139" s="2"/>
      <c r="Z139" s="7">
        <f t="shared" si="85"/>
        <v>0</v>
      </c>
    </row>
    <row r="140" spans="1:26" s="24" customFormat="1" hidden="1" outlineLevel="2" x14ac:dyDescent="0.25">
      <c r="A140" s="25"/>
      <c r="B140" s="11" t="str">
        <f>CONCATENATE("          ", "6275", " - ", "SUBSCRIPTIONS")</f>
        <v xml:space="preserve">          6275 - SUBSCRIPTIONS</v>
      </c>
      <c r="C140" s="11"/>
      <c r="D140" s="6">
        <v>75</v>
      </c>
      <c r="E140" s="2"/>
      <c r="F140" s="7">
        <f t="shared" si="78"/>
        <v>4.6789498041017275E-4</v>
      </c>
      <c r="G140" s="2"/>
      <c r="H140" s="6">
        <v>75</v>
      </c>
      <c r="I140" s="2"/>
      <c r="J140" s="7">
        <f t="shared" si="79"/>
        <v>2.7782947464002189E-4</v>
      </c>
      <c r="K140" s="2"/>
      <c r="L140" s="6">
        <f t="shared" si="80"/>
        <v>0</v>
      </c>
      <c r="M140" s="2"/>
      <c r="N140" s="7">
        <f t="shared" si="81"/>
        <v>0</v>
      </c>
      <c r="O140" s="11"/>
      <c r="P140" s="6">
        <v>300.73</v>
      </c>
      <c r="Q140" s="2"/>
      <c r="R140" s="7">
        <f t="shared" si="82"/>
        <v>2.5254176573309472E-4</v>
      </c>
      <c r="S140" s="2"/>
      <c r="T140" s="6">
        <v>460.06</v>
      </c>
      <c r="U140" s="2"/>
      <c r="V140" s="7">
        <f t="shared" si="83"/>
        <v>2.2761069857159868E-4</v>
      </c>
      <c r="W140" s="2"/>
      <c r="X140" s="6">
        <f t="shared" si="84"/>
        <v>-159.32999999999998</v>
      </c>
      <c r="Y140" s="2"/>
      <c r="Z140" s="7">
        <f t="shared" si="85"/>
        <v>-0.3463243924705473</v>
      </c>
    </row>
    <row r="141" spans="1:26" s="26" customFormat="1" outlineLevel="1" collapsed="1" x14ac:dyDescent="0.25">
      <c r="A141" s="27"/>
      <c r="B141" s="13" t="str">
        <f>CONCATENATE("     ","Supplies                                          ")</f>
        <v xml:space="preserve">     Supplies                                          </v>
      </c>
      <c r="C141" s="13"/>
      <c r="D141" s="1">
        <f>SUM(OSRRefD22_17x_0)</f>
        <v>1606.65</v>
      </c>
      <c r="E141" s="1"/>
      <c r="F141" s="5">
        <f t="shared" ref="F141:F147" si="86">IF(D$12=0,0,D141/D$12)</f>
        <v>1.0023246270346722E-2</v>
      </c>
      <c r="G141" s="1"/>
      <c r="H141" s="1">
        <f>SUM(OSRRefH22_17x_0)</f>
        <v>1997.74</v>
      </c>
      <c r="I141" s="1"/>
      <c r="J141" s="5">
        <f t="shared" ref="J141:J147" si="87">IF(H$12=0,0,H141/H$12)</f>
        <v>7.4004140622314311E-3</v>
      </c>
      <c r="K141" s="1"/>
      <c r="L141" s="1">
        <f t="shared" ref="L141:L147" si="88">+D141-H141</f>
        <v>-391.08999999999992</v>
      </c>
      <c r="M141" s="1"/>
      <c r="N141" s="5">
        <f t="shared" ref="N141:N147" si="89">IF(H141=0,0,L141/H141)</f>
        <v>-0.19576621582388096</v>
      </c>
      <c r="O141" s="13"/>
      <c r="P141" s="1">
        <f>SUM(OSRRefP22_17x_0)</f>
        <v>3851.1400000000003</v>
      </c>
      <c r="Q141" s="1"/>
      <c r="R141" s="5">
        <f t="shared" ref="R141:R147" si="90">IF(P$12=0,0,P141/P$12)</f>
        <v>3.2340428147685642E-3</v>
      </c>
      <c r="S141" s="1"/>
      <c r="T141" s="1">
        <f>SUM(OSRRefT22_17x_0)</f>
        <v>5908.58</v>
      </c>
      <c r="U141" s="1"/>
      <c r="V141" s="5">
        <f t="shared" ref="V141:V147" si="91">IF(T$12=0,0,T141/T$12)</f>
        <v>2.9232187570451171E-3</v>
      </c>
      <c r="W141" s="1"/>
      <c r="X141" s="1">
        <f t="shared" ref="X141:X147" si="92">+P141-T141</f>
        <v>-2057.4399999999996</v>
      </c>
      <c r="Y141" s="1"/>
      <c r="Z141" s="5">
        <f t="shared" ref="Z141:Z147" si="93">IF(T141=0,0,X141/T141)</f>
        <v>-0.34821226081393492</v>
      </c>
    </row>
    <row r="142" spans="1:26" s="24" customFormat="1" hidden="1" outlineLevel="2" x14ac:dyDescent="0.25">
      <c r="A142" s="25"/>
      <c r="B142" s="11" t="str">
        <f>CONCATENATE("          ", "6234", " - ", "EXPENDABLE SUPPLIES &amp; EQUIPMEN")</f>
        <v xml:space="preserve">          6234 - EXPENDABLE SUPPLIES &amp; EQUIPMEN</v>
      </c>
      <c r="C142" s="11"/>
      <c r="D142" s="6">
        <v>396.5</v>
      </c>
      <c r="E142" s="2"/>
      <c r="F142" s="7">
        <f t="shared" si="86"/>
        <v>2.4736047964351135E-3</v>
      </c>
      <c r="G142" s="2"/>
      <c r="H142" s="6">
        <v>815.78</v>
      </c>
      <c r="I142" s="2"/>
      <c r="J142" s="7">
        <f t="shared" si="87"/>
        <v>3.0219697176244939E-3</v>
      </c>
      <c r="K142" s="2"/>
      <c r="L142" s="6">
        <f t="shared" si="88"/>
        <v>-419.28</v>
      </c>
      <c r="M142" s="2"/>
      <c r="N142" s="7">
        <f t="shared" si="89"/>
        <v>-0.51396209762435952</v>
      </c>
      <c r="O142" s="11"/>
      <c r="P142" s="6">
        <v>396.5</v>
      </c>
      <c r="Q142" s="2"/>
      <c r="R142" s="7">
        <f t="shared" si="90"/>
        <v>3.3296581688947572E-4</v>
      </c>
      <c r="S142" s="2"/>
      <c r="T142" s="6">
        <v>836.14</v>
      </c>
      <c r="U142" s="2"/>
      <c r="V142" s="7">
        <f t="shared" si="91"/>
        <v>4.1367301983144918E-4</v>
      </c>
      <c r="W142" s="2"/>
      <c r="X142" s="6">
        <f t="shared" si="92"/>
        <v>-439.64</v>
      </c>
      <c r="Y142" s="2"/>
      <c r="Z142" s="7">
        <f t="shared" si="93"/>
        <v>-0.52579711531561701</v>
      </c>
    </row>
    <row r="143" spans="1:26" s="24" customFormat="1" hidden="1" outlineLevel="2" x14ac:dyDescent="0.25">
      <c r="A143" s="25"/>
      <c r="B143" s="11" t="str">
        <f>CONCATENATE("          ", "6235", " - ", "COVID-19 EXPENSES")</f>
        <v xml:space="preserve">          6235 - COVID-19 EXPENSES</v>
      </c>
      <c r="C143" s="11"/>
      <c r="D143" s="6"/>
      <c r="E143" s="2"/>
      <c r="F143" s="7">
        <f t="shared" si="86"/>
        <v>0</v>
      </c>
      <c r="G143" s="2"/>
      <c r="H143" s="6"/>
      <c r="I143" s="2"/>
      <c r="J143" s="7">
        <f t="shared" si="87"/>
        <v>0</v>
      </c>
      <c r="K143" s="2"/>
      <c r="L143" s="6">
        <f t="shared" si="88"/>
        <v>0</v>
      </c>
      <c r="M143" s="2"/>
      <c r="N143" s="7">
        <f t="shared" si="89"/>
        <v>0</v>
      </c>
      <c r="O143" s="11"/>
      <c r="P143" s="6">
        <v>1292.1300000000001</v>
      </c>
      <c r="Q143" s="2"/>
      <c r="R143" s="7">
        <f t="shared" si="90"/>
        <v>1.0850822723263514E-3</v>
      </c>
      <c r="S143" s="2"/>
      <c r="T143" s="6"/>
      <c r="U143" s="2"/>
      <c r="V143" s="7">
        <f t="shared" si="91"/>
        <v>0</v>
      </c>
      <c r="W143" s="2"/>
      <c r="X143" s="6">
        <f t="shared" si="92"/>
        <v>1292.1300000000001</v>
      </c>
      <c r="Y143" s="2"/>
      <c r="Z143" s="7">
        <f t="shared" si="93"/>
        <v>0</v>
      </c>
    </row>
    <row r="144" spans="1:26" s="24" customFormat="1" hidden="1" outlineLevel="2" x14ac:dyDescent="0.25">
      <c r="A144" s="25"/>
      <c r="B144" s="11" t="str">
        <f>CONCATENATE("          ", "6237", " - ", "JANITORIAL SUPPLIES")</f>
        <v xml:space="preserve">          6237 - JANITORIAL SUPPLIES</v>
      </c>
      <c r="C144" s="11"/>
      <c r="D144" s="6"/>
      <c r="E144" s="2"/>
      <c r="F144" s="7">
        <f t="shared" si="86"/>
        <v>0</v>
      </c>
      <c r="G144" s="2"/>
      <c r="H144" s="6"/>
      <c r="I144" s="2"/>
      <c r="J144" s="7">
        <f t="shared" si="87"/>
        <v>0</v>
      </c>
      <c r="K144" s="2"/>
      <c r="L144" s="6">
        <f t="shared" si="88"/>
        <v>0</v>
      </c>
      <c r="M144" s="2"/>
      <c r="N144" s="7">
        <f t="shared" si="89"/>
        <v>0</v>
      </c>
      <c r="O144" s="11"/>
      <c r="P144" s="6">
        <v>191.74</v>
      </c>
      <c r="Q144" s="2"/>
      <c r="R144" s="7">
        <f t="shared" si="90"/>
        <v>1.6101605480551849E-4</v>
      </c>
      <c r="S144" s="2"/>
      <c r="T144" s="6">
        <v>287.72000000000003</v>
      </c>
      <c r="U144" s="2"/>
      <c r="V144" s="7">
        <f t="shared" si="91"/>
        <v>1.423469769008833E-4</v>
      </c>
      <c r="W144" s="2"/>
      <c r="X144" s="6">
        <f t="shared" si="92"/>
        <v>-95.980000000000018</v>
      </c>
      <c r="Y144" s="2"/>
      <c r="Z144" s="7">
        <f t="shared" si="93"/>
        <v>-0.33358821076046158</v>
      </c>
    </row>
    <row r="145" spans="1:26" s="24" customFormat="1" hidden="1" outlineLevel="2" x14ac:dyDescent="0.25">
      <c r="A145" s="25"/>
      <c r="B145" s="11" t="str">
        <f>CONCATENATE("          ", "6241", " - ", "OFFICE EXPENSE")</f>
        <v xml:space="preserve">          6241 - OFFICE EXPENSE</v>
      </c>
      <c r="C145" s="11"/>
      <c r="D145" s="6">
        <v>337.04</v>
      </c>
      <c r="E145" s="2"/>
      <c r="F145" s="7">
        <f t="shared" si="86"/>
        <v>2.1026576559659287E-3</v>
      </c>
      <c r="G145" s="2"/>
      <c r="H145" s="6">
        <v>630.52</v>
      </c>
      <c r="I145" s="2"/>
      <c r="J145" s="7">
        <f t="shared" si="87"/>
        <v>2.3356938713336882E-3</v>
      </c>
      <c r="K145" s="2"/>
      <c r="L145" s="6">
        <f t="shared" si="88"/>
        <v>-293.47999999999996</v>
      </c>
      <c r="M145" s="2"/>
      <c r="N145" s="7">
        <f t="shared" si="89"/>
        <v>-0.465457083042568</v>
      </c>
      <c r="O145" s="11"/>
      <c r="P145" s="6">
        <v>904.2</v>
      </c>
      <c r="Q145" s="2"/>
      <c r="R145" s="7">
        <f t="shared" si="90"/>
        <v>7.5931321975148541E-4</v>
      </c>
      <c r="S145" s="2"/>
      <c r="T145" s="6">
        <v>4508.49</v>
      </c>
      <c r="U145" s="2"/>
      <c r="V145" s="7">
        <f t="shared" si="91"/>
        <v>2.2305363613508386E-3</v>
      </c>
      <c r="W145" s="2"/>
      <c r="X145" s="6">
        <f t="shared" si="92"/>
        <v>-3604.29</v>
      </c>
      <c r="Y145" s="2"/>
      <c r="Z145" s="7">
        <f t="shared" si="93"/>
        <v>-0.79944504701130537</v>
      </c>
    </row>
    <row r="146" spans="1:26" s="24" customFormat="1" hidden="1" outlineLevel="2" x14ac:dyDescent="0.25">
      <c r="A146" s="25"/>
      <c r="B146" s="11" t="str">
        <f>CONCATENATE("          ", "6245", " - ", "PRINTING")</f>
        <v xml:space="preserve">          6245 - PRINTING</v>
      </c>
      <c r="C146" s="11"/>
      <c r="D146" s="6"/>
      <c r="E146" s="2"/>
      <c r="F146" s="7">
        <f t="shared" si="86"/>
        <v>0</v>
      </c>
      <c r="G146" s="2"/>
      <c r="H146" s="6">
        <v>110.25</v>
      </c>
      <c r="I146" s="2"/>
      <c r="J146" s="7">
        <f t="shared" si="87"/>
        <v>4.0840932772083217E-4</v>
      </c>
      <c r="K146" s="2"/>
      <c r="L146" s="6">
        <f t="shared" si="88"/>
        <v>-110.25</v>
      </c>
      <c r="M146" s="2"/>
      <c r="N146" s="7">
        <f t="shared" si="89"/>
        <v>-1</v>
      </c>
      <c r="O146" s="11"/>
      <c r="P146" s="6"/>
      <c r="Q146" s="2"/>
      <c r="R146" s="7">
        <f t="shared" si="90"/>
        <v>0</v>
      </c>
      <c r="S146" s="2"/>
      <c r="T146" s="6">
        <v>-506.93</v>
      </c>
      <c r="U146" s="2"/>
      <c r="V146" s="7">
        <f t="shared" si="91"/>
        <v>-2.5079922494218257E-4</v>
      </c>
      <c r="W146" s="2"/>
      <c r="X146" s="6">
        <f t="shared" si="92"/>
        <v>506.93</v>
      </c>
      <c r="Y146" s="2"/>
      <c r="Z146" s="7">
        <f t="shared" si="93"/>
        <v>-1</v>
      </c>
    </row>
    <row r="147" spans="1:26" s="24" customFormat="1" hidden="1" outlineLevel="2" x14ac:dyDescent="0.25">
      <c r="A147" s="25"/>
      <c r="B147" s="11" t="str">
        <f>CONCATENATE("          ", "6247", " - ", "STORE SUPPLIES")</f>
        <v xml:space="preserve">          6247 - STORE SUPPLIES</v>
      </c>
      <c r="C147" s="11"/>
      <c r="D147" s="6">
        <v>873.11</v>
      </c>
      <c r="E147" s="2"/>
      <c r="F147" s="7">
        <f t="shared" si="86"/>
        <v>5.4469838179456798E-3</v>
      </c>
      <c r="G147" s="2"/>
      <c r="H147" s="6">
        <v>441.19</v>
      </c>
      <c r="I147" s="2"/>
      <c r="J147" s="7">
        <f t="shared" si="87"/>
        <v>1.6343411455524168E-3</v>
      </c>
      <c r="K147" s="2"/>
      <c r="L147" s="6">
        <f t="shared" si="88"/>
        <v>431.92</v>
      </c>
      <c r="M147" s="2"/>
      <c r="N147" s="7">
        <f t="shared" si="89"/>
        <v>0.97898864434824007</v>
      </c>
      <c r="O147" s="11"/>
      <c r="P147" s="6">
        <v>1066.57</v>
      </c>
      <c r="Q147" s="2"/>
      <c r="R147" s="7">
        <f t="shared" si="90"/>
        <v>8.9566545099573297E-4</v>
      </c>
      <c r="S147" s="2"/>
      <c r="T147" s="6">
        <v>783.16</v>
      </c>
      <c r="U147" s="2"/>
      <c r="V147" s="7">
        <f t="shared" si="91"/>
        <v>3.874616239041282E-4</v>
      </c>
      <c r="W147" s="2"/>
      <c r="X147" s="6">
        <f t="shared" si="92"/>
        <v>283.40999999999997</v>
      </c>
      <c r="Y147" s="2"/>
      <c r="Z147" s="7">
        <f t="shared" si="93"/>
        <v>0.36188007559119462</v>
      </c>
    </row>
    <row r="148" spans="1:26" s="26" customFormat="1" outlineLevel="1" collapsed="1" x14ac:dyDescent="0.25">
      <c r="A148" s="27"/>
      <c r="B148" s="13" t="str">
        <f>CONCATENATE("     ","Telephone/Data Lines                              ")</f>
        <v xml:space="preserve">     Telephone/Data Lines                              </v>
      </c>
      <c r="C148" s="13"/>
      <c r="D148" s="1">
        <f>SUM(OSRRefD22_18x_0)</f>
        <v>338.09</v>
      </c>
      <c r="E148" s="1"/>
      <c r="F148" s="5">
        <f t="shared" ref="F148:F154" si="94">IF(D$12=0,0,D148/D$12)</f>
        <v>2.1092081856916708E-3</v>
      </c>
      <c r="G148" s="1"/>
      <c r="H148" s="1">
        <f>SUM(OSRRefH22_18x_0)</f>
        <v>614.79999999999995</v>
      </c>
      <c r="I148" s="1"/>
      <c r="J148" s="5">
        <f t="shared" ref="J148:J154" si="95">IF(H$12=0,0,H148/H$12)</f>
        <v>2.2774608134491395E-3</v>
      </c>
      <c r="K148" s="1"/>
      <c r="L148" s="1">
        <f t="shared" ref="L148:L154" si="96">+D148-H148</f>
        <v>-276.70999999999998</v>
      </c>
      <c r="M148" s="1"/>
      <c r="N148" s="5">
        <f t="shared" ref="N148:N154" si="97">IF(H148=0,0,L148/H148)</f>
        <v>-0.45008132726089783</v>
      </c>
      <c r="O148" s="13"/>
      <c r="P148" s="1">
        <f>SUM(OSRRefP22_18x_0)</f>
        <v>4967.79</v>
      </c>
      <c r="Q148" s="1"/>
      <c r="R148" s="5">
        <f t="shared" ref="R148:R154" si="98">IF(P$12=0,0,P148/P$12)</f>
        <v>4.1717635699504889E-3</v>
      </c>
      <c r="S148" s="1"/>
      <c r="T148" s="1">
        <f>SUM(OSRRefT22_18x_0)</f>
        <v>5859.14</v>
      </c>
      <c r="U148" s="1"/>
      <c r="V148" s="5">
        <f t="shared" ref="V148:V154" si="99">IF(T$12=0,0,T148/T$12)</f>
        <v>2.8987587454436308E-3</v>
      </c>
      <c r="W148" s="1"/>
      <c r="X148" s="1">
        <f t="shared" ref="X148:X154" si="100">+P148-T148</f>
        <v>-891.35000000000036</v>
      </c>
      <c r="Y148" s="1"/>
      <c r="Z148" s="5">
        <f t="shared" ref="Z148:Z154" si="101">IF(T148=0,0,X148/T148)</f>
        <v>-0.15212983475390593</v>
      </c>
    </row>
    <row r="149" spans="1:26" s="24" customFormat="1" hidden="1" outlineLevel="2" x14ac:dyDescent="0.25">
      <c r="A149" s="25"/>
      <c r="B149" s="11" t="str">
        <f>CONCATENATE("          ", "6309", " - ", "TELEPHONE")</f>
        <v xml:space="preserve">          6309 - TELEPHONE</v>
      </c>
      <c r="C149" s="11"/>
      <c r="D149" s="6">
        <v>338.09</v>
      </c>
      <c r="E149" s="2"/>
      <c r="F149" s="7">
        <f t="shared" si="94"/>
        <v>2.1092081856916708E-3</v>
      </c>
      <c r="G149" s="2"/>
      <c r="H149" s="6">
        <v>614.79999999999995</v>
      </c>
      <c r="I149" s="2"/>
      <c r="J149" s="7">
        <f t="shared" si="95"/>
        <v>2.2774608134491395E-3</v>
      </c>
      <c r="K149" s="2"/>
      <c r="L149" s="6">
        <f t="shared" si="96"/>
        <v>-276.70999999999998</v>
      </c>
      <c r="M149" s="2"/>
      <c r="N149" s="7">
        <f t="shared" si="97"/>
        <v>-0.45008132726089783</v>
      </c>
      <c r="O149" s="11"/>
      <c r="P149" s="6">
        <v>4967.79</v>
      </c>
      <c r="Q149" s="2"/>
      <c r="R149" s="7">
        <f t="shared" si="98"/>
        <v>4.1717635699504889E-3</v>
      </c>
      <c r="S149" s="2"/>
      <c r="T149" s="6">
        <v>5859.14</v>
      </c>
      <c r="U149" s="2"/>
      <c r="V149" s="7">
        <f t="shared" si="99"/>
        <v>2.8987587454436308E-3</v>
      </c>
      <c r="W149" s="2"/>
      <c r="X149" s="6">
        <f t="shared" si="100"/>
        <v>-891.35000000000036</v>
      </c>
      <c r="Y149" s="2"/>
      <c r="Z149" s="7">
        <f t="shared" si="101"/>
        <v>-0.15212983475390593</v>
      </c>
    </row>
    <row r="150" spans="1:26" s="26" customFormat="1" outlineLevel="1" collapsed="1" x14ac:dyDescent="0.25">
      <c r="A150" s="27"/>
      <c r="B150" s="13" t="str">
        <f>CONCATENATE("     ","Training                                          ")</f>
        <v xml:space="preserve">     Training                                          </v>
      </c>
      <c r="C150" s="13"/>
      <c r="D150" s="1">
        <f>SUM(OSRRefD22_19x_0)</f>
        <v>0</v>
      </c>
      <c r="E150" s="1"/>
      <c r="F150" s="5">
        <f t="shared" si="94"/>
        <v>0</v>
      </c>
      <c r="G150" s="1"/>
      <c r="H150" s="1">
        <f>SUM(OSRRefH22_19x_0)</f>
        <v>0</v>
      </c>
      <c r="I150" s="1"/>
      <c r="J150" s="5">
        <f t="shared" si="95"/>
        <v>0</v>
      </c>
      <c r="K150" s="1"/>
      <c r="L150" s="1">
        <f t="shared" si="96"/>
        <v>0</v>
      </c>
      <c r="M150" s="1"/>
      <c r="N150" s="5">
        <f t="shared" si="97"/>
        <v>0</v>
      </c>
      <c r="O150" s="13"/>
      <c r="P150" s="1">
        <f>SUM(OSRRefP22_19x_0)</f>
        <v>0</v>
      </c>
      <c r="Q150" s="1"/>
      <c r="R150" s="5">
        <f t="shared" si="98"/>
        <v>0</v>
      </c>
      <c r="S150" s="1"/>
      <c r="T150" s="1">
        <f>SUM(OSRRefT22_19x_0)</f>
        <v>1379.18</v>
      </c>
      <c r="U150" s="1"/>
      <c r="V150" s="5">
        <f t="shared" si="99"/>
        <v>6.8233735437981454E-4</v>
      </c>
      <c r="W150" s="1"/>
      <c r="X150" s="1">
        <f t="shared" si="100"/>
        <v>-1379.18</v>
      </c>
      <c r="Y150" s="1"/>
      <c r="Z150" s="5">
        <f t="shared" si="101"/>
        <v>-1</v>
      </c>
    </row>
    <row r="151" spans="1:26" s="24" customFormat="1" hidden="1" outlineLevel="2" x14ac:dyDescent="0.25">
      <c r="A151" s="25"/>
      <c r="B151" s="11" t="str">
        <f>CONCATENATE("          ", "6376", " - ", "TRAINING")</f>
        <v xml:space="preserve">          6376 - TRAINING</v>
      </c>
      <c r="C151" s="11"/>
      <c r="D151" s="6"/>
      <c r="E151" s="2"/>
      <c r="F151" s="7">
        <f t="shared" si="94"/>
        <v>0</v>
      </c>
      <c r="G151" s="2"/>
      <c r="H151" s="6"/>
      <c r="I151" s="2"/>
      <c r="J151" s="7">
        <f t="shared" si="95"/>
        <v>0</v>
      </c>
      <c r="K151" s="2"/>
      <c r="L151" s="6">
        <f t="shared" si="96"/>
        <v>0</v>
      </c>
      <c r="M151" s="2"/>
      <c r="N151" s="7">
        <f t="shared" si="97"/>
        <v>0</v>
      </c>
      <c r="O151" s="11"/>
      <c r="P151" s="6"/>
      <c r="Q151" s="2"/>
      <c r="R151" s="7">
        <f t="shared" si="98"/>
        <v>0</v>
      </c>
      <c r="S151" s="2"/>
      <c r="T151" s="6">
        <v>1379.18</v>
      </c>
      <c r="U151" s="2"/>
      <c r="V151" s="7">
        <f t="shared" si="99"/>
        <v>6.8233735437981454E-4</v>
      </c>
      <c r="W151" s="2"/>
      <c r="X151" s="6">
        <f t="shared" si="100"/>
        <v>-1379.18</v>
      </c>
      <c r="Y151" s="2"/>
      <c r="Z151" s="7">
        <f t="shared" si="101"/>
        <v>-1</v>
      </c>
    </row>
    <row r="152" spans="1:26" s="26" customFormat="1" outlineLevel="1" collapsed="1" x14ac:dyDescent="0.25">
      <c r="A152" s="27"/>
      <c r="B152" s="13" t="str">
        <f>CONCATENATE("     ","Travel                                            ")</f>
        <v xml:space="preserve">     Travel                                            </v>
      </c>
      <c r="C152" s="13"/>
      <c r="D152" s="1">
        <f>SUM(OSRRefD22_20x_0)</f>
        <v>129.38</v>
      </c>
      <c r="E152" s="1"/>
      <c r="F152" s="5">
        <f t="shared" si="94"/>
        <v>8.0715003420624197E-4</v>
      </c>
      <c r="G152" s="1"/>
      <c r="H152" s="1">
        <f>SUM(OSRRefH22_20x_0)</f>
        <v>-346.75</v>
      </c>
      <c r="I152" s="1"/>
      <c r="J152" s="5">
        <f t="shared" si="95"/>
        <v>-1.2844982710857012E-3</v>
      </c>
      <c r="K152" s="1"/>
      <c r="L152" s="1">
        <f t="shared" si="96"/>
        <v>476.13</v>
      </c>
      <c r="M152" s="1"/>
      <c r="N152" s="5">
        <f t="shared" si="97"/>
        <v>-1.3731218457101657</v>
      </c>
      <c r="O152" s="13"/>
      <c r="P152" s="1">
        <f>SUM(OSRRefP22_20x_0)</f>
        <v>451.26</v>
      </c>
      <c r="Q152" s="1"/>
      <c r="R152" s="5">
        <f t="shared" si="98"/>
        <v>3.78951209406166E-4</v>
      </c>
      <c r="S152" s="1"/>
      <c r="T152" s="1">
        <f>SUM(OSRRefT22_20x_0)</f>
        <v>563.55999999999995</v>
      </c>
      <c r="U152" s="1"/>
      <c r="V152" s="5">
        <f t="shared" si="99"/>
        <v>2.7881642674218611E-4</v>
      </c>
      <c r="W152" s="1"/>
      <c r="X152" s="1">
        <f t="shared" si="100"/>
        <v>-112.29999999999995</v>
      </c>
      <c r="Y152" s="1"/>
      <c r="Z152" s="5">
        <f t="shared" si="101"/>
        <v>-0.19926893321030584</v>
      </c>
    </row>
    <row r="153" spans="1:26" s="24" customFormat="1" hidden="1" outlineLevel="2" x14ac:dyDescent="0.25">
      <c r="A153" s="25"/>
      <c r="B153" s="11" t="str">
        <f>CONCATENATE("          ", "6292", " - ", "TRAVEL/CONFERENCE")</f>
        <v xml:space="preserve">          6292 - TRAVEL/CONFERENCE</v>
      </c>
      <c r="C153" s="11"/>
      <c r="D153" s="6"/>
      <c r="E153" s="2"/>
      <c r="F153" s="7">
        <f t="shared" si="94"/>
        <v>0</v>
      </c>
      <c r="G153" s="2"/>
      <c r="H153" s="6"/>
      <c r="I153" s="2"/>
      <c r="J153" s="7">
        <f t="shared" si="95"/>
        <v>0</v>
      </c>
      <c r="K153" s="2"/>
      <c r="L153" s="6">
        <f t="shared" si="96"/>
        <v>0</v>
      </c>
      <c r="M153" s="2"/>
      <c r="N153" s="7">
        <f t="shared" si="97"/>
        <v>0</v>
      </c>
      <c r="O153" s="11"/>
      <c r="P153" s="6"/>
      <c r="Q153" s="2"/>
      <c r="R153" s="7">
        <f t="shared" si="98"/>
        <v>0</v>
      </c>
      <c r="S153" s="2"/>
      <c r="T153" s="6">
        <v>107.04</v>
      </c>
      <c r="U153" s="2"/>
      <c r="V153" s="7">
        <f t="shared" si="99"/>
        <v>5.2957112496422037E-5</v>
      </c>
      <c r="W153" s="2"/>
      <c r="X153" s="6">
        <f t="shared" si="100"/>
        <v>-107.04</v>
      </c>
      <c r="Y153" s="2"/>
      <c r="Z153" s="7">
        <f t="shared" si="101"/>
        <v>-1</v>
      </c>
    </row>
    <row r="154" spans="1:26" s="24" customFormat="1" hidden="1" outlineLevel="2" x14ac:dyDescent="0.25">
      <c r="A154" s="25"/>
      <c r="B154" s="11" t="str">
        <f>CONCATENATE("          ", "6294", " - ", "TRAVEL OPERATIONAL")</f>
        <v xml:space="preserve">          6294 - TRAVEL OPERATIONAL</v>
      </c>
      <c r="C154" s="11"/>
      <c r="D154" s="6">
        <v>129.38</v>
      </c>
      <c r="E154" s="2"/>
      <c r="F154" s="7">
        <f t="shared" si="94"/>
        <v>8.0715003420624197E-4</v>
      </c>
      <c r="G154" s="2"/>
      <c r="H154" s="6">
        <v>-346.75</v>
      </c>
      <c r="I154" s="2"/>
      <c r="J154" s="7">
        <f t="shared" si="95"/>
        <v>-1.2844982710857012E-3</v>
      </c>
      <c r="K154" s="2"/>
      <c r="L154" s="6">
        <f t="shared" si="96"/>
        <v>476.13</v>
      </c>
      <c r="M154" s="2"/>
      <c r="N154" s="7">
        <f t="shared" si="97"/>
        <v>-1.3731218457101657</v>
      </c>
      <c r="O154" s="11"/>
      <c r="P154" s="6">
        <v>451.26</v>
      </c>
      <c r="Q154" s="2"/>
      <c r="R154" s="7">
        <f t="shared" si="98"/>
        <v>3.78951209406166E-4</v>
      </c>
      <c r="S154" s="2"/>
      <c r="T154" s="6">
        <v>456.52</v>
      </c>
      <c r="U154" s="2"/>
      <c r="V154" s="7">
        <f t="shared" si="99"/>
        <v>2.2585931424576409E-4</v>
      </c>
      <c r="W154" s="2"/>
      <c r="X154" s="6">
        <f t="shared" si="100"/>
        <v>-5.2599999999999909</v>
      </c>
      <c r="Y154" s="2"/>
      <c r="Z154" s="7">
        <f t="shared" si="101"/>
        <v>-1.1521948655042476E-2</v>
      </c>
    </row>
    <row r="155" spans="1:26" s="26" customFormat="1" outlineLevel="1" collapsed="1" x14ac:dyDescent="0.25">
      <c r="A155" s="27"/>
      <c r="B155" s="13" t="str">
        <f>CONCATENATE("     ","Utilities                                         ")</f>
        <v xml:space="preserve">     Utilities                                         </v>
      </c>
      <c r="C155" s="13"/>
      <c r="D155" s="1">
        <f>SUM(OSRRefD22_21x_0)</f>
        <v>32.61</v>
      </c>
      <c r="E155" s="1"/>
      <c r="F155" s="5">
        <f t="shared" ref="F155:F156" si="102">IF(D$12=0,0,D155/D$12)</f>
        <v>2.0344073748234311E-4</v>
      </c>
      <c r="G155" s="1"/>
      <c r="H155" s="1">
        <f>SUM(OSRRefH22_21x_0)</f>
        <v>163.13999999999999</v>
      </c>
      <c r="I155" s="1"/>
      <c r="J155" s="5">
        <f t="shared" ref="J155:J156" si="103">IF(H$12=0,0,H155/H$12)</f>
        <v>6.043346732369756E-4</v>
      </c>
      <c r="K155" s="1"/>
      <c r="L155" s="1">
        <f t="shared" ref="L155:L156" si="104">+D155-H155</f>
        <v>-130.52999999999997</v>
      </c>
      <c r="M155" s="1"/>
      <c r="N155" s="5">
        <f t="shared" ref="N155:N156" si="105">IF(H155=0,0,L155/H155)</f>
        <v>-0.80011033468186821</v>
      </c>
      <c r="O155" s="13"/>
      <c r="P155" s="1">
        <f>SUM(OSRRefP22_21x_0)</f>
        <v>177.01</v>
      </c>
      <c r="Q155" s="1"/>
      <c r="R155" s="5">
        <f t="shared" ref="R155:R156" si="106">IF(P$12=0,0,P155/P$12)</f>
        <v>1.4864635371401286E-4</v>
      </c>
      <c r="S155" s="1"/>
      <c r="T155" s="1">
        <f>SUM(OSRRefT22_21x_0)</f>
        <v>460.82</v>
      </c>
      <c r="U155" s="1"/>
      <c r="V155" s="5">
        <f t="shared" ref="V155:V156" si="107">IF(T$12=0,0,T155/T$12)</f>
        <v>2.2798670198618463E-4</v>
      </c>
      <c r="W155" s="1"/>
      <c r="X155" s="1">
        <f t="shared" ref="X155:X156" si="108">+P155-T155</f>
        <v>-283.81</v>
      </c>
      <c r="Y155" s="1"/>
      <c r="Z155" s="5">
        <f t="shared" ref="Z155:Z156" si="109">IF(T155=0,0,X155/T155)</f>
        <v>-0.61588038713597504</v>
      </c>
    </row>
    <row r="156" spans="1:26" s="24" customFormat="1" hidden="1" outlineLevel="2" x14ac:dyDescent="0.25">
      <c r="A156" s="25"/>
      <c r="B156" s="11" t="str">
        <f>CONCATENATE("          ", "6274", " - ", "UTILITIES")</f>
        <v xml:space="preserve">          6274 - UTILITIES</v>
      </c>
      <c r="C156" s="11"/>
      <c r="D156" s="6">
        <v>32.61</v>
      </c>
      <c r="E156" s="2"/>
      <c r="F156" s="7">
        <f t="shared" si="102"/>
        <v>2.0344073748234311E-4</v>
      </c>
      <c r="G156" s="2"/>
      <c r="H156" s="6">
        <v>163.13999999999999</v>
      </c>
      <c r="I156" s="2"/>
      <c r="J156" s="7">
        <f t="shared" si="103"/>
        <v>6.043346732369756E-4</v>
      </c>
      <c r="K156" s="2"/>
      <c r="L156" s="6">
        <f t="shared" si="104"/>
        <v>-130.52999999999997</v>
      </c>
      <c r="M156" s="2"/>
      <c r="N156" s="7">
        <f t="shared" si="105"/>
        <v>-0.80011033468186821</v>
      </c>
      <c r="O156" s="11"/>
      <c r="P156" s="6">
        <v>177.01</v>
      </c>
      <c r="Q156" s="2"/>
      <c r="R156" s="7">
        <f t="shared" si="106"/>
        <v>1.4864635371401286E-4</v>
      </c>
      <c r="S156" s="2"/>
      <c r="T156" s="6">
        <v>460.82</v>
      </c>
      <c r="U156" s="2"/>
      <c r="V156" s="7">
        <f t="shared" si="107"/>
        <v>2.2798670198618463E-4</v>
      </c>
      <c r="W156" s="2"/>
      <c r="X156" s="6">
        <f t="shared" si="108"/>
        <v>-283.81</v>
      </c>
      <c r="Y156" s="2"/>
      <c r="Z156" s="7">
        <f t="shared" si="109"/>
        <v>-0.61588038713597504</v>
      </c>
    </row>
    <row r="157" spans="1:26" s="61" customFormat="1" x14ac:dyDescent="0.25">
      <c r="A157" s="37"/>
      <c r="B157" s="37"/>
      <c r="C157" s="37"/>
      <c r="D157" s="1"/>
      <c r="E157" s="1"/>
      <c r="F157" s="5"/>
      <c r="G157" s="1"/>
      <c r="H157" s="1"/>
      <c r="I157" s="1"/>
      <c r="J157" s="5"/>
      <c r="K157" s="1"/>
      <c r="L157" s="1"/>
      <c r="M157" s="1"/>
      <c r="N157" s="5"/>
      <c r="O157" s="37"/>
      <c r="P157" s="1"/>
      <c r="Q157" s="1"/>
      <c r="R157" s="5"/>
      <c r="S157" s="1"/>
      <c r="T157" s="1"/>
      <c r="U157" s="1"/>
      <c r="V157" s="5"/>
      <c r="W157" s="1"/>
      <c r="X157" s="1"/>
      <c r="Y157" s="1"/>
      <c r="Z157" s="5"/>
    </row>
    <row r="158" spans="1:26" s="23" customFormat="1" collapsed="1" x14ac:dyDescent="0.25">
      <c r="A158" s="10"/>
      <c r="B158" s="29" t="s">
        <v>0</v>
      </c>
      <c r="C158" s="10"/>
      <c r="D158" s="4">
        <f>SUM(OSRRefD25x_0)</f>
        <v>15571.57</v>
      </c>
      <c r="E158" s="4"/>
      <c r="F158" s="12">
        <f t="shared" ref="F158:F160" si="110">IF(D$12=0,0,D158/D$12)</f>
        <v>9.7144792534741786E-2</v>
      </c>
      <c r="G158" s="4"/>
      <c r="H158" s="4">
        <f>SUM(OSRRefH25x_0)</f>
        <v>0</v>
      </c>
      <c r="I158" s="4"/>
      <c r="J158" s="12">
        <f t="shared" ref="J158:J160" si="111">IF(H$12=0,0,H158/H$12)</f>
        <v>0</v>
      </c>
      <c r="K158" s="4"/>
      <c r="L158" s="4">
        <f t="shared" ref="L158:L160" si="112">+D158-H158</f>
        <v>15571.57</v>
      </c>
      <c r="M158" s="4"/>
      <c r="N158" s="12">
        <f t="shared" ref="N158:N160" si="113">IF(H158=0,0,L158/H158)</f>
        <v>0</v>
      </c>
      <c r="O158" s="10"/>
      <c r="P158" s="4">
        <f>SUM(OSRRefP25x_0)</f>
        <v>221779.15</v>
      </c>
      <c r="Q158" s="4"/>
      <c r="R158" s="12">
        <f t="shared" ref="R158:R160" si="114">IF(P$12=0,0,P158/P$12)</f>
        <v>0.18624180541942895</v>
      </c>
      <c r="S158" s="4"/>
      <c r="T158" s="4">
        <f>SUM(OSRRefT25x_0)</f>
        <v>14830.16</v>
      </c>
      <c r="U158" s="4"/>
      <c r="V158" s="12">
        <f t="shared" ref="V158:V160" si="115">IF(T$12=0,0,T158/T$12)</f>
        <v>7.3370931563895578E-3</v>
      </c>
      <c r="W158" s="4"/>
      <c r="X158" s="4">
        <f t="shared" ref="X158:X160" si="116">+P158-T158</f>
        <v>206948.99</v>
      </c>
      <c r="Y158" s="4"/>
      <c r="Z158" s="12">
        <f t="shared" ref="Z158:Z160" si="117">IF(T158=0,0,X158/T158)</f>
        <v>13.954602647577639</v>
      </c>
    </row>
    <row r="159" spans="1:26" s="24" customFormat="1" hidden="1" outlineLevel="1" x14ac:dyDescent="0.25">
      <c r="A159" s="44"/>
      <c r="B159" s="11" t="str">
        <f>CONCATENATE("          ", "9150", " - ", "MISC. INCOME")</f>
        <v xml:space="preserve">          9150 - MISC. INCOME</v>
      </c>
      <c r="C159" s="11"/>
      <c r="D159" s="2">
        <f>--15571.57</f>
        <v>15571.57</v>
      </c>
      <c r="E159" s="2"/>
      <c r="F159" s="19">
        <f t="shared" si="110"/>
        <v>9.7144792534741786E-2</v>
      </c>
      <c r="G159" s="2"/>
      <c r="H159" s="2">
        <f t="shared" ref="H159:H160" si="118">0</f>
        <v>0</v>
      </c>
      <c r="I159" s="2"/>
      <c r="J159" s="19">
        <f t="shared" si="111"/>
        <v>0</v>
      </c>
      <c r="K159" s="2"/>
      <c r="L159" s="2">
        <f t="shared" si="112"/>
        <v>15571.57</v>
      </c>
      <c r="M159" s="2"/>
      <c r="N159" s="19">
        <f t="shared" si="113"/>
        <v>0</v>
      </c>
      <c r="O159" s="11"/>
      <c r="P159" s="2">
        <f>--46373.31</f>
        <v>46373.31</v>
      </c>
      <c r="Q159" s="2"/>
      <c r="R159" s="19">
        <f t="shared" si="114"/>
        <v>3.8942565059316252E-2</v>
      </c>
      <c r="S159" s="2"/>
      <c r="T159" s="2">
        <f>--14830.16</f>
        <v>14830.16</v>
      </c>
      <c r="U159" s="2"/>
      <c r="V159" s="19">
        <f t="shared" si="115"/>
        <v>7.3370931563895578E-3</v>
      </c>
      <c r="W159" s="2"/>
      <c r="X159" s="2">
        <f t="shared" si="116"/>
        <v>31543.149999999998</v>
      </c>
      <c r="Y159" s="2"/>
      <c r="Z159" s="19">
        <f t="shared" si="117"/>
        <v>2.1269595203288434</v>
      </c>
    </row>
    <row r="160" spans="1:26" s="24" customFormat="1" hidden="1" outlineLevel="1" x14ac:dyDescent="0.25">
      <c r="A160" s="44"/>
      <c r="B160" s="11" t="str">
        <f>CONCATENATE("          ", "9163", " - ", "MISC. INCOME")</f>
        <v xml:space="preserve">          9163 - MISC. INCOME</v>
      </c>
      <c r="C160" s="11"/>
      <c r="D160" s="2">
        <f>0</f>
        <v>0</v>
      </c>
      <c r="E160" s="2"/>
      <c r="F160" s="19">
        <f t="shared" si="110"/>
        <v>0</v>
      </c>
      <c r="G160" s="2"/>
      <c r="H160" s="2">
        <f t="shared" si="118"/>
        <v>0</v>
      </c>
      <c r="I160" s="2"/>
      <c r="J160" s="19">
        <f t="shared" si="111"/>
        <v>0</v>
      </c>
      <c r="K160" s="2"/>
      <c r="L160" s="2">
        <f t="shared" si="112"/>
        <v>0</v>
      </c>
      <c r="M160" s="2"/>
      <c r="N160" s="19">
        <f t="shared" si="113"/>
        <v>0</v>
      </c>
      <c r="O160" s="11"/>
      <c r="P160" s="2">
        <f>--175405.84</f>
        <v>175405.84</v>
      </c>
      <c r="Q160" s="2"/>
      <c r="R160" s="19">
        <f t="shared" si="114"/>
        <v>0.14729924036011269</v>
      </c>
      <c r="S160" s="2"/>
      <c r="T160" s="2">
        <f>0</f>
        <v>0</v>
      </c>
      <c r="U160" s="2"/>
      <c r="V160" s="19">
        <f t="shared" si="115"/>
        <v>0</v>
      </c>
      <c r="W160" s="2"/>
      <c r="X160" s="2">
        <f t="shared" si="116"/>
        <v>175405.84</v>
      </c>
      <c r="Y160" s="2"/>
      <c r="Z160" s="19">
        <f t="shared" si="117"/>
        <v>0</v>
      </c>
    </row>
    <row r="161" spans="1:26" x14ac:dyDescent="0.25">
      <c r="A161" s="9"/>
      <c r="B161" s="10"/>
      <c r="C161" s="10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O161" s="10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s="23" customFormat="1" x14ac:dyDescent="0.25">
      <c r="A162" s="10"/>
      <c r="B162" s="28" t="s">
        <v>3</v>
      </c>
      <c r="C162" s="28"/>
      <c r="D162" s="20">
        <f>+D85-D87+D158</f>
        <v>12196.420000000093</v>
      </c>
      <c r="E162" s="14"/>
      <c r="F162" s="22">
        <f>IF(D$12=0,0,D162/D$12)</f>
        <v>7.6088582626323772E-2</v>
      </c>
      <c r="G162" s="14"/>
      <c r="H162" s="20">
        <f>+H85-H87+H158</f>
        <v>58918.300000000032</v>
      </c>
      <c r="I162" s="14"/>
      <c r="J162" s="22">
        <f>IF(H$12=0,0,H162/H$12)</f>
        <v>0.21825653780910947</v>
      </c>
      <c r="K162" s="15"/>
      <c r="L162" s="20">
        <f>+D162-H162</f>
        <v>-46721.879999999939</v>
      </c>
      <c r="M162" s="15"/>
      <c r="N162" s="22">
        <f>IF(H162=0,0,L162/H162)</f>
        <v>-0.79299436677568624</v>
      </c>
      <c r="O162" s="29"/>
      <c r="P162" s="20">
        <f>+P85-P87+P158</f>
        <v>245037.06999999969</v>
      </c>
      <c r="Q162" s="14"/>
      <c r="R162" s="22">
        <f>IF(P$12=0,0,P162/P$12)</f>
        <v>0.20577293362106822</v>
      </c>
      <c r="S162" s="14"/>
      <c r="T162" s="20">
        <f>+T85-T87+T158</f>
        <v>470907.75999999972</v>
      </c>
      <c r="U162" s="14"/>
      <c r="V162" s="22">
        <f>IF(T$12=0,0,T162/T$12)</f>
        <v>0.23297753383555769</v>
      </c>
      <c r="W162" s="15"/>
      <c r="X162" s="20">
        <f>+P162-T162</f>
        <v>-225870.69000000003</v>
      </c>
      <c r="Y162" s="15"/>
      <c r="Z162" s="22">
        <f>IF(T162=0,0,X162/T162)</f>
        <v>-0.4796495390095083</v>
      </c>
    </row>
    <row r="163" spans="1:26" x14ac:dyDescent="0.25">
      <c r="A163" s="9"/>
      <c r="B163" s="10"/>
      <c r="C163" s="9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x14ac:dyDescent="0.25">
      <c r="A164" s="51"/>
      <c r="B164" s="10" t="s">
        <v>13</v>
      </c>
      <c r="C164" s="10"/>
      <c r="D164" s="4">
        <v>19759.310000000001</v>
      </c>
      <c r="E164" s="4"/>
      <c r="F164" s="12">
        <f>IF(D$12=0,0,D164/D$12)</f>
        <v>0.12327042620491376</v>
      </c>
      <c r="G164" s="4"/>
      <c r="H164" s="4">
        <v>21633.8</v>
      </c>
      <c r="I164" s="4"/>
      <c r="J164" s="12">
        <f>IF(H$12=0,0,H164/H$12)</f>
        <v>8.0140097179564079E-2</v>
      </c>
      <c r="K164" s="4"/>
      <c r="L164" s="4">
        <f>+D164-H164</f>
        <v>-1874.489999999998</v>
      </c>
      <c r="M164" s="4"/>
      <c r="N164" s="12">
        <f>IF(H164=0,0,L164/H164)</f>
        <v>-8.6646358938327894E-2</v>
      </c>
      <c r="O164" s="10"/>
      <c r="P164" s="4">
        <v>216164.05000000002</v>
      </c>
      <c r="Q164" s="4"/>
      <c r="R164" s="12">
        <f>IF(P$12=0,0,P164/P$12)</f>
        <v>0.18152645520904789</v>
      </c>
      <c r="S164" s="4"/>
      <c r="T164" s="4">
        <v>210788.61</v>
      </c>
      <c r="U164" s="4"/>
      <c r="V164" s="12">
        <f>IF(T$12=0,0,T164/T$12)</f>
        <v>0.10428583831029924</v>
      </c>
      <c r="W164" s="4"/>
      <c r="X164" s="4">
        <f>+P164-T164</f>
        <v>5375.4400000000314</v>
      </c>
      <c r="Y164" s="4"/>
      <c r="Z164" s="12">
        <f>IF(T164=0,0,X164/T164)</f>
        <v>2.5501567660605722E-2</v>
      </c>
    </row>
    <row r="165" spans="1:26" x14ac:dyDescent="0.25">
      <c r="A165" s="9"/>
      <c r="B165" s="10"/>
      <c r="C165" s="10"/>
      <c r="D165" s="3"/>
      <c r="E165" s="3"/>
      <c r="F165" s="8"/>
      <c r="G165" s="3"/>
      <c r="H165" s="3"/>
      <c r="I165" s="3"/>
      <c r="J165" s="8"/>
      <c r="K165" s="3"/>
      <c r="L165" s="3"/>
      <c r="M165" s="3"/>
      <c r="N165" s="8"/>
      <c r="O165" s="10"/>
      <c r="P165" s="3"/>
      <c r="Q165" s="3"/>
      <c r="R165" s="8"/>
      <c r="S165" s="3"/>
      <c r="T165" s="3"/>
      <c r="U165" s="3"/>
      <c r="V165" s="8"/>
      <c r="W165" s="3"/>
      <c r="X165" s="3"/>
      <c r="Y165" s="3"/>
      <c r="Z165" s="8"/>
    </row>
    <row r="166" spans="1:26" s="23" customFormat="1" ht="15.75" thickBot="1" x14ac:dyDescent="0.3">
      <c r="A166" s="10"/>
      <c r="B166" s="28" t="s">
        <v>4</v>
      </c>
      <c r="C166" s="28"/>
      <c r="D166" s="30">
        <f>+D162-D164</f>
        <v>-7562.8899999999085</v>
      </c>
      <c r="E166" s="14"/>
      <c r="F166" s="36">
        <f>IF(D$12=0,0,D166/D$12)</f>
        <v>-4.7181843578589983E-2</v>
      </c>
      <c r="G166" s="14"/>
      <c r="H166" s="30">
        <f>+H162-H164</f>
        <v>37284.500000000029</v>
      </c>
      <c r="I166" s="14"/>
      <c r="J166" s="36">
        <f>IF(H$12=0,0,H166/H$12)</f>
        <v>0.1381164406295454</v>
      </c>
      <c r="K166" s="15"/>
      <c r="L166" s="30">
        <f>D166-H166</f>
        <v>-44847.389999999941</v>
      </c>
      <c r="M166" s="15"/>
      <c r="N166" s="36">
        <f>IF(H166=0,0,L166/H166)</f>
        <v>-1.2028427362576917</v>
      </c>
      <c r="O166" s="29"/>
      <c r="P166" s="30">
        <f>+P162-P164</f>
        <v>28873.019999999669</v>
      </c>
      <c r="Q166" s="14"/>
      <c r="R166" s="36">
        <f>IF(P$12=0,0,P166/P$12)</f>
        <v>2.4246478412020329E-2</v>
      </c>
      <c r="S166" s="14"/>
      <c r="T166" s="30">
        <f>+T162-T164</f>
        <v>260119.14999999973</v>
      </c>
      <c r="U166" s="14"/>
      <c r="V166" s="36">
        <f>IF(T$12=0,0,T166/T$12)</f>
        <v>0.12869169552525844</v>
      </c>
      <c r="W166" s="15"/>
      <c r="X166" s="30">
        <f>P166-T166</f>
        <v>-231246.13000000006</v>
      </c>
      <c r="Y166" s="15"/>
      <c r="Z166" s="36">
        <f>IF(T166=0,0,X166/T166)</f>
        <v>-0.88900079059923232</v>
      </c>
    </row>
    <row r="167" spans="1:26" ht="15.75" thickTop="1" x14ac:dyDescent="0.25">
      <c r="A167" s="9"/>
      <c r="B167" s="9"/>
      <c r="C167" s="9"/>
      <c r="D167" s="3"/>
      <c r="E167" s="3"/>
      <c r="F167" s="8"/>
      <c r="G167" s="3"/>
      <c r="H167" s="3"/>
      <c r="I167" s="3"/>
      <c r="J167" s="8"/>
      <c r="K167" s="3"/>
      <c r="L167" s="3"/>
      <c r="M167" s="3"/>
      <c r="N167" s="8"/>
      <c r="P167" s="3"/>
      <c r="Q167" s="3"/>
      <c r="R167" s="8"/>
      <c r="S167" s="3"/>
      <c r="T167" s="3"/>
      <c r="U167" s="3"/>
      <c r="V167" s="8"/>
      <c r="W167" s="3"/>
      <c r="X167" s="3"/>
      <c r="Y167" s="3"/>
      <c r="Z167" s="8"/>
    </row>
    <row r="168" spans="1:26" x14ac:dyDescent="0.25">
      <c r="A168" s="9"/>
      <c r="B168" s="9"/>
      <c r="C168" s="9"/>
      <c r="D168" s="3"/>
      <c r="E168" s="3"/>
      <c r="F168" s="8"/>
      <c r="G168" s="3"/>
      <c r="H168" s="3"/>
      <c r="I168" s="3"/>
      <c r="J168" s="8"/>
      <c r="K168" s="3"/>
      <c r="L168" s="3"/>
      <c r="M168" s="3"/>
      <c r="N168" s="8"/>
      <c r="P168" s="3"/>
      <c r="Q168" s="3"/>
      <c r="R168" s="8"/>
      <c r="S168" s="3"/>
      <c r="T168" s="3"/>
      <c r="U168" s="3"/>
      <c r="V168" s="8"/>
      <c r="W168" s="3"/>
      <c r="X168" s="3"/>
      <c r="Y168" s="3"/>
      <c r="Z168" s="8"/>
    </row>
    <row r="169" spans="1:26" s="23" customFormat="1" ht="15.75" thickBot="1" x14ac:dyDescent="0.3">
      <c r="A169" s="10"/>
      <c r="B169" s="28" t="s">
        <v>5</v>
      </c>
      <c r="C169" s="28"/>
      <c r="D169" s="32">
        <f>SUM(D166:D168)</f>
        <v>-7562.8899999999085</v>
      </c>
      <c r="E169" s="14"/>
      <c r="F169" s="31">
        <f>IF(D$12=0,0,D169/D$12)</f>
        <v>-4.7181843578589983E-2</v>
      </c>
      <c r="G169" s="14"/>
      <c r="H169" s="32">
        <f>SUM(H166:H168)</f>
        <v>37284.500000000029</v>
      </c>
      <c r="I169" s="14"/>
      <c r="J169" s="31">
        <f>IF(H$12=0,0,H169/H$12)</f>
        <v>0.1381164406295454</v>
      </c>
      <c r="K169" s="15"/>
      <c r="L169" s="32">
        <f>+D169-H169</f>
        <v>-44847.389999999941</v>
      </c>
      <c r="M169" s="15"/>
      <c r="N169" s="31">
        <f>IF(H169=0,0,L169/H169)</f>
        <v>-1.2028427362576917</v>
      </c>
      <c r="O169" s="29"/>
      <c r="P169" s="32">
        <f>SUM(P166:P168)</f>
        <v>28873.019999999669</v>
      </c>
      <c r="Q169" s="14"/>
      <c r="R169" s="31">
        <f>IF(P$12=0,0,P169/P$12)</f>
        <v>2.4246478412020329E-2</v>
      </c>
      <c r="S169" s="14"/>
      <c r="T169" s="32">
        <f>SUM(T166:T168)</f>
        <v>260119.14999999973</v>
      </c>
      <c r="U169" s="14"/>
      <c r="V169" s="31">
        <f>IF(T$12=0,0,T169/T$12)</f>
        <v>0.12869169552525844</v>
      </c>
      <c r="W169" s="15"/>
      <c r="X169" s="32">
        <f>+P169-T169</f>
        <v>-231246.13000000006</v>
      </c>
      <c r="Y169" s="15"/>
      <c r="Z169" s="31">
        <f>IF(T169=0,0,X169/T169)</f>
        <v>-0.88900079059923232</v>
      </c>
    </row>
    <row r="170" spans="1:26" ht="15.75" thickTop="1" x14ac:dyDescent="0.25">
      <c r="A170" s="9"/>
      <c r="C170" s="9"/>
      <c r="D170" s="18"/>
      <c r="E170" s="18"/>
      <c r="G170" s="18"/>
      <c r="H170" s="18"/>
      <c r="I170" s="18"/>
      <c r="J170" s="42"/>
      <c r="K170" s="18"/>
      <c r="L170" s="18"/>
      <c r="M170" s="18"/>
      <c r="P170" s="18"/>
      <c r="Q170" s="18"/>
      <c r="R170" s="42"/>
      <c r="S170" s="18"/>
      <c r="T170" s="18"/>
      <c r="U170" s="18"/>
      <c r="V170" s="42"/>
      <c r="W170" s="18"/>
      <c r="X170" s="18"/>
    </row>
    <row r="171" spans="1:26" x14ac:dyDescent="0.25">
      <c r="A171" s="9"/>
      <c r="B171" s="62">
        <v>44238.495887118057</v>
      </c>
      <c r="D171" s="18"/>
      <c r="E171" s="18"/>
      <c r="G171" s="18"/>
      <c r="H171" s="18"/>
      <c r="I171" s="18"/>
      <c r="J171" s="42"/>
      <c r="K171" s="18"/>
      <c r="L171" s="18"/>
      <c r="M171" s="18"/>
      <c r="P171" s="18"/>
      <c r="Q171" s="18"/>
      <c r="R171" s="42"/>
      <c r="S171" s="18"/>
      <c r="T171" s="18"/>
      <c r="U171" s="18"/>
      <c r="V171" s="42"/>
      <c r="W171" s="18"/>
      <c r="X171" s="18"/>
    </row>
    <row r="172" spans="1:26" x14ac:dyDescent="0.25">
      <c r="A172" s="9"/>
      <c r="B172" s="59" t="s">
        <v>313</v>
      </c>
      <c r="D172" s="18"/>
      <c r="E172" s="18"/>
      <c r="G172" s="18"/>
      <c r="H172" s="18"/>
      <c r="I172" s="18"/>
      <c r="J172" s="42"/>
      <c r="K172" s="18"/>
      <c r="L172" s="18"/>
      <c r="M172" s="18"/>
      <c r="P172" s="18"/>
      <c r="Q172" s="18"/>
      <c r="R172" s="42"/>
      <c r="S172" s="18"/>
      <c r="T172" s="18"/>
      <c r="U172" s="18"/>
      <c r="V172" s="42"/>
      <c r="W172" s="18"/>
      <c r="X172" s="18"/>
    </row>
    <row r="173" spans="1:26" x14ac:dyDescent="0.25">
      <c r="A173" s="9"/>
      <c r="B173" s="56"/>
      <c r="D173" s="18"/>
      <c r="E173" s="18"/>
      <c r="G173" s="18"/>
      <c r="H173" s="18"/>
      <c r="I173" s="18"/>
      <c r="J173" s="42"/>
      <c r="K173" s="18"/>
      <c r="L173" s="18"/>
      <c r="M173" s="18"/>
      <c r="P173" s="18"/>
      <c r="Q173" s="18"/>
      <c r="R173" s="42"/>
      <c r="S173" s="18"/>
      <c r="T173" s="18"/>
      <c r="U173" s="18"/>
      <c r="V173" s="42"/>
      <c r="W173" s="18"/>
      <c r="X173" s="18"/>
    </row>
    <row r="174" spans="1:26" x14ac:dyDescent="0.25">
      <c r="D174" s="18"/>
      <c r="E174" s="18"/>
      <c r="G174" s="18"/>
      <c r="H174" s="18"/>
      <c r="I174" s="18"/>
      <c r="J174" s="42"/>
      <c r="K174" s="18"/>
      <c r="L174" s="18"/>
      <c r="M174" s="18"/>
      <c r="P174" s="18"/>
      <c r="Q174" s="18"/>
      <c r="R174" s="42"/>
      <c r="S174" s="18"/>
      <c r="T174" s="18"/>
      <c r="U174" s="18"/>
      <c r="V174" s="42"/>
      <c r="W174" s="18"/>
      <c r="X174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297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SUM(0)</f>
        <v>0</v>
      </c>
      <c r="E18" s="21"/>
      <c r="F18" s="35">
        <f>IF(D$12=0,0,D18/D$12)</f>
        <v>0</v>
      </c>
      <c r="G18" s="21"/>
      <c r="H18" s="21">
        <f>SUM(0)</f>
        <v>0</v>
      </c>
      <c r="I18" s="21"/>
      <c r="J18" s="35">
        <f>IF(H$12=0,0,H18/H$12)</f>
        <v>0</v>
      </c>
      <c r="K18" s="4"/>
      <c r="L18" s="21">
        <f>+D18-H18</f>
        <v>0</v>
      </c>
      <c r="M18" s="4"/>
      <c r="N18" s="35">
        <f>IF(H18=0,0,L18/H18)</f>
        <v>0</v>
      </c>
      <c r="O18" s="10"/>
      <c r="P18" s="21">
        <f>SUM(0)</f>
        <v>0</v>
      </c>
      <c r="Q18" s="21"/>
      <c r="R18" s="35">
        <f>IF(P$12=0,0,P18/P$12)</f>
        <v>0</v>
      </c>
      <c r="S18" s="21"/>
      <c r="T18" s="21">
        <f>SUM(0)</f>
        <v>0</v>
      </c>
      <c r="U18" s="21"/>
      <c r="V18" s="35">
        <f>IF(T$12=0,0,T18/T$12)</f>
        <v>0</v>
      </c>
      <c r="W18" s="4"/>
      <c r="X18" s="21">
        <f>+P18-T18</f>
        <v>0</v>
      </c>
      <c r="Y18" s="4"/>
      <c r="Z18" s="35">
        <f>IF(T18=0,0,X18/T18)</f>
        <v>0</v>
      </c>
    </row>
    <row r="19" spans="1:26" s="61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5"/>
      <c r="L22" s="20">
        <f>+D22-H22</f>
        <v>0</v>
      </c>
      <c r="M22" s="15"/>
      <c r="N22" s="22">
        <f>IF(H22=0,0,L22/H22)</f>
        <v>0</v>
      </c>
      <c r="O22" s="29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5"/>
      <c r="X22" s="20">
        <f>+P22-T22</f>
        <v>0</v>
      </c>
      <c r="Y22" s="15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0">
        <f>+D22-D24</f>
        <v>0</v>
      </c>
      <c r="E26" s="14"/>
      <c r="F26" s="36">
        <f>IF(D$12=0,0,D26/D$12)</f>
        <v>0</v>
      </c>
      <c r="G26" s="14"/>
      <c r="H26" s="30">
        <f>+H22-H24</f>
        <v>0</v>
      </c>
      <c r="I26" s="14"/>
      <c r="J26" s="36">
        <f>IF(H$12=0,0,H26/H$12)</f>
        <v>0</v>
      </c>
      <c r="K26" s="15"/>
      <c r="L26" s="30">
        <f>D26-H26</f>
        <v>0</v>
      </c>
      <c r="M26" s="15"/>
      <c r="N26" s="36">
        <f>IF(H26=0,0,L26/H26)</f>
        <v>0</v>
      </c>
      <c r="O26" s="29"/>
      <c r="P26" s="30">
        <f>+P22-P24</f>
        <v>0</v>
      </c>
      <c r="Q26" s="14"/>
      <c r="R26" s="36">
        <f>IF(P$12=0,0,P26/P$12)</f>
        <v>0</v>
      </c>
      <c r="S26" s="14"/>
      <c r="T26" s="30">
        <f>+T22-T24</f>
        <v>0</v>
      </c>
      <c r="U26" s="14"/>
      <c r="V26" s="36">
        <f>IF(T$12=0,0,T26/T$12)</f>
        <v>0</v>
      </c>
      <c r="W26" s="15"/>
      <c r="X26" s="30">
        <f>P26-T26</f>
        <v>0</v>
      </c>
      <c r="Y26" s="15"/>
      <c r="Z26" s="36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-35869.32</f>
        <v>-35869.32</v>
      </c>
      <c r="E28" s="4"/>
      <c r="F28" s="12">
        <f t="shared" ref="F28:F29" si="0">IF(D$12=0,0,D28/D$12)</f>
        <v>0</v>
      </c>
      <c r="G28" s="4"/>
      <c r="H28" s="4">
        <f>-115087.38</f>
        <v>-115087.38</v>
      </c>
      <c r="I28" s="4"/>
      <c r="J28" s="12">
        <f t="shared" ref="J28:J29" si="1">IF(H$12=0,0,H28/H$12)</f>
        <v>0</v>
      </c>
      <c r="K28" s="4"/>
      <c r="L28" s="4">
        <f t="shared" ref="L28:L29" si="2">+D28-H28</f>
        <v>79218.06</v>
      </c>
      <c r="M28" s="4"/>
      <c r="N28" s="12">
        <f t="shared" ref="N28:N29" si="3">IF(H28=0,0,L28/H28)</f>
        <v>-0.68832968480123535</v>
      </c>
      <c r="O28" s="10"/>
      <c r="P28" s="4">
        <f>--1958183.98</f>
        <v>1958183.98</v>
      </c>
      <c r="Q28" s="4"/>
      <c r="R28" s="12">
        <f t="shared" ref="R28:R29" si="4">IF(P$12=0,0,P28/P$12)</f>
        <v>0</v>
      </c>
      <c r="S28" s="4"/>
      <c r="T28" s="4">
        <f>--409123.52</f>
        <v>409123.52</v>
      </c>
      <c r="U28" s="4"/>
      <c r="V28" s="12">
        <f t="shared" ref="V28:V29" si="5">IF(T$12=0,0,T28/T$12)</f>
        <v>0</v>
      </c>
      <c r="W28" s="4"/>
      <c r="X28" s="4">
        <f t="shared" ref="X28:X29" si="6">+P28-T28</f>
        <v>1549060.46</v>
      </c>
      <c r="Y28" s="4"/>
      <c r="Z28" s="12">
        <f t="shared" ref="Z28:Z29" si="7">IF(T28=0,0,X28/T28)</f>
        <v>3.7862904093120822</v>
      </c>
    </row>
    <row r="29" spans="1:26" s="23" customFormat="1" x14ac:dyDescent="0.25">
      <c r="A29" s="51"/>
      <c r="B29" s="10" t="s">
        <v>1</v>
      </c>
      <c r="C29" s="10"/>
      <c r="D29" s="4">
        <f>--10065.17</f>
        <v>10065.17</v>
      </c>
      <c r="E29" s="4"/>
      <c r="F29" s="12">
        <f t="shared" si="0"/>
        <v>0</v>
      </c>
      <c r="G29" s="4"/>
      <c r="H29" s="4">
        <f>--12580.13</f>
        <v>12580.13</v>
      </c>
      <c r="I29" s="4"/>
      <c r="J29" s="12">
        <f t="shared" si="1"/>
        <v>0</v>
      </c>
      <c r="K29" s="4"/>
      <c r="L29" s="4">
        <f t="shared" si="2"/>
        <v>-2514.9599999999991</v>
      </c>
      <c r="M29" s="4"/>
      <c r="N29" s="12">
        <f t="shared" si="3"/>
        <v>-0.19991526319680317</v>
      </c>
      <c r="O29" s="10"/>
      <c r="P29" s="4">
        <f>--54576</f>
        <v>54576</v>
      </c>
      <c r="Q29" s="4"/>
      <c r="R29" s="12">
        <f t="shared" si="4"/>
        <v>0</v>
      </c>
      <c r="S29" s="4"/>
      <c r="T29" s="4">
        <f>--171645.07</f>
        <v>171645.07</v>
      </c>
      <c r="U29" s="4"/>
      <c r="V29" s="12">
        <f t="shared" si="5"/>
        <v>0</v>
      </c>
      <c r="W29" s="4"/>
      <c r="X29" s="4">
        <f t="shared" si="6"/>
        <v>-117069.07</v>
      </c>
      <c r="Y29" s="4"/>
      <c r="Z29" s="12">
        <f t="shared" si="7"/>
        <v>-0.68204155237316166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2">
        <f>SUM(D26:D30)</f>
        <v>-25804.15</v>
      </c>
      <c r="E31" s="14"/>
      <c r="F31" s="31">
        <f>IF(D$12=0,0,D31/D$12)</f>
        <v>0</v>
      </c>
      <c r="G31" s="14"/>
      <c r="H31" s="32">
        <f>SUM(H26:H30)</f>
        <v>-102507.25</v>
      </c>
      <c r="I31" s="14"/>
      <c r="J31" s="31">
        <f>IF(H$12=0,0,H31/H$12)</f>
        <v>0</v>
      </c>
      <c r="K31" s="15"/>
      <c r="L31" s="32">
        <f>+D31-H31</f>
        <v>76703.100000000006</v>
      </c>
      <c r="M31" s="15"/>
      <c r="N31" s="31">
        <f>IF(H31=0,0,L31/H31)</f>
        <v>-0.7482700004146049</v>
      </c>
      <c r="O31" s="29"/>
      <c r="P31" s="32">
        <f>SUM(P26:P30)</f>
        <v>2012759.98</v>
      </c>
      <c r="Q31" s="14"/>
      <c r="R31" s="31">
        <f>IF(P$12=0,0,P31/P$12)</f>
        <v>0</v>
      </c>
      <c r="S31" s="14"/>
      <c r="T31" s="32">
        <f>SUM(T26:T30)</f>
        <v>580768.59000000008</v>
      </c>
      <c r="U31" s="14"/>
      <c r="V31" s="31">
        <f>IF(T$12=0,0,T31/T$12)</f>
        <v>0</v>
      </c>
      <c r="W31" s="15"/>
      <c r="X31" s="32">
        <f>+P31-T31</f>
        <v>1431991.39</v>
      </c>
      <c r="Y31" s="15"/>
      <c r="Z31" s="31">
        <f>IF(T31=0,0,X31/T31)</f>
        <v>2.4656832594889466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62">
        <v>44238.49575613426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9" t="s">
        <v>313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6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","315", " - ", "Beach Shop")</f>
        <v>Department 315 - Beach Shop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141539.27000000002</v>
      </c>
      <c r="E12" s="4"/>
      <c r="F12" s="12"/>
      <c r="G12" s="4"/>
      <c r="H12" s="4">
        <f>SUM(OSRRefH13x_0)</f>
        <v>194929.08000000002</v>
      </c>
      <c r="I12" s="4"/>
      <c r="J12" s="12"/>
      <c r="K12" s="4"/>
      <c r="L12" s="4">
        <f t="shared" ref="L12:L50" si="0">+D12-H12</f>
        <v>-53389.81</v>
      </c>
      <c r="M12" s="4"/>
      <c r="N12" s="12">
        <f t="shared" ref="N12:N50" si="1">IF(H12=0,0,L12/H12)</f>
        <v>-0.27389351039875626</v>
      </c>
      <c r="O12" s="10"/>
      <c r="P12" s="4">
        <f>SUM(OSRRefP13x_0)</f>
        <v>1027142.7300000001</v>
      </c>
      <c r="Q12" s="4"/>
      <c r="R12" s="12"/>
      <c r="S12" s="4"/>
      <c r="T12" s="4">
        <f>SUM(OSRRefT13x_0)</f>
        <v>1661874.44</v>
      </c>
      <c r="U12" s="4"/>
      <c r="V12" s="12"/>
      <c r="W12" s="4"/>
      <c r="X12" s="4">
        <f t="shared" ref="X12:X50" si="2">+P12-T12</f>
        <v>-634731.70999999985</v>
      </c>
      <c r="Y12" s="4"/>
      <c r="Z12" s="12">
        <f t="shared" ref="Z12:Z50" si="3">IF(T12=0,0,X12/T12)</f>
        <v>-0.38193722384947437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-10320.6</f>
        <v>-10320.6</v>
      </c>
      <c r="E13" s="2"/>
      <c r="F13" s="19"/>
      <c r="G13" s="2"/>
      <c r="H13" s="2">
        <f t="shared" ref="H13:H18" si="4">0</f>
        <v>0</v>
      </c>
      <c r="I13" s="2"/>
      <c r="J13" s="19"/>
      <c r="K13" s="2"/>
      <c r="L13" s="2">
        <f t="shared" si="0"/>
        <v>-10320.6</v>
      </c>
      <c r="M13" s="2"/>
      <c r="N13" s="19">
        <f t="shared" si="1"/>
        <v>0</v>
      </c>
      <c r="O13" s="11"/>
      <c r="P13" s="2">
        <f>-87775.16</f>
        <v>-87775.16</v>
      </c>
      <c r="Q13" s="2"/>
      <c r="R13" s="19"/>
      <c r="S13" s="2"/>
      <c r="T13" s="2">
        <f t="shared" ref="T13:T18" si="5">0</f>
        <v>0</v>
      </c>
      <c r="U13" s="2"/>
      <c r="V13" s="19"/>
      <c r="W13" s="2"/>
      <c r="X13" s="2">
        <f t="shared" si="2"/>
        <v>-87775.16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--221.99</f>
        <v>221.99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221.99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--8641.35</f>
        <v>8641.35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8641.35</v>
      </c>
      <c r="M15" s="2"/>
      <c r="N15" s="19">
        <f t="shared" si="1"/>
        <v>0</v>
      </c>
      <c r="O15" s="11"/>
      <c r="P15" s="2">
        <f>--40394.79</f>
        <v>40394.79</v>
      </c>
      <c r="Q15" s="2"/>
      <c r="R15" s="19"/>
      <c r="S15" s="2"/>
      <c r="T15" s="2">
        <f t="shared" si="5"/>
        <v>0</v>
      </c>
      <c r="U15" s="2"/>
      <c r="V15" s="19"/>
      <c r="W15" s="2"/>
      <c r="X15" s="2">
        <f t="shared" si="2"/>
        <v>40394.79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--21770.01</f>
        <v>21770.01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21770.01</v>
      </c>
      <c r="M16" s="2"/>
      <c r="N16" s="19">
        <f t="shared" si="1"/>
        <v>0</v>
      </c>
      <c r="O16" s="11"/>
      <c r="P16" s="2">
        <f>--26443.53</f>
        <v>26443.53</v>
      </c>
      <c r="Q16" s="2"/>
      <c r="R16" s="19"/>
      <c r="S16" s="2"/>
      <c r="T16" s="2">
        <f t="shared" si="5"/>
        <v>0</v>
      </c>
      <c r="U16" s="2"/>
      <c r="V16" s="19"/>
      <c r="W16" s="2"/>
      <c r="X16" s="2">
        <f t="shared" si="2"/>
        <v>26443.53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--477.59</f>
        <v>477.59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477.59</v>
      </c>
      <c r="M17" s="2"/>
      <c r="N17" s="19">
        <f t="shared" si="1"/>
        <v>0</v>
      </c>
      <c r="O17" s="11"/>
      <c r="P17" s="2">
        <f>--2212.69</f>
        <v>2212.69</v>
      </c>
      <c r="Q17" s="2"/>
      <c r="R17" s="19"/>
      <c r="S17" s="2"/>
      <c r="T17" s="2">
        <f t="shared" si="5"/>
        <v>0</v>
      </c>
      <c r="U17" s="2"/>
      <c r="V17" s="19"/>
      <c r="W17" s="2"/>
      <c r="X17" s="2">
        <f t="shared" si="2"/>
        <v>2212.69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--72874.93</f>
        <v>72874.929999999993</v>
      </c>
      <c r="E19" s="2"/>
      <c r="F19" s="19"/>
      <c r="G19" s="2"/>
      <c r="H19" s="2">
        <f>--129838.03</f>
        <v>129838.03</v>
      </c>
      <c r="I19" s="2"/>
      <c r="J19" s="19"/>
      <c r="K19" s="2"/>
      <c r="L19" s="2">
        <f t="shared" si="0"/>
        <v>-56963.100000000006</v>
      </c>
      <c r="M19" s="2"/>
      <c r="N19" s="19">
        <f t="shared" si="1"/>
        <v>-0.43872430904874332</v>
      </c>
      <c r="O19" s="11"/>
      <c r="P19" s="2">
        <f>--462121.98</f>
        <v>462121.98</v>
      </c>
      <c r="Q19" s="2"/>
      <c r="R19" s="19"/>
      <c r="S19" s="2"/>
      <c r="T19" s="2">
        <f>--1183214.61</f>
        <v>1183214.6100000001</v>
      </c>
      <c r="U19" s="2"/>
      <c r="V19" s="19"/>
      <c r="W19" s="2"/>
      <c r="X19" s="2">
        <f t="shared" si="2"/>
        <v>-721092.63000000012</v>
      </c>
      <c r="Y19" s="2"/>
      <c r="Z19" s="19">
        <f t="shared" si="3"/>
        <v>-0.60943519789702394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--21568.69</f>
        <v>21568.69</v>
      </c>
      <c r="E20" s="2"/>
      <c r="F20" s="19"/>
      <c r="G20" s="2"/>
      <c r="H20" s="2">
        <f>--27369.25</f>
        <v>27369.25</v>
      </c>
      <c r="I20" s="2"/>
      <c r="J20" s="19"/>
      <c r="K20" s="2"/>
      <c r="L20" s="2">
        <f t="shared" si="0"/>
        <v>-5800.5600000000013</v>
      </c>
      <c r="M20" s="2"/>
      <c r="N20" s="19">
        <f t="shared" si="1"/>
        <v>-0.21193711921225467</v>
      </c>
      <c r="O20" s="11"/>
      <c r="P20" s="2">
        <f>--139295.32</f>
        <v>139295.32</v>
      </c>
      <c r="Q20" s="2"/>
      <c r="R20" s="19"/>
      <c r="S20" s="2"/>
      <c r="T20" s="2">
        <f>--195456.44</f>
        <v>195456.44</v>
      </c>
      <c r="U20" s="2"/>
      <c r="V20" s="19"/>
      <c r="W20" s="2"/>
      <c r="X20" s="2">
        <f t="shared" si="2"/>
        <v>-56161.119999999995</v>
      </c>
      <c r="Y20" s="2"/>
      <c r="Z20" s="19">
        <f t="shared" si="3"/>
        <v>-0.2873331776635244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--7139.06</f>
        <v>7139.06</v>
      </c>
      <c r="E21" s="2"/>
      <c r="F21" s="19"/>
      <c r="G21" s="2"/>
      <c r="H21" s="2">
        <f>--21801.17</f>
        <v>21801.17</v>
      </c>
      <c r="I21" s="2"/>
      <c r="J21" s="19"/>
      <c r="K21" s="2"/>
      <c r="L21" s="2">
        <f t="shared" si="0"/>
        <v>-14662.109999999997</v>
      </c>
      <c r="M21" s="2"/>
      <c r="N21" s="19">
        <f t="shared" si="1"/>
        <v>-0.67253775829462359</v>
      </c>
      <c r="O21" s="11"/>
      <c r="P21" s="2">
        <f>--53028.97</f>
        <v>53028.97</v>
      </c>
      <c r="Q21" s="2"/>
      <c r="R21" s="19"/>
      <c r="S21" s="2"/>
      <c r="T21" s="2">
        <f>--152067.95</f>
        <v>152067.95000000001</v>
      </c>
      <c r="U21" s="2"/>
      <c r="V21" s="19"/>
      <c r="W21" s="2"/>
      <c r="X21" s="2">
        <f t="shared" si="2"/>
        <v>-99038.98000000001</v>
      </c>
      <c r="Y21" s="2"/>
      <c r="Z21" s="19">
        <f t="shared" si="3"/>
        <v>-0.65128108848708754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--22862.29</f>
        <v>22862.29</v>
      </c>
      <c r="E22" s="2"/>
      <c r="F22" s="19"/>
      <c r="G22" s="2"/>
      <c r="H22" s="2">
        <f>--7120.83</f>
        <v>7120.83</v>
      </c>
      <c r="I22" s="2"/>
      <c r="J22" s="19"/>
      <c r="K22" s="2"/>
      <c r="L22" s="2">
        <f t="shared" si="0"/>
        <v>15741.460000000001</v>
      </c>
      <c r="M22" s="2"/>
      <c r="N22" s="19">
        <f t="shared" si="1"/>
        <v>2.2106215146268062</v>
      </c>
      <c r="O22" s="11"/>
      <c r="P22" s="2">
        <f>--109715.25</f>
        <v>109715.25</v>
      </c>
      <c r="Q22" s="2"/>
      <c r="R22" s="19"/>
      <c r="S22" s="2"/>
      <c r="T22" s="2">
        <f>--21057.51</f>
        <v>21057.51</v>
      </c>
      <c r="U22" s="2"/>
      <c r="V22" s="19"/>
      <c r="W22" s="2"/>
      <c r="X22" s="2">
        <f t="shared" si="2"/>
        <v>88657.74</v>
      </c>
      <c r="Y22" s="2"/>
      <c r="Z22" s="19">
        <f t="shared" si="3"/>
        <v>4.2102670258734305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--1169.64</f>
        <v>1169.6400000000001</v>
      </c>
      <c r="E23" s="2"/>
      <c r="F23" s="19"/>
      <c r="G23" s="2"/>
      <c r="H23" s="2">
        <f>--5859.56</f>
        <v>5859.56</v>
      </c>
      <c r="I23" s="2"/>
      <c r="J23" s="19"/>
      <c r="K23" s="2"/>
      <c r="L23" s="2">
        <f t="shared" si="0"/>
        <v>-4689.92</v>
      </c>
      <c r="M23" s="2"/>
      <c r="N23" s="19">
        <f t="shared" si="1"/>
        <v>-0.80038774242434585</v>
      </c>
      <c r="O23" s="11"/>
      <c r="P23" s="2">
        <f>--25602.45</f>
        <v>25602.45</v>
      </c>
      <c r="Q23" s="2"/>
      <c r="R23" s="19"/>
      <c r="S23" s="2"/>
      <c r="T23" s="2">
        <f>--50056.71</f>
        <v>50056.71</v>
      </c>
      <c r="U23" s="2"/>
      <c r="V23" s="19"/>
      <c r="W23" s="2"/>
      <c r="X23" s="2">
        <f t="shared" si="2"/>
        <v>-24454.26</v>
      </c>
      <c r="Y23" s="2"/>
      <c r="Z23" s="19">
        <f t="shared" si="3"/>
        <v>-0.48853110801728677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--3388.52</f>
        <v>3388.52</v>
      </c>
      <c r="E24" s="2"/>
      <c r="F24" s="19"/>
      <c r="G24" s="2"/>
      <c r="H24" s="2">
        <f>--8722.22</f>
        <v>8722.2199999999993</v>
      </c>
      <c r="I24" s="2"/>
      <c r="J24" s="19"/>
      <c r="K24" s="2"/>
      <c r="L24" s="2">
        <f t="shared" si="0"/>
        <v>-5333.6999999999989</v>
      </c>
      <c r="M24" s="2"/>
      <c r="N24" s="19">
        <f t="shared" si="1"/>
        <v>-0.61150716216742973</v>
      </c>
      <c r="O24" s="11"/>
      <c r="P24" s="2">
        <f>--125123.3</f>
        <v>125123.3</v>
      </c>
      <c r="Q24" s="2"/>
      <c r="R24" s="19"/>
      <c r="S24" s="2"/>
      <c r="T24" s="2">
        <f>--69270.43</f>
        <v>69270.429999999993</v>
      </c>
      <c r="U24" s="2"/>
      <c r="V24" s="19"/>
      <c r="W24" s="2"/>
      <c r="X24" s="2">
        <f t="shared" si="2"/>
        <v>55852.87000000001</v>
      </c>
      <c r="Y24" s="2"/>
      <c r="Z24" s="19">
        <f t="shared" si="3"/>
        <v>0.80630176541418919</v>
      </c>
    </row>
    <row r="25" spans="1:26" s="24" customFormat="1" hidden="1" outlineLevel="1" x14ac:dyDescent="0.25">
      <c r="A25" s="44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19"/>
      <c r="G25" s="2"/>
      <c r="H25" s="2">
        <f t="shared" ref="H25:H32" si="6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--52.68</f>
        <v>52.68</v>
      </c>
      <c r="Q25" s="2"/>
      <c r="R25" s="19"/>
      <c r="S25" s="2"/>
      <c r="T25" s="2">
        <f t="shared" ref="T25:T32" si="7">0</f>
        <v>0</v>
      </c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--2539.06</f>
        <v>2539.06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2539.06</v>
      </c>
      <c r="M26" s="2"/>
      <c r="N26" s="19">
        <f t="shared" si="1"/>
        <v>0</v>
      </c>
      <c r="O26" s="11"/>
      <c r="P26" s="2">
        <f>--5745.17</f>
        <v>5745.17</v>
      </c>
      <c r="Q26" s="2"/>
      <c r="R26" s="19"/>
      <c r="S26" s="2"/>
      <c r="T26" s="2">
        <f t="shared" si="7"/>
        <v>0</v>
      </c>
      <c r="U26" s="2"/>
      <c r="V26" s="19"/>
      <c r="W26" s="2"/>
      <c r="X26" s="2">
        <f t="shared" si="2"/>
        <v>5745.17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"4128", " - ", "NON-TAXABLE SALES-ART/TECH")</f>
        <v xml:space="preserve">          4128 - NON-TAXABLE SALES-ART/TECH</v>
      </c>
      <c r="C27" s="11"/>
      <c r="D27" s="2">
        <f>--4.72</f>
        <v>4.72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4.72</v>
      </c>
      <c r="M27" s="2"/>
      <c r="N27" s="19">
        <f t="shared" si="1"/>
        <v>0</v>
      </c>
      <c r="O27" s="11"/>
      <c r="P27" s="2">
        <f>--29.5</f>
        <v>29.5</v>
      </c>
      <c r="Q27" s="2"/>
      <c r="R27" s="19"/>
      <c r="S27" s="2"/>
      <c r="T27" s="2">
        <f t="shared" si="7"/>
        <v>0</v>
      </c>
      <c r="U27" s="2"/>
      <c r="V27" s="19"/>
      <c r="W27" s="2"/>
      <c r="X27" s="2">
        <f t="shared" si="2"/>
        <v>29.5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>--1098.12</f>
        <v>1098.1199999999999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1098.1199999999999</v>
      </c>
      <c r="M28" s="2"/>
      <c r="N28" s="19">
        <f t="shared" si="1"/>
        <v>0</v>
      </c>
      <c r="O28" s="11"/>
      <c r="P28" s="2">
        <f>--6755.61</f>
        <v>6755.61</v>
      </c>
      <c r="Q28" s="2"/>
      <c r="R28" s="19"/>
      <c r="S28" s="2"/>
      <c r="T28" s="2">
        <f t="shared" si="7"/>
        <v>0</v>
      </c>
      <c r="U28" s="2"/>
      <c r="V28" s="19"/>
      <c r="W28" s="2"/>
      <c r="X28" s="2">
        <f t="shared" si="2"/>
        <v>6755.61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8">0</f>
        <v>0</v>
      </c>
      <c r="E29" s="2"/>
      <c r="F29" s="19"/>
      <c r="G29" s="2"/>
      <c r="H29" s="2">
        <f t="shared" si="6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--22.49</f>
        <v>22.49</v>
      </c>
      <c r="Q29" s="2"/>
      <c r="R29" s="19"/>
      <c r="S29" s="2"/>
      <c r="T29" s="2">
        <f t="shared" si="7"/>
        <v>0</v>
      </c>
      <c r="U29" s="2"/>
      <c r="V29" s="19"/>
      <c r="W29" s="2"/>
      <c r="X29" s="2">
        <f t="shared" si="2"/>
        <v>22.49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8"/>
        <v>0</v>
      </c>
      <c r="E30" s="2"/>
      <c r="F30" s="19"/>
      <c r="G30" s="2"/>
      <c r="H30" s="2">
        <f t="shared" si="6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--80.71</f>
        <v>80.709999999999994</v>
      </c>
      <c r="Q30" s="2"/>
      <c r="R30" s="19"/>
      <c r="S30" s="2"/>
      <c r="T30" s="2">
        <f t="shared" si="7"/>
        <v>0</v>
      </c>
      <c r="U30" s="2"/>
      <c r="V30" s="19"/>
      <c r="W30" s="2"/>
      <c r="X30" s="2">
        <f t="shared" si="2"/>
        <v>80.709999999999994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8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--45.53</f>
        <v>45.53</v>
      </c>
      <c r="Q31" s="2"/>
      <c r="R31" s="19"/>
      <c r="S31" s="2"/>
      <c r="T31" s="2">
        <f t="shared" si="7"/>
        <v>0</v>
      </c>
      <c r="U31" s="2"/>
      <c r="V31" s="19"/>
      <c r="W31" s="2"/>
      <c r="X31" s="2">
        <f t="shared" si="2"/>
        <v>45.53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8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--59.25</f>
        <v>59.25</v>
      </c>
      <c r="Q32" s="2"/>
      <c r="R32" s="19"/>
      <c r="S32" s="2"/>
      <c r="T32" s="2">
        <f t="shared" si="7"/>
        <v>0</v>
      </c>
      <c r="U32" s="2"/>
      <c r="V32" s="19"/>
      <c r="W32" s="2"/>
      <c r="X32" s="2">
        <f t="shared" si="2"/>
        <v>59.25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--9206.45</f>
        <v>9206.4500000000007</v>
      </c>
      <c r="E33" s="2"/>
      <c r="F33" s="19"/>
      <c r="G33" s="2"/>
      <c r="H33" s="2">
        <f>--3758.83</f>
        <v>3758.83</v>
      </c>
      <c r="I33" s="2"/>
      <c r="J33" s="19"/>
      <c r="K33" s="2"/>
      <c r="L33" s="2">
        <f t="shared" si="0"/>
        <v>5447.6200000000008</v>
      </c>
      <c r="M33" s="2"/>
      <c r="N33" s="19">
        <f t="shared" si="1"/>
        <v>1.4492860810411752</v>
      </c>
      <c r="O33" s="11"/>
      <c r="P33" s="2">
        <f>--113011.64</f>
        <v>113011.64</v>
      </c>
      <c r="Q33" s="2"/>
      <c r="R33" s="19"/>
      <c r="S33" s="2"/>
      <c r="T33" s="2">
        <f>--42582.67</f>
        <v>42582.67</v>
      </c>
      <c r="U33" s="2"/>
      <c r="V33" s="19"/>
      <c r="W33" s="2"/>
      <c r="X33" s="2">
        <f t="shared" si="2"/>
        <v>70428.97</v>
      </c>
      <c r="Y33" s="2"/>
      <c r="Z33" s="19">
        <f t="shared" si="3"/>
        <v>1.6539350397708741</v>
      </c>
    </row>
    <row r="34" spans="1:26" s="24" customFormat="1" hidden="1" outlineLevel="1" x14ac:dyDescent="0.25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--1163.92</f>
        <v>1163.92</v>
      </c>
      <c r="E34" s="2"/>
      <c r="F34" s="19"/>
      <c r="G34" s="2"/>
      <c r="H34" s="2">
        <f>--1020.72</f>
        <v>1020.72</v>
      </c>
      <c r="I34" s="2"/>
      <c r="J34" s="19"/>
      <c r="K34" s="2"/>
      <c r="L34" s="2">
        <f t="shared" si="0"/>
        <v>143.20000000000005</v>
      </c>
      <c r="M34" s="2"/>
      <c r="N34" s="19">
        <f t="shared" si="1"/>
        <v>0.14029312642056591</v>
      </c>
      <c r="O34" s="11"/>
      <c r="P34" s="2">
        <f>--6613.52</f>
        <v>6613.52</v>
      </c>
      <c r="Q34" s="2"/>
      <c r="R34" s="19"/>
      <c r="S34" s="2"/>
      <c r="T34" s="2">
        <f>--3397.85</f>
        <v>3397.85</v>
      </c>
      <c r="U34" s="2"/>
      <c r="V34" s="19"/>
      <c r="W34" s="2"/>
      <c r="X34" s="2">
        <f t="shared" si="2"/>
        <v>3215.6700000000005</v>
      </c>
      <c r="Y34" s="2"/>
      <c r="Z34" s="19">
        <f t="shared" si="3"/>
        <v>0.94638374266080039</v>
      </c>
    </row>
    <row r="35" spans="1:26" s="24" customFormat="1" hidden="1" outlineLevel="1" x14ac:dyDescent="0.25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--51.7</f>
        <v>51.7</v>
      </c>
      <c r="E35" s="2"/>
      <c r="F35" s="19"/>
      <c r="G35" s="2"/>
      <c r="H35" s="2">
        <f>--274.82</f>
        <v>274.82</v>
      </c>
      <c r="I35" s="2"/>
      <c r="J35" s="19"/>
      <c r="K35" s="2"/>
      <c r="L35" s="2">
        <f t="shared" si="0"/>
        <v>-223.12</v>
      </c>
      <c r="M35" s="2"/>
      <c r="N35" s="19">
        <f t="shared" si="1"/>
        <v>-0.81187686485699739</v>
      </c>
      <c r="O35" s="11"/>
      <c r="P35" s="2">
        <f>--1149.3</f>
        <v>1149.3</v>
      </c>
      <c r="Q35" s="2"/>
      <c r="R35" s="19"/>
      <c r="S35" s="2"/>
      <c r="T35" s="2">
        <f>--3712.28</f>
        <v>3712.28</v>
      </c>
      <c r="U35" s="2"/>
      <c r="V35" s="19"/>
      <c r="W35" s="2"/>
      <c r="X35" s="2">
        <f t="shared" si="2"/>
        <v>-2562.9800000000005</v>
      </c>
      <c r="Y35" s="2"/>
      <c r="Z35" s="19">
        <f t="shared" si="3"/>
        <v>-0.69040589610697478</v>
      </c>
    </row>
    <row r="36" spans="1:26" s="24" customFormat="1" hidden="1" outlineLevel="1" x14ac:dyDescent="0.25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>--232.71</f>
        <v>232.71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232.71</v>
      </c>
      <c r="M36" s="2"/>
      <c r="N36" s="19">
        <f t="shared" si="1"/>
        <v>0</v>
      </c>
      <c r="O36" s="11"/>
      <c r="P36" s="2">
        <f>--1969.74</f>
        <v>1969.74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1969.74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--119.9</f>
        <v>119.9</v>
      </c>
      <c r="E37" s="2"/>
      <c r="F37" s="19"/>
      <c r="G37" s="2"/>
      <c r="H37" s="2">
        <f>--374.48</f>
        <v>374.48</v>
      </c>
      <c r="I37" s="2"/>
      <c r="J37" s="19"/>
      <c r="K37" s="2"/>
      <c r="L37" s="2">
        <f t="shared" si="0"/>
        <v>-254.58</v>
      </c>
      <c r="M37" s="2"/>
      <c r="N37" s="19">
        <f t="shared" si="1"/>
        <v>-0.67982268745994445</v>
      </c>
      <c r="O37" s="11"/>
      <c r="P37" s="2">
        <f>--609.4</f>
        <v>609.4</v>
      </c>
      <c r="Q37" s="2"/>
      <c r="R37" s="19"/>
      <c r="S37" s="2"/>
      <c r="T37" s="2">
        <f>--967.33</f>
        <v>967.33</v>
      </c>
      <c r="U37" s="2"/>
      <c r="V37" s="19"/>
      <c r="W37" s="2"/>
      <c r="X37" s="2">
        <f t="shared" si="2"/>
        <v>-357.93000000000006</v>
      </c>
      <c r="Y37" s="2"/>
      <c r="Z37" s="19">
        <f t="shared" si="3"/>
        <v>-0.37001850454343405</v>
      </c>
    </row>
    <row r="38" spans="1:26" s="24" customFormat="1" hidden="1" outlineLevel="1" x14ac:dyDescent="0.25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>-1677.68</f>
        <v>-1677.68</v>
      </c>
      <c r="E38" s="2"/>
      <c r="F38" s="19"/>
      <c r="G38" s="2"/>
      <c r="H38" s="2">
        <f t="shared" ref="H38:H41" si="9">0</f>
        <v>0</v>
      </c>
      <c r="I38" s="2"/>
      <c r="J38" s="19"/>
      <c r="K38" s="2"/>
      <c r="L38" s="2">
        <f t="shared" si="0"/>
        <v>-1677.68</v>
      </c>
      <c r="M38" s="2"/>
      <c r="N38" s="19">
        <f t="shared" si="1"/>
        <v>0</v>
      </c>
      <c r="O38" s="11"/>
      <c r="P38" s="2">
        <f>--53709.09</f>
        <v>53709.09</v>
      </c>
      <c r="Q38" s="2"/>
      <c r="R38" s="19"/>
      <c r="S38" s="2"/>
      <c r="T38" s="2">
        <f>--140</f>
        <v>140</v>
      </c>
      <c r="U38" s="2"/>
      <c r="V38" s="19"/>
      <c r="W38" s="2"/>
      <c r="X38" s="2">
        <f t="shared" si="2"/>
        <v>53569.09</v>
      </c>
      <c r="Y38" s="2"/>
      <c r="Z38" s="19">
        <f t="shared" si="3"/>
        <v>382.63635714285709</v>
      </c>
    </row>
    <row r="39" spans="1:26" s="24" customFormat="1" hidden="1" outlineLevel="1" x14ac:dyDescent="0.25">
      <c r="A39" s="44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>0</f>
        <v>0</v>
      </c>
      <c r="E39" s="2"/>
      <c r="F39" s="19"/>
      <c r="G39" s="2"/>
      <c r="H39" s="2">
        <f t="shared" si="9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-6.38</f>
        <v>-6.38</v>
      </c>
      <c r="Q39" s="2"/>
      <c r="R39" s="19"/>
      <c r="S39" s="2"/>
      <c r="T39" s="2">
        <f t="shared" ref="T39:T41" si="10">0</f>
        <v>0</v>
      </c>
      <c r="U39" s="2"/>
      <c r="V39" s="19"/>
      <c r="W39" s="2"/>
      <c r="X39" s="2">
        <f t="shared" si="2"/>
        <v>-6.38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-122.23</f>
        <v>-122.23</v>
      </c>
      <c r="E40" s="2"/>
      <c r="F40" s="19"/>
      <c r="G40" s="2"/>
      <c r="H40" s="2">
        <f t="shared" si="9"/>
        <v>0</v>
      </c>
      <c r="I40" s="2"/>
      <c r="J40" s="19"/>
      <c r="K40" s="2"/>
      <c r="L40" s="2">
        <f t="shared" si="0"/>
        <v>-122.23</v>
      </c>
      <c r="M40" s="2"/>
      <c r="N40" s="19">
        <f t="shared" si="1"/>
        <v>0</v>
      </c>
      <c r="O40" s="11"/>
      <c r="P40" s="2">
        <f>-559.5</f>
        <v>-559.5</v>
      </c>
      <c r="Q40" s="2"/>
      <c r="R40" s="19"/>
      <c r="S40" s="2"/>
      <c r="T40" s="2">
        <f t="shared" si="10"/>
        <v>0</v>
      </c>
      <c r="U40" s="2"/>
      <c r="V40" s="19"/>
      <c r="W40" s="2"/>
      <c r="X40" s="2">
        <f t="shared" si="2"/>
        <v>-559.5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-12473.84</f>
        <v>-12473.84</v>
      </c>
      <c r="E41" s="2"/>
      <c r="F41" s="19"/>
      <c r="G41" s="2"/>
      <c r="H41" s="2">
        <f t="shared" si="9"/>
        <v>0</v>
      </c>
      <c r="I41" s="2"/>
      <c r="J41" s="19"/>
      <c r="K41" s="2"/>
      <c r="L41" s="2">
        <f t="shared" si="0"/>
        <v>-12473.84</v>
      </c>
      <c r="M41" s="2"/>
      <c r="N41" s="19">
        <f t="shared" si="1"/>
        <v>0</v>
      </c>
      <c r="O41" s="11"/>
      <c r="P41" s="2">
        <f>-12506.33</f>
        <v>-12506.33</v>
      </c>
      <c r="Q41" s="2"/>
      <c r="R41" s="19"/>
      <c r="S41" s="2"/>
      <c r="T41" s="2">
        <f t="shared" si="10"/>
        <v>0</v>
      </c>
      <c r="U41" s="2"/>
      <c r="V41" s="19"/>
      <c r="W41" s="2"/>
      <c r="X41" s="2">
        <f t="shared" si="2"/>
        <v>-12506.33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-4857.17</f>
        <v>-4857.17</v>
      </c>
      <c r="E42" s="2"/>
      <c r="F42" s="19"/>
      <c r="G42" s="2"/>
      <c r="H42" s="2">
        <f>-7536.86</f>
        <v>-7536.86</v>
      </c>
      <c r="I42" s="2"/>
      <c r="J42" s="19"/>
      <c r="K42" s="2"/>
      <c r="L42" s="2">
        <f t="shared" si="0"/>
        <v>2679.6899999999996</v>
      </c>
      <c r="M42" s="2"/>
      <c r="N42" s="19">
        <f t="shared" si="1"/>
        <v>-0.35554461672367532</v>
      </c>
      <c r="O42" s="11"/>
      <c r="P42" s="2">
        <f>-21184.54</f>
        <v>-21184.54</v>
      </c>
      <c r="Q42" s="2"/>
      <c r="R42" s="19"/>
      <c r="S42" s="2"/>
      <c r="T42" s="2">
        <f>-48407.64</f>
        <v>-48407.64</v>
      </c>
      <c r="U42" s="2"/>
      <c r="V42" s="19"/>
      <c r="W42" s="2"/>
      <c r="X42" s="2">
        <f t="shared" si="2"/>
        <v>27223.1</v>
      </c>
      <c r="Y42" s="2"/>
      <c r="Z42" s="19">
        <f t="shared" si="3"/>
        <v>-0.56237197268860861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-976.76</f>
        <v>-976.76</v>
      </c>
      <c r="E43" s="2"/>
      <c r="F43" s="19"/>
      <c r="G43" s="2"/>
      <c r="H43" s="2">
        <f>-459.1</f>
        <v>-459.1</v>
      </c>
      <c r="I43" s="2"/>
      <c r="J43" s="19"/>
      <c r="K43" s="2"/>
      <c r="L43" s="2">
        <f t="shared" si="0"/>
        <v>-517.66</v>
      </c>
      <c r="M43" s="2"/>
      <c r="N43" s="19">
        <f t="shared" si="1"/>
        <v>1.1275539098235676</v>
      </c>
      <c r="O43" s="11"/>
      <c r="P43" s="2">
        <f>-3424.01</f>
        <v>-3424.01</v>
      </c>
      <c r="Q43" s="2"/>
      <c r="R43" s="19"/>
      <c r="S43" s="2"/>
      <c r="T43" s="2">
        <f>-3004.11</f>
        <v>-3004.11</v>
      </c>
      <c r="U43" s="2"/>
      <c r="V43" s="19"/>
      <c r="W43" s="2"/>
      <c r="X43" s="2">
        <f t="shared" si="2"/>
        <v>-419.90000000000009</v>
      </c>
      <c r="Y43" s="2"/>
      <c r="Z43" s="19">
        <f t="shared" si="3"/>
        <v>0.1397751746773587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-76.86</f>
        <v>-76.86</v>
      </c>
      <c r="E44" s="2"/>
      <c r="F44" s="19"/>
      <c r="G44" s="2"/>
      <c r="H44" s="2">
        <f>-650.06</f>
        <v>-650.05999999999995</v>
      </c>
      <c r="I44" s="2"/>
      <c r="J44" s="19"/>
      <c r="K44" s="2"/>
      <c r="L44" s="2">
        <f t="shared" si="0"/>
        <v>573.19999999999993</v>
      </c>
      <c r="M44" s="2"/>
      <c r="N44" s="19">
        <f t="shared" si="1"/>
        <v>-0.88176476017598371</v>
      </c>
      <c r="O44" s="11"/>
      <c r="P44" s="2">
        <f>-1442.63</f>
        <v>-1442.63</v>
      </c>
      <c r="Q44" s="2"/>
      <c r="R44" s="19"/>
      <c r="S44" s="2"/>
      <c r="T44" s="2">
        <f>-2664.82</f>
        <v>-2664.82</v>
      </c>
      <c r="U44" s="2"/>
      <c r="V44" s="19"/>
      <c r="W44" s="2"/>
      <c r="X44" s="2">
        <f t="shared" si="2"/>
        <v>1222.19</v>
      </c>
      <c r="Y44" s="2"/>
      <c r="Z44" s="19">
        <f t="shared" si="3"/>
        <v>-0.45863885740875554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>-1422.25</f>
        <v>-1422.25</v>
      </c>
      <c r="E45" s="2"/>
      <c r="F45" s="19"/>
      <c r="G45" s="2"/>
      <c r="H45" s="2">
        <f>-344.74</f>
        <v>-344.74</v>
      </c>
      <c r="I45" s="2"/>
      <c r="J45" s="19"/>
      <c r="K45" s="2"/>
      <c r="L45" s="2">
        <f t="shared" si="0"/>
        <v>-1077.51</v>
      </c>
      <c r="M45" s="2"/>
      <c r="N45" s="19">
        <f t="shared" si="1"/>
        <v>3.1255728955154609</v>
      </c>
      <c r="O45" s="11"/>
      <c r="P45" s="2">
        <f>-4999.79</f>
        <v>-4999.79</v>
      </c>
      <c r="Q45" s="2"/>
      <c r="R45" s="19"/>
      <c r="S45" s="2"/>
      <c r="T45" s="2">
        <f>-1224.21</f>
        <v>-1224.21</v>
      </c>
      <c r="U45" s="2"/>
      <c r="V45" s="19"/>
      <c r="W45" s="2"/>
      <c r="X45" s="2">
        <f t="shared" si="2"/>
        <v>-3775.58</v>
      </c>
      <c r="Y45" s="2"/>
      <c r="Z45" s="19">
        <f t="shared" si="3"/>
        <v>3.0840950490520416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-93.98</f>
        <v>-93.98</v>
      </c>
      <c r="E46" s="2"/>
      <c r="F46" s="19"/>
      <c r="G46" s="2"/>
      <c r="H46" s="2">
        <f>-370.28</f>
        <v>-370.28</v>
      </c>
      <c r="I46" s="2"/>
      <c r="J46" s="19"/>
      <c r="K46" s="2"/>
      <c r="L46" s="2">
        <f t="shared" si="0"/>
        <v>276.29999999999995</v>
      </c>
      <c r="M46" s="2"/>
      <c r="N46" s="19">
        <f t="shared" si="1"/>
        <v>-0.74619207086529105</v>
      </c>
      <c r="O46" s="11"/>
      <c r="P46" s="2">
        <f>-954.92</f>
        <v>-954.92</v>
      </c>
      <c r="Q46" s="2"/>
      <c r="R46" s="19"/>
      <c r="S46" s="2"/>
      <c r="T46" s="2">
        <f>-1971.25</f>
        <v>-1971.25</v>
      </c>
      <c r="U46" s="2"/>
      <c r="V46" s="19"/>
      <c r="W46" s="2"/>
      <c r="X46" s="2">
        <f t="shared" si="2"/>
        <v>1016.33</v>
      </c>
      <c r="Y46" s="2"/>
      <c r="Z46" s="19">
        <f t="shared" si="3"/>
        <v>-0.51557641090678508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0</f>
        <v>0</v>
      </c>
      <c r="E47" s="2"/>
      <c r="F47" s="19"/>
      <c r="G47" s="2"/>
      <c r="H47" s="2">
        <f>-1623.09</f>
        <v>-1623.09</v>
      </c>
      <c r="I47" s="2"/>
      <c r="J47" s="19"/>
      <c r="K47" s="2"/>
      <c r="L47" s="2">
        <f t="shared" si="0"/>
        <v>1623.09</v>
      </c>
      <c r="M47" s="2"/>
      <c r="N47" s="19">
        <f t="shared" si="1"/>
        <v>-1</v>
      </c>
      <c r="O47" s="11"/>
      <c r="P47" s="2">
        <f>-11338.61</f>
        <v>-11338.61</v>
      </c>
      <c r="Q47" s="2"/>
      <c r="R47" s="19"/>
      <c r="S47" s="2"/>
      <c r="T47" s="2">
        <f>-1705.06</f>
        <v>-1705.06</v>
      </c>
      <c r="U47" s="2"/>
      <c r="V47" s="19"/>
      <c r="W47" s="2"/>
      <c r="X47" s="2">
        <f t="shared" si="2"/>
        <v>-9633.5500000000011</v>
      </c>
      <c r="Y47" s="2"/>
      <c r="Z47" s="19">
        <f t="shared" si="3"/>
        <v>5.6499771269046262</v>
      </c>
    </row>
    <row r="48" spans="1:26" s="24" customFormat="1" hidden="1" outlineLevel="1" x14ac:dyDescent="0.25">
      <c r="A48" s="44"/>
      <c r="B48" s="11" t="str">
        <f>CONCATENATE("          ", "4340", " - ", "SALES RETURN NON TAXABLE-LOGO")</f>
        <v xml:space="preserve">          4340 - SALES RETURN NON TAXABLE-LOGO</v>
      </c>
      <c r="C48" s="11"/>
      <c r="D48" s="2">
        <f>-732.22</f>
        <v>-732.22</v>
      </c>
      <c r="E48" s="2"/>
      <c r="F48" s="19"/>
      <c r="G48" s="2"/>
      <c r="H48" s="2">
        <f>-216.75</f>
        <v>-216.75</v>
      </c>
      <c r="I48" s="2"/>
      <c r="J48" s="19"/>
      <c r="K48" s="2"/>
      <c r="L48" s="2">
        <f t="shared" si="0"/>
        <v>-515.47</v>
      </c>
      <c r="M48" s="2"/>
      <c r="N48" s="19">
        <f t="shared" si="1"/>
        <v>2.3781776239907728</v>
      </c>
      <c r="O48" s="11"/>
      <c r="P48" s="2">
        <f>-2215.94</f>
        <v>-2215.94</v>
      </c>
      <c r="Q48" s="2"/>
      <c r="R48" s="19"/>
      <c r="S48" s="2"/>
      <c r="T48" s="2">
        <f>-931.65</f>
        <v>-931.65</v>
      </c>
      <c r="U48" s="2"/>
      <c r="V48" s="19"/>
      <c r="W48" s="2"/>
      <c r="X48" s="2">
        <f t="shared" si="2"/>
        <v>-1284.29</v>
      </c>
      <c r="Y48" s="2"/>
      <c r="Z48" s="19">
        <f t="shared" si="3"/>
        <v>1.378511243492728</v>
      </c>
    </row>
    <row r="49" spans="1:26" s="24" customFormat="1" hidden="1" outlineLevel="1" x14ac:dyDescent="0.25">
      <c r="A49" s="44"/>
      <c r="B49" s="11" t="str">
        <f>CONCATENATE("          ", "4341", " - ", "SALES RETURN NON TAXABLE-LOGO")</f>
        <v xml:space="preserve">          4341 - SALES RETURN NON TAXABLE-LOGO</v>
      </c>
      <c r="C49" s="11"/>
      <c r="D49" s="2">
        <f>-15.8</f>
        <v>-15.8</v>
      </c>
      <c r="E49" s="2"/>
      <c r="F49" s="19"/>
      <c r="G49" s="2"/>
      <c r="H49" s="2">
        <f>-9.95</f>
        <v>-9.9499999999999993</v>
      </c>
      <c r="I49" s="2"/>
      <c r="J49" s="19"/>
      <c r="K49" s="2"/>
      <c r="L49" s="2">
        <f t="shared" si="0"/>
        <v>-5.8500000000000014</v>
      </c>
      <c r="M49" s="2"/>
      <c r="N49" s="19">
        <f t="shared" si="1"/>
        <v>0.58793969849246253</v>
      </c>
      <c r="O49" s="11"/>
      <c r="P49" s="2">
        <f>-351.44</f>
        <v>-351.44</v>
      </c>
      <c r="Q49" s="2"/>
      <c r="R49" s="19"/>
      <c r="S49" s="2"/>
      <c r="T49" s="2">
        <f>-30.8</f>
        <v>-30.8</v>
      </c>
      <c r="U49" s="2"/>
      <c r="V49" s="19"/>
      <c r="W49" s="2"/>
      <c r="X49" s="2">
        <f t="shared" si="2"/>
        <v>-320.64</v>
      </c>
      <c r="Y49" s="2"/>
      <c r="Z49" s="19">
        <f t="shared" si="3"/>
        <v>10.410389610389609</v>
      </c>
    </row>
    <row r="50" spans="1:26" s="24" customFormat="1" hidden="1" outlineLevel="1" x14ac:dyDescent="0.25">
      <c r="A50" s="44"/>
      <c r="B50" s="11" t="str">
        <f>CONCATENATE("          ", "4342", " - ", "SALES RETURN NON TAXABLE-EVERY")</f>
        <v xml:space="preserve">          4342 - SALES RETURN NON TAXABLE-EVERY</v>
      </c>
      <c r="C50" s="11"/>
      <c r="D50" s="2">
        <f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-118.7</f>
        <v>-118.7</v>
      </c>
      <c r="Q50" s="2"/>
      <c r="R50" s="19"/>
      <c r="S50" s="2"/>
      <c r="T50" s="2">
        <f>-109.8</f>
        <v>-109.8</v>
      </c>
      <c r="U50" s="2"/>
      <c r="V50" s="19"/>
      <c r="W50" s="2"/>
      <c r="X50" s="2">
        <f t="shared" si="2"/>
        <v>-8.9000000000000057</v>
      </c>
      <c r="Y50" s="2"/>
      <c r="Z50" s="19">
        <f t="shared" si="3"/>
        <v>8.1056466302367999E-2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9" t="s">
        <v>8</v>
      </c>
      <c r="C52" s="10"/>
      <c r="D52" s="4">
        <f>SUM(OSRRefD16x_0)</f>
        <v>75363.999999999985</v>
      </c>
      <c r="E52" s="4"/>
      <c r="F52" s="12">
        <f t="shared" ref="F52:F75" si="11">IF(D$12=0,0,D52/D$12)</f>
        <v>0.5324600020898792</v>
      </c>
      <c r="G52" s="4"/>
      <c r="H52" s="4">
        <f>SUM(OSRRefH16x_0)</f>
        <v>91101.719999999987</v>
      </c>
      <c r="I52" s="4"/>
      <c r="J52" s="12">
        <f t="shared" ref="J52:J75" si="12">IF(H$12=0,0,H52/H$12)</f>
        <v>0.46735828230451804</v>
      </c>
      <c r="K52" s="4"/>
      <c r="L52" s="4">
        <f t="shared" ref="L52:L75" si="13">+D52-H52</f>
        <v>-15737.720000000001</v>
      </c>
      <c r="M52" s="4"/>
      <c r="N52" s="12">
        <f t="shared" ref="N52:N75" si="14">IF(H52=0,0,L52/H52)</f>
        <v>-0.17274887894542501</v>
      </c>
      <c r="O52" s="10"/>
      <c r="P52" s="4">
        <f>SUM(OSRRefP16x_0)</f>
        <v>610031.54</v>
      </c>
      <c r="Q52" s="4"/>
      <c r="R52" s="12">
        <f t="shared" ref="R52:R75" si="15">IF(P$12=0,0,P52/P$12)</f>
        <v>0.59391116948274558</v>
      </c>
      <c r="S52" s="4"/>
      <c r="T52" s="4">
        <f>SUM(OSRRefT16x_0)</f>
        <v>775594.13</v>
      </c>
      <c r="U52" s="4"/>
      <c r="V52" s="12">
        <f t="shared" ref="V52:V75" si="16">IF(T$12=0,0,T52/T$12)</f>
        <v>0.46669839268964269</v>
      </c>
      <c r="W52" s="4"/>
      <c r="X52" s="4">
        <f t="shared" ref="X52:X75" si="17">+P52-T52</f>
        <v>-165562.58999999997</v>
      </c>
      <c r="Y52" s="4"/>
      <c r="Z52" s="12">
        <f t="shared" ref="Z52:Z75" si="18">IF(T52=0,0,X52/T52)</f>
        <v>-0.2134655016019783</v>
      </c>
    </row>
    <row r="53" spans="1:26" s="24" customFormat="1" hidden="1" outlineLevel="1" x14ac:dyDescent="0.25">
      <c r="A53" s="44"/>
      <c r="B53" s="11" t="str">
        <f>CONCATENATE("          ", "5025", " - ", "PURCHASES @ COST-TEST FORMS")</f>
        <v xml:space="preserve">          5025 - PURCHASES @ COST-TEST FORMS</v>
      </c>
      <c r="C53" s="11"/>
      <c r="D53" s="2"/>
      <c r="E53" s="2"/>
      <c r="F53" s="19">
        <f t="shared" si="11"/>
        <v>0</v>
      </c>
      <c r="G53" s="2"/>
      <c r="H53" s="2"/>
      <c r="I53" s="2"/>
      <c r="J53" s="19">
        <f t="shared" si="12"/>
        <v>0</v>
      </c>
      <c r="K53" s="2"/>
      <c r="L53" s="2">
        <f t="shared" si="13"/>
        <v>0</v>
      </c>
      <c r="M53" s="2"/>
      <c r="N53" s="19">
        <f t="shared" si="14"/>
        <v>0</v>
      </c>
      <c r="O53" s="11"/>
      <c r="P53" s="2">
        <v>599.29</v>
      </c>
      <c r="Q53" s="2"/>
      <c r="R53" s="19">
        <f t="shared" si="15"/>
        <v>5.8345347973207183E-4</v>
      </c>
      <c r="S53" s="2"/>
      <c r="T53" s="2"/>
      <c r="U53" s="2"/>
      <c r="V53" s="19">
        <f t="shared" si="16"/>
        <v>0</v>
      </c>
      <c r="W53" s="2"/>
      <c r="X53" s="2">
        <f t="shared" si="17"/>
        <v>599.29</v>
      </c>
      <c r="Y53" s="2"/>
      <c r="Z53" s="19">
        <f t="shared" si="18"/>
        <v>0</v>
      </c>
    </row>
    <row r="54" spans="1:26" s="24" customFormat="1" hidden="1" outlineLevel="1" x14ac:dyDescent="0.25">
      <c r="A54" s="44"/>
      <c r="B54" s="11" t="str">
        <f>CONCATENATE("          ", "5026", " - ", "PURCHASES @ COST-WRITING INSTR")</f>
        <v xml:space="preserve">          5026 - PURCHASES @ COST-WRITING INSTR</v>
      </c>
      <c r="C54" s="11"/>
      <c r="D54" s="2"/>
      <c r="E54" s="2"/>
      <c r="F54" s="19">
        <f t="shared" si="11"/>
        <v>0</v>
      </c>
      <c r="G54" s="2"/>
      <c r="H54" s="2"/>
      <c r="I54" s="2"/>
      <c r="J54" s="19">
        <f t="shared" si="12"/>
        <v>0</v>
      </c>
      <c r="K54" s="2"/>
      <c r="L54" s="2">
        <f t="shared" si="13"/>
        <v>0</v>
      </c>
      <c r="M54" s="2"/>
      <c r="N54" s="19">
        <f t="shared" si="14"/>
        <v>0</v>
      </c>
      <c r="O54" s="11"/>
      <c r="P54" s="2">
        <v>10</v>
      </c>
      <c r="Q54" s="2"/>
      <c r="R54" s="19">
        <f t="shared" si="15"/>
        <v>9.7357452941325878E-6</v>
      </c>
      <c r="S54" s="2"/>
      <c r="T54" s="2"/>
      <c r="U54" s="2"/>
      <c r="V54" s="19">
        <f t="shared" si="16"/>
        <v>0</v>
      </c>
      <c r="W54" s="2"/>
      <c r="X54" s="2">
        <f t="shared" si="17"/>
        <v>10</v>
      </c>
      <c r="Y54" s="2"/>
      <c r="Z54" s="19">
        <f t="shared" si="18"/>
        <v>0</v>
      </c>
    </row>
    <row r="55" spans="1:26" s="24" customFormat="1" hidden="1" outlineLevel="1" x14ac:dyDescent="0.25">
      <c r="A55" s="44"/>
      <c r="B55" s="11" t="str">
        <f>CONCATENATE("          ", "5027", " - ", "PURCHASES @ COST-SCHOOL SUPPLI")</f>
        <v xml:space="preserve">          5027 - PURCHASES @ COST-SCHOOL SUPPLI</v>
      </c>
      <c r="C55" s="11"/>
      <c r="D55" s="2"/>
      <c r="E55" s="2"/>
      <c r="F55" s="19">
        <f t="shared" si="11"/>
        <v>0</v>
      </c>
      <c r="G55" s="2"/>
      <c r="H55" s="2"/>
      <c r="I55" s="2"/>
      <c r="J55" s="19">
        <f t="shared" si="12"/>
        <v>0</v>
      </c>
      <c r="K55" s="2"/>
      <c r="L55" s="2">
        <f t="shared" si="13"/>
        <v>0</v>
      </c>
      <c r="M55" s="2"/>
      <c r="N55" s="19">
        <f t="shared" si="14"/>
        <v>0</v>
      </c>
      <c r="O55" s="11"/>
      <c r="P55" s="2">
        <v>18175.88</v>
      </c>
      <c r="Q55" s="2"/>
      <c r="R55" s="19">
        <f t="shared" si="15"/>
        <v>1.7695573817671863E-2</v>
      </c>
      <c r="S55" s="2"/>
      <c r="T55" s="2"/>
      <c r="U55" s="2"/>
      <c r="V55" s="19">
        <f t="shared" si="16"/>
        <v>0</v>
      </c>
      <c r="W55" s="2"/>
      <c r="X55" s="2">
        <f t="shared" si="17"/>
        <v>18175.88</v>
      </c>
      <c r="Y55" s="2"/>
      <c r="Z55" s="19">
        <f t="shared" si="18"/>
        <v>0</v>
      </c>
    </row>
    <row r="56" spans="1:26" s="24" customFormat="1" hidden="1" outlineLevel="1" x14ac:dyDescent="0.25">
      <c r="A56" s="44"/>
      <c r="B56" s="11" t="str">
        <f>CONCATENATE("          ", "5028", " - ", "PURCHASES @ COST-ART/TECH")</f>
        <v xml:space="preserve">          5028 - PURCHASES @ COST-ART/TECH</v>
      </c>
      <c r="C56" s="11"/>
      <c r="D56" s="2"/>
      <c r="E56" s="2"/>
      <c r="F56" s="19">
        <f t="shared" si="11"/>
        <v>0</v>
      </c>
      <c r="G56" s="2"/>
      <c r="H56" s="2"/>
      <c r="I56" s="2"/>
      <c r="J56" s="19">
        <f t="shared" si="12"/>
        <v>0</v>
      </c>
      <c r="K56" s="2"/>
      <c r="L56" s="2">
        <f t="shared" si="13"/>
        <v>0</v>
      </c>
      <c r="M56" s="2"/>
      <c r="N56" s="19">
        <f t="shared" si="14"/>
        <v>0</v>
      </c>
      <c r="O56" s="11"/>
      <c r="P56" s="2">
        <v>-83.4</v>
      </c>
      <c r="Q56" s="2"/>
      <c r="R56" s="19">
        <f t="shared" si="15"/>
        <v>-8.1196115753065783E-5</v>
      </c>
      <c r="S56" s="2"/>
      <c r="T56" s="2"/>
      <c r="U56" s="2"/>
      <c r="V56" s="19">
        <f t="shared" si="16"/>
        <v>0</v>
      </c>
      <c r="W56" s="2"/>
      <c r="X56" s="2">
        <f t="shared" si="17"/>
        <v>-83.4</v>
      </c>
      <c r="Y56" s="2"/>
      <c r="Z56" s="19">
        <f t="shared" si="18"/>
        <v>0</v>
      </c>
    </row>
    <row r="57" spans="1:26" s="24" customFormat="1" hidden="1" outlineLevel="1" x14ac:dyDescent="0.25">
      <c r="A57" s="44"/>
      <c r="B57" s="11" t="str">
        <f>CONCATENATE("          ", "5031", " - ", "PURCHASES @ COST-FOOD")</f>
        <v xml:space="preserve">          5031 - PURCHASES @ COST-FOOD</v>
      </c>
      <c r="C57" s="11"/>
      <c r="D57" s="2">
        <v>239.16</v>
      </c>
      <c r="E57" s="2"/>
      <c r="F57" s="19">
        <f t="shared" si="11"/>
        <v>1.6897077397672036E-3</v>
      </c>
      <c r="G57" s="2"/>
      <c r="H57" s="2"/>
      <c r="I57" s="2"/>
      <c r="J57" s="19">
        <f t="shared" si="12"/>
        <v>0</v>
      </c>
      <c r="K57" s="2"/>
      <c r="L57" s="2">
        <f t="shared" si="13"/>
        <v>239.16</v>
      </c>
      <c r="M57" s="2"/>
      <c r="N57" s="19">
        <f t="shared" si="14"/>
        <v>0</v>
      </c>
      <c r="O57" s="11"/>
      <c r="P57" s="2">
        <v>5072.6899999999996</v>
      </c>
      <c r="Q57" s="2"/>
      <c r="R57" s="19">
        <f t="shared" si="15"/>
        <v>4.9386417796093429E-3</v>
      </c>
      <c r="S57" s="2"/>
      <c r="T57" s="2"/>
      <c r="U57" s="2"/>
      <c r="V57" s="19">
        <f t="shared" si="16"/>
        <v>0</v>
      </c>
      <c r="W57" s="2"/>
      <c r="X57" s="2">
        <f t="shared" si="17"/>
        <v>5072.6899999999996</v>
      </c>
      <c r="Y57" s="2"/>
      <c r="Z57" s="19">
        <f t="shared" si="18"/>
        <v>0</v>
      </c>
    </row>
    <row r="58" spans="1:26" s="24" customFormat="1" hidden="1" outlineLevel="1" x14ac:dyDescent="0.25">
      <c r="A58" s="44"/>
      <c r="B58" s="11" t="str">
        <f>CONCATENATE("          ", "5040", " - ", "PURCHASES @ COST-LOGO CLOTHING")</f>
        <v xml:space="preserve">          5040 - PURCHASES @ COST-LOGO CLOTHING</v>
      </c>
      <c r="C58" s="11"/>
      <c r="D58" s="2">
        <v>34900.79</v>
      </c>
      <c r="E58" s="2"/>
      <c r="F58" s="19">
        <f t="shared" si="11"/>
        <v>0.24658026002253647</v>
      </c>
      <c r="G58" s="2"/>
      <c r="H58" s="2">
        <v>75681.440000000002</v>
      </c>
      <c r="I58" s="2"/>
      <c r="J58" s="19">
        <f t="shared" si="12"/>
        <v>0.38825115267562949</v>
      </c>
      <c r="K58" s="2"/>
      <c r="L58" s="2">
        <f t="shared" si="13"/>
        <v>-40780.65</v>
      </c>
      <c r="M58" s="2"/>
      <c r="N58" s="19">
        <f t="shared" si="14"/>
        <v>-0.53884611603584709</v>
      </c>
      <c r="O58" s="11"/>
      <c r="P58" s="2">
        <v>167371.19</v>
      </c>
      <c r="Q58" s="2"/>
      <c r="R58" s="19">
        <f t="shared" si="15"/>
        <v>0.16294832754158711</v>
      </c>
      <c r="S58" s="2"/>
      <c r="T58" s="2">
        <v>635872.93000000005</v>
      </c>
      <c r="U58" s="2"/>
      <c r="V58" s="19">
        <f t="shared" si="16"/>
        <v>0.38262393036142978</v>
      </c>
      <c r="W58" s="2"/>
      <c r="X58" s="2">
        <f t="shared" si="17"/>
        <v>-468501.74000000005</v>
      </c>
      <c r="Y58" s="2"/>
      <c r="Z58" s="19">
        <f t="shared" si="18"/>
        <v>-0.73678516240658332</v>
      </c>
    </row>
    <row r="59" spans="1:26" s="24" customFormat="1" hidden="1" outlineLevel="1" x14ac:dyDescent="0.25">
      <c r="A59" s="44"/>
      <c r="B59" s="11" t="str">
        <f>CONCATENATE("          ", "5041", " - ", "PURCHASES @ COST-LOGO GIFTS")</f>
        <v xml:space="preserve">          5041 - PURCHASES @ COST-LOGO GIFTS</v>
      </c>
      <c r="C59" s="11"/>
      <c r="D59" s="2">
        <v>8769.24</v>
      </c>
      <c r="E59" s="2"/>
      <c r="F59" s="19">
        <f t="shared" si="11"/>
        <v>6.195623306521221E-2</v>
      </c>
      <c r="G59" s="2"/>
      <c r="H59" s="2">
        <v>13138.03</v>
      </c>
      <c r="I59" s="2"/>
      <c r="J59" s="19">
        <f t="shared" si="12"/>
        <v>6.7399025327570417E-2</v>
      </c>
      <c r="K59" s="2"/>
      <c r="L59" s="2">
        <f t="shared" si="13"/>
        <v>-4368.7900000000009</v>
      </c>
      <c r="M59" s="2"/>
      <c r="N59" s="19">
        <f t="shared" si="14"/>
        <v>-0.33253006729319395</v>
      </c>
      <c r="O59" s="11"/>
      <c r="P59" s="2">
        <v>40763.4</v>
      </c>
      <c r="Q59" s="2"/>
      <c r="R59" s="19">
        <f t="shared" si="15"/>
        <v>3.9686207972284435E-2</v>
      </c>
      <c r="S59" s="2"/>
      <c r="T59" s="2">
        <v>102762.23</v>
      </c>
      <c r="U59" s="2"/>
      <c r="V59" s="19">
        <f t="shared" si="16"/>
        <v>6.1835134789124023E-2</v>
      </c>
      <c r="W59" s="2"/>
      <c r="X59" s="2">
        <f t="shared" si="17"/>
        <v>-61998.829999999994</v>
      </c>
      <c r="Y59" s="2"/>
      <c r="Z59" s="19">
        <f t="shared" si="18"/>
        <v>-0.60332312757323381</v>
      </c>
    </row>
    <row r="60" spans="1:26" s="24" customFormat="1" hidden="1" outlineLevel="1" x14ac:dyDescent="0.25">
      <c r="A60" s="44"/>
      <c r="B60" s="11" t="str">
        <f>CONCATENATE("          ", "5042", " - ", "PURCHASES @ COST-EVERYDAY GIFT")</f>
        <v xml:space="preserve">          5042 - PURCHASES @ COST-EVERYDAY GIFT</v>
      </c>
      <c r="C60" s="11"/>
      <c r="D60" s="2">
        <v>6760.7</v>
      </c>
      <c r="E60" s="2"/>
      <c r="F60" s="19">
        <f t="shared" si="11"/>
        <v>4.7765542382689971E-2</v>
      </c>
      <c r="G60" s="2"/>
      <c r="H60" s="2">
        <v>2072.5500000000002</v>
      </c>
      <c r="I60" s="2"/>
      <c r="J60" s="19">
        <f t="shared" si="12"/>
        <v>1.0632328434526033E-2</v>
      </c>
      <c r="K60" s="2"/>
      <c r="L60" s="2">
        <f t="shared" si="13"/>
        <v>4688.1499999999996</v>
      </c>
      <c r="M60" s="2"/>
      <c r="N60" s="19">
        <f t="shared" si="14"/>
        <v>2.2620202166413352</v>
      </c>
      <c r="O60" s="11"/>
      <c r="P60" s="2">
        <v>9875.94</v>
      </c>
      <c r="Q60" s="2"/>
      <c r="R60" s="19">
        <f t="shared" si="15"/>
        <v>9.6149636380135784E-3</v>
      </c>
      <c r="S60" s="2"/>
      <c r="T60" s="2">
        <v>73897.62</v>
      </c>
      <c r="U60" s="2"/>
      <c r="V60" s="19">
        <f t="shared" si="16"/>
        <v>4.4466427920992632E-2</v>
      </c>
      <c r="W60" s="2"/>
      <c r="X60" s="2">
        <f t="shared" si="17"/>
        <v>-64021.679999999993</v>
      </c>
      <c r="Y60" s="2"/>
      <c r="Z60" s="19">
        <f t="shared" si="18"/>
        <v>-0.86635645369905012</v>
      </c>
    </row>
    <row r="61" spans="1:26" s="24" customFormat="1" hidden="1" outlineLevel="1" x14ac:dyDescent="0.25">
      <c r="A61" s="44"/>
      <c r="B61" s="11" t="str">
        <f>CONCATENATE("          ", "5043", " - ", "PURCHASES @ COST-CARDS")</f>
        <v xml:space="preserve">          5043 - PURCHASES @ COST-CARDS</v>
      </c>
      <c r="C61" s="11"/>
      <c r="D61" s="2">
        <v>8743.1</v>
      </c>
      <c r="E61" s="2"/>
      <c r="F61" s="19">
        <f t="shared" si="11"/>
        <v>6.1771549337508939E-2</v>
      </c>
      <c r="G61" s="2"/>
      <c r="H61" s="2">
        <v>3880.37</v>
      </c>
      <c r="I61" s="2"/>
      <c r="J61" s="19">
        <f t="shared" si="12"/>
        <v>1.9906573200879005E-2</v>
      </c>
      <c r="K61" s="2"/>
      <c r="L61" s="2">
        <f t="shared" si="13"/>
        <v>4862.7300000000005</v>
      </c>
      <c r="M61" s="2"/>
      <c r="N61" s="19">
        <f t="shared" si="14"/>
        <v>1.2531614253279972</v>
      </c>
      <c r="O61" s="11"/>
      <c r="P61" s="2">
        <v>55364.33</v>
      </c>
      <c r="Q61" s="2"/>
      <c r="R61" s="19">
        <f t="shared" si="15"/>
        <v>5.3901301526030364E-2</v>
      </c>
      <c r="S61" s="2"/>
      <c r="T61" s="2">
        <v>10325.94</v>
      </c>
      <c r="U61" s="2"/>
      <c r="V61" s="19">
        <f t="shared" si="16"/>
        <v>6.2134296980944003E-3</v>
      </c>
      <c r="W61" s="2"/>
      <c r="X61" s="2">
        <f t="shared" si="17"/>
        <v>45038.39</v>
      </c>
      <c r="Y61" s="2"/>
      <c r="Z61" s="19">
        <f t="shared" si="18"/>
        <v>4.3616745787792679</v>
      </c>
    </row>
    <row r="62" spans="1:26" s="24" customFormat="1" hidden="1" outlineLevel="1" x14ac:dyDescent="0.25">
      <c r="A62" s="44"/>
      <c r="B62" s="11" t="str">
        <f>CONCATENATE("          ", "5044", " - ", "PURCHASES @ COST-ACCESSORIES")</f>
        <v xml:space="preserve">          5044 - PURCHASES @ COST-ACCESSORIES</v>
      </c>
      <c r="C62" s="11"/>
      <c r="D62" s="2">
        <v>782.5</v>
      </c>
      <c r="E62" s="2"/>
      <c r="F62" s="19">
        <f t="shared" si="11"/>
        <v>5.5285010301381367E-3</v>
      </c>
      <c r="G62" s="2"/>
      <c r="H62" s="2">
        <v>1874.4</v>
      </c>
      <c r="I62" s="2"/>
      <c r="J62" s="19">
        <f t="shared" si="12"/>
        <v>9.6158048865772096E-3</v>
      </c>
      <c r="K62" s="2"/>
      <c r="L62" s="2">
        <f t="shared" si="13"/>
        <v>-1091.9000000000001</v>
      </c>
      <c r="M62" s="2"/>
      <c r="N62" s="19">
        <f t="shared" si="14"/>
        <v>-0.58253307725138714</v>
      </c>
      <c r="O62" s="11"/>
      <c r="P62" s="2">
        <v>1064.83</v>
      </c>
      <c r="Q62" s="2"/>
      <c r="R62" s="19">
        <f t="shared" si="15"/>
        <v>1.0366913661551203E-3</v>
      </c>
      <c r="S62" s="2"/>
      <c r="T62" s="2">
        <v>25516.400000000001</v>
      </c>
      <c r="U62" s="2"/>
      <c r="V62" s="19">
        <f t="shared" si="16"/>
        <v>1.5353987874077902E-2</v>
      </c>
      <c r="W62" s="2"/>
      <c r="X62" s="2">
        <f t="shared" si="17"/>
        <v>-24451.57</v>
      </c>
      <c r="Y62" s="2"/>
      <c r="Z62" s="19">
        <f t="shared" si="18"/>
        <v>-0.95826879967393508</v>
      </c>
    </row>
    <row r="63" spans="1:26" s="24" customFormat="1" hidden="1" outlineLevel="1" x14ac:dyDescent="0.25">
      <c r="A63" s="44"/>
      <c r="B63" s="11" t="str">
        <f>CONCATENATE("          ", "5045", " - ", "PURCHASES @ COST-SPECIAL ORDER")</f>
        <v xml:space="preserve">          5045 - PURCHASES @ COST-SPECIAL ORDER</v>
      </c>
      <c r="C63" s="11"/>
      <c r="D63" s="2">
        <v>5855.38</v>
      </c>
      <c r="E63" s="2"/>
      <c r="F63" s="19">
        <f t="shared" si="11"/>
        <v>4.1369296309073794E-2</v>
      </c>
      <c r="G63" s="2"/>
      <c r="H63" s="2">
        <v>6862.4</v>
      </c>
      <c r="I63" s="2"/>
      <c r="J63" s="19">
        <f t="shared" si="12"/>
        <v>3.5204598513469611E-2</v>
      </c>
      <c r="K63" s="2"/>
      <c r="L63" s="2">
        <f t="shared" si="13"/>
        <v>-1007.0199999999995</v>
      </c>
      <c r="M63" s="2"/>
      <c r="N63" s="19">
        <f t="shared" si="14"/>
        <v>-0.14674457915598035</v>
      </c>
      <c r="O63" s="11"/>
      <c r="P63" s="2">
        <v>93464.38</v>
      </c>
      <c r="Q63" s="2"/>
      <c r="R63" s="19">
        <f t="shared" si="15"/>
        <v>9.0994539775401992E-2</v>
      </c>
      <c r="S63" s="2"/>
      <c r="T63" s="2">
        <v>49014.43</v>
      </c>
      <c r="U63" s="2"/>
      <c r="V63" s="19">
        <f t="shared" si="16"/>
        <v>2.9493461611937423E-2</v>
      </c>
      <c r="W63" s="2"/>
      <c r="X63" s="2">
        <f t="shared" si="17"/>
        <v>44449.950000000004</v>
      </c>
      <c r="Y63" s="2"/>
      <c r="Z63" s="19">
        <f t="shared" si="18"/>
        <v>0.90687477136835015</v>
      </c>
    </row>
    <row r="64" spans="1:26" s="24" customFormat="1" hidden="1" outlineLevel="1" x14ac:dyDescent="0.25">
      <c r="A64" s="44"/>
      <c r="B64" s="11" t="str">
        <f>CONCATENATE("          ", "5200", " - ", "PURCHASES OFFSET")</f>
        <v xml:space="preserve">          5200 - PURCHASES OFFSET</v>
      </c>
      <c r="C64" s="11"/>
      <c r="D64" s="2">
        <v>-68791.67</v>
      </c>
      <c r="E64" s="2"/>
      <c r="F64" s="19">
        <f t="shared" si="11"/>
        <v>-0.48602532710533258</v>
      </c>
      <c r="G64" s="2"/>
      <c r="H64" s="2">
        <v>-104949</v>
      </c>
      <c r="I64" s="2"/>
      <c r="J64" s="19">
        <f t="shared" si="12"/>
        <v>-0.5383958104147416</v>
      </c>
      <c r="K64" s="2"/>
      <c r="L64" s="2">
        <f t="shared" si="13"/>
        <v>36157.33</v>
      </c>
      <c r="M64" s="2"/>
      <c r="N64" s="19">
        <f t="shared" si="14"/>
        <v>-0.34452286348607419</v>
      </c>
      <c r="O64" s="11"/>
      <c r="P64" s="2">
        <v>-409123.33</v>
      </c>
      <c r="Q64" s="2"/>
      <c r="R64" s="19">
        <f t="shared" si="15"/>
        <v>-0.39831205347673537</v>
      </c>
      <c r="S64" s="2"/>
      <c r="T64" s="2">
        <v>-929771</v>
      </c>
      <c r="U64" s="2"/>
      <c r="V64" s="19">
        <f t="shared" si="16"/>
        <v>-0.55947126787749379</v>
      </c>
      <c r="W64" s="2"/>
      <c r="X64" s="2">
        <f t="shared" si="17"/>
        <v>520647.67</v>
      </c>
      <c r="Y64" s="2"/>
      <c r="Z64" s="19">
        <f t="shared" si="18"/>
        <v>-0.55997409039430135</v>
      </c>
    </row>
    <row r="65" spans="1:26" s="24" customFormat="1" hidden="1" outlineLevel="1" x14ac:dyDescent="0.25">
      <c r="A65" s="44"/>
      <c r="B65" s="11" t="str">
        <f>CONCATENATE("          ", "5300", " - ", "COG$ OFFSET")</f>
        <v xml:space="preserve">          5300 - COG$ OFFSET</v>
      </c>
      <c r="C65" s="11"/>
      <c r="D65" s="2">
        <v>75364</v>
      </c>
      <c r="E65" s="2"/>
      <c r="F65" s="19">
        <f t="shared" si="11"/>
        <v>0.53246000208987931</v>
      </c>
      <c r="G65" s="2"/>
      <c r="H65" s="2">
        <v>91102</v>
      </c>
      <c r="I65" s="2"/>
      <c r="J65" s="19">
        <f t="shared" si="12"/>
        <v>0.46735971872436882</v>
      </c>
      <c r="K65" s="2"/>
      <c r="L65" s="2">
        <f t="shared" si="13"/>
        <v>-15738</v>
      </c>
      <c r="M65" s="2"/>
      <c r="N65" s="19">
        <f t="shared" si="14"/>
        <v>-0.17275142148361178</v>
      </c>
      <c r="O65" s="11"/>
      <c r="P65" s="2">
        <v>609115</v>
      </c>
      <c r="Q65" s="2"/>
      <c r="R65" s="19">
        <f t="shared" si="15"/>
        <v>0.5930188494835571</v>
      </c>
      <c r="S65" s="2"/>
      <c r="T65" s="2">
        <v>775567</v>
      </c>
      <c r="U65" s="2"/>
      <c r="V65" s="19">
        <f t="shared" si="16"/>
        <v>0.46668206774995591</v>
      </c>
      <c r="W65" s="2"/>
      <c r="X65" s="2">
        <f t="shared" si="17"/>
        <v>-166452</v>
      </c>
      <c r="Y65" s="2"/>
      <c r="Z65" s="19">
        <f t="shared" si="18"/>
        <v>-0.21461975561105617</v>
      </c>
    </row>
    <row r="66" spans="1:26" s="24" customFormat="1" hidden="1" outlineLevel="1" x14ac:dyDescent="0.25">
      <c r="A66" s="44"/>
      <c r="B66" s="11" t="str">
        <f>CONCATENATE("          ", "5500", " - ", "FREIGHT-IN")</f>
        <v xml:space="preserve">          5500 - FREIGHT-IN</v>
      </c>
      <c r="C66" s="11"/>
      <c r="D66" s="2"/>
      <c r="E66" s="2"/>
      <c r="F66" s="19">
        <f t="shared" si="11"/>
        <v>0</v>
      </c>
      <c r="G66" s="2"/>
      <c r="H66" s="2"/>
      <c r="I66" s="2"/>
      <c r="J66" s="19">
        <f t="shared" si="12"/>
        <v>0</v>
      </c>
      <c r="K66" s="2"/>
      <c r="L66" s="2">
        <f t="shared" si="13"/>
        <v>0</v>
      </c>
      <c r="M66" s="2"/>
      <c r="N66" s="19">
        <f t="shared" si="14"/>
        <v>0</v>
      </c>
      <c r="O66" s="11"/>
      <c r="P66" s="2"/>
      <c r="Q66" s="2"/>
      <c r="R66" s="19">
        <f t="shared" si="15"/>
        <v>0</v>
      </c>
      <c r="S66" s="2"/>
      <c r="T66" s="2">
        <v>29.23</v>
      </c>
      <c r="U66" s="2"/>
      <c r="V66" s="19">
        <f t="shared" si="16"/>
        <v>1.7588573057300287E-5</v>
      </c>
      <c r="W66" s="2"/>
      <c r="X66" s="2">
        <f t="shared" si="17"/>
        <v>-29.23</v>
      </c>
      <c r="Y66" s="2"/>
      <c r="Z66" s="19">
        <f t="shared" si="18"/>
        <v>-1</v>
      </c>
    </row>
    <row r="67" spans="1:26" s="24" customFormat="1" hidden="1" outlineLevel="1" x14ac:dyDescent="0.25">
      <c r="A67" s="44"/>
      <c r="B67" s="11" t="str">
        <f>CONCATENATE("          ", "5525", " - ", "FREIGHT-IN-TEST FORMS")</f>
        <v xml:space="preserve">          5525 - FREIGHT-IN-TEST FORMS</v>
      </c>
      <c r="C67" s="11"/>
      <c r="D67" s="2"/>
      <c r="E67" s="2"/>
      <c r="F67" s="19">
        <f t="shared" si="11"/>
        <v>0</v>
      </c>
      <c r="G67" s="2"/>
      <c r="H67" s="2"/>
      <c r="I67" s="2"/>
      <c r="J67" s="19">
        <f t="shared" si="12"/>
        <v>0</v>
      </c>
      <c r="K67" s="2"/>
      <c r="L67" s="2">
        <f t="shared" si="13"/>
        <v>0</v>
      </c>
      <c r="M67" s="2"/>
      <c r="N67" s="19">
        <f t="shared" si="14"/>
        <v>0</v>
      </c>
      <c r="O67" s="11"/>
      <c r="P67" s="2">
        <v>48.14</v>
      </c>
      <c r="Q67" s="2"/>
      <c r="R67" s="19">
        <f t="shared" si="15"/>
        <v>4.6867877845954277E-5</v>
      </c>
      <c r="S67" s="2"/>
      <c r="T67" s="2"/>
      <c r="U67" s="2"/>
      <c r="V67" s="19">
        <f t="shared" si="16"/>
        <v>0</v>
      </c>
      <c r="W67" s="2"/>
      <c r="X67" s="2">
        <f t="shared" si="17"/>
        <v>48.14</v>
      </c>
      <c r="Y67" s="2"/>
      <c r="Z67" s="19">
        <f t="shared" si="18"/>
        <v>0</v>
      </c>
    </row>
    <row r="68" spans="1:26" s="24" customFormat="1" hidden="1" outlineLevel="1" x14ac:dyDescent="0.25">
      <c r="A68" s="44"/>
      <c r="B68" s="11" t="str">
        <f>CONCATENATE("          ", "5527", " - ", "FREIGHT-IN-SCHOOL SUPPLIES")</f>
        <v xml:space="preserve">          5527 - FREIGHT-IN-SCHOOL SUPPLIES</v>
      </c>
      <c r="C68" s="11"/>
      <c r="D68" s="2"/>
      <c r="E68" s="2"/>
      <c r="F68" s="19">
        <f t="shared" si="11"/>
        <v>0</v>
      </c>
      <c r="G68" s="2"/>
      <c r="H68" s="2"/>
      <c r="I68" s="2"/>
      <c r="J68" s="19">
        <f t="shared" si="12"/>
        <v>0</v>
      </c>
      <c r="K68" s="2"/>
      <c r="L68" s="2">
        <f t="shared" si="13"/>
        <v>0</v>
      </c>
      <c r="M68" s="2"/>
      <c r="N68" s="19">
        <f t="shared" si="14"/>
        <v>0</v>
      </c>
      <c r="O68" s="11"/>
      <c r="P68" s="2">
        <v>177.5</v>
      </c>
      <c r="Q68" s="2"/>
      <c r="R68" s="19">
        <f t="shared" si="15"/>
        <v>1.7280947897085344E-4</v>
      </c>
      <c r="S68" s="2"/>
      <c r="T68" s="2"/>
      <c r="U68" s="2"/>
      <c r="V68" s="19">
        <f t="shared" si="16"/>
        <v>0</v>
      </c>
      <c r="W68" s="2"/>
      <c r="X68" s="2">
        <f t="shared" si="17"/>
        <v>177.5</v>
      </c>
      <c r="Y68" s="2"/>
      <c r="Z68" s="19">
        <f t="shared" si="18"/>
        <v>0</v>
      </c>
    </row>
    <row r="69" spans="1:26" s="24" customFormat="1" hidden="1" outlineLevel="1" x14ac:dyDescent="0.25">
      <c r="A69" s="44"/>
      <c r="B69" s="11" t="str">
        <f>CONCATENATE("          ", "5528", " - ", "FREIGHT-IN-ART/TECH")</f>
        <v xml:space="preserve">          5528 - FREIGHT-IN-ART/TECH</v>
      </c>
      <c r="C69" s="11"/>
      <c r="D69" s="2">
        <v>30.01</v>
      </c>
      <c r="E69" s="2"/>
      <c r="F69" s="19">
        <f t="shared" si="11"/>
        <v>2.1202596282996229E-4</v>
      </c>
      <c r="G69" s="2"/>
      <c r="H69" s="2"/>
      <c r="I69" s="2"/>
      <c r="J69" s="19">
        <f t="shared" si="12"/>
        <v>0</v>
      </c>
      <c r="K69" s="2"/>
      <c r="L69" s="2">
        <f t="shared" si="13"/>
        <v>30.01</v>
      </c>
      <c r="M69" s="2"/>
      <c r="N69" s="19">
        <f t="shared" si="14"/>
        <v>0</v>
      </c>
      <c r="O69" s="11"/>
      <c r="P69" s="2">
        <v>33.950000000000003</v>
      </c>
      <c r="Q69" s="2"/>
      <c r="R69" s="19">
        <f t="shared" si="15"/>
        <v>3.3052855273580136E-5</v>
      </c>
      <c r="S69" s="2"/>
      <c r="T69" s="2"/>
      <c r="U69" s="2"/>
      <c r="V69" s="19">
        <f t="shared" si="16"/>
        <v>0</v>
      </c>
      <c r="W69" s="2"/>
      <c r="X69" s="2">
        <f t="shared" si="17"/>
        <v>33.950000000000003</v>
      </c>
      <c r="Y69" s="2"/>
      <c r="Z69" s="19">
        <f t="shared" si="18"/>
        <v>0</v>
      </c>
    </row>
    <row r="70" spans="1:26" s="24" customFormat="1" hidden="1" outlineLevel="1" x14ac:dyDescent="0.25">
      <c r="A70" s="44"/>
      <c r="B70" s="11" t="str">
        <f>CONCATENATE("          ", "5540", " - ", "FREIGHT-IN-LOGO CLOTHING")</f>
        <v xml:space="preserve">          5540 - FREIGHT-IN-LOGO CLOTHING</v>
      </c>
      <c r="C70" s="11"/>
      <c r="D70" s="2">
        <v>347.67</v>
      </c>
      <c r="E70" s="2"/>
      <c r="F70" s="19">
        <f t="shared" si="11"/>
        <v>2.4563500998698098E-3</v>
      </c>
      <c r="G70" s="2"/>
      <c r="H70" s="2">
        <v>1400.5</v>
      </c>
      <c r="I70" s="2"/>
      <c r="J70" s="19">
        <f t="shared" si="12"/>
        <v>7.1846642891866099E-3</v>
      </c>
      <c r="K70" s="2"/>
      <c r="L70" s="2">
        <f t="shared" si="13"/>
        <v>-1052.83</v>
      </c>
      <c r="M70" s="2"/>
      <c r="N70" s="19">
        <f t="shared" si="14"/>
        <v>-0.75175294537665116</v>
      </c>
      <c r="O70" s="11"/>
      <c r="P70" s="2">
        <v>5790.63</v>
      </c>
      <c r="Q70" s="2"/>
      <c r="R70" s="19">
        <f t="shared" si="15"/>
        <v>5.6376098772562989E-3</v>
      </c>
      <c r="S70" s="2"/>
      <c r="T70" s="2">
        <v>25677.89</v>
      </c>
      <c r="U70" s="2"/>
      <c r="V70" s="19">
        <f t="shared" si="16"/>
        <v>1.5451161280270969E-2</v>
      </c>
      <c r="W70" s="2"/>
      <c r="X70" s="2">
        <f t="shared" si="17"/>
        <v>-19887.259999999998</v>
      </c>
      <c r="Y70" s="2"/>
      <c r="Z70" s="19">
        <f t="shared" si="18"/>
        <v>-0.77448964848747304</v>
      </c>
    </row>
    <row r="71" spans="1:26" s="24" customFormat="1" hidden="1" outlineLevel="1" x14ac:dyDescent="0.25">
      <c r="A71" s="44"/>
      <c r="B71" s="11" t="str">
        <f>CONCATENATE("          ", "5541", " - ", "FREIGHT-IN-LOGO GIFTS")</f>
        <v xml:space="preserve">          5541 - FREIGHT-IN-LOGO GIFTS</v>
      </c>
      <c r="C71" s="11"/>
      <c r="D71" s="2">
        <v>182.93</v>
      </c>
      <c r="E71" s="2"/>
      <c r="F71" s="19">
        <f t="shared" si="11"/>
        <v>1.2924328350711431E-3</v>
      </c>
      <c r="G71" s="2"/>
      <c r="H71" s="2">
        <v>24.8</v>
      </c>
      <c r="I71" s="2"/>
      <c r="J71" s="19">
        <f t="shared" si="12"/>
        <v>1.2722575820908814E-4</v>
      </c>
      <c r="K71" s="2"/>
      <c r="L71" s="2">
        <f t="shared" si="13"/>
        <v>158.13</v>
      </c>
      <c r="M71" s="2"/>
      <c r="N71" s="19">
        <f t="shared" si="14"/>
        <v>6.3762096774193546</v>
      </c>
      <c r="O71" s="11"/>
      <c r="P71" s="2">
        <v>1702.87</v>
      </c>
      <c r="Q71" s="2"/>
      <c r="R71" s="19">
        <f t="shared" si="15"/>
        <v>1.6578708589019559E-3</v>
      </c>
      <c r="S71" s="2"/>
      <c r="T71" s="2">
        <v>3587.57</v>
      </c>
      <c r="U71" s="2"/>
      <c r="V71" s="19">
        <f t="shared" si="16"/>
        <v>2.1587491290858294E-3</v>
      </c>
      <c r="W71" s="2"/>
      <c r="X71" s="2">
        <f t="shared" si="17"/>
        <v>-1884.7000000000003</v>
      </c>
      <c r="Y71" s="2"/>
      <c r="Z71" s="19">
        <f t="shared" si="18"/>
        <v>-0.52534166580721775</v>
      </c>
    </row>
    <row r="72" spans="1:26" s="24" customFormat="1" hidden="1" outlineLevel="1" x14ac:dyDescent="0.25">
      <c r="A72" s="44"/>
      <c r="B72" s="11" t="str">
        <f>CONCATENATE("          ", "5542", " - ", "FREIGHT-IN-EVERYDAY GIFTS")</f>
        <v xml:space="preserve">          5542 - FREIGHT-IN-EVERYDAY GIFTS</v>
      </c>
      <c r="C72" s="11"/>
      <c r="D72" s="2">
        <v>187.38</v>
      </c>
      <c r="E72" s="2"/>
      <c r="F72" s="19">
        <f t="shared" si="11"/>
        <v>1.3238728728783183E-3</v>
      </c>
      <c r="G72" s="2"/>
      <c r="H72" s="2"/>
      <c r="I72" s="2"/>
      <c r="J72" s="19">
        <f t="shared" si="12"/>
        <v>0</v>
      </c>
      <c r="K72" s="2"/>
      <c r="L72" s="2">
        <f t="shared" si="13"/>
        <v>187.38</v>
      </c>
      <c r="M72" s="2"/>
      <c r="N72" s="19">
        <f t="shared" si="14"/>
        <v>0</v>
      </c>
      <c r="O72" s="11"/>
      <c r="P72" s="2">
        <v>383.93</v>
      </c>
      <c r="Q72" s="2"/>
      <c r="R72" s="19">
        <f t="shared" si="15"/>
        <v>3.7378446907763242E-4</v>
      </c>
      <c r="S72" s="2"/>
      <c r="T72" s="2">
        <v>1708.33</v>
      </c>
      <c r="U72" s="2"/>
      <c r="V72" s="19">
        <f t="shared" si="16"/>
        <v>1.0279537123153539E-3</v>
      </c>
      <c r="W72" s="2"/>
      <c r="X72" s="2">
        <f t="shared" si="17"/>
        <v>-1324.3999999999999</v>
      </c>
      <c r="Y72" s="2"/>
      <c r="Z72" s="19">
        <f t="shared" si="18"/>
        <v>-0.77526004928790104</v>
      </c>
    </row>
    <row r="73" spans="1:26" s="24" customFormat="1" hidden="1" outlineLevel="1" x14ac:dyDescent="0.25">
      <c r="A73" s="44"/>
      <c r="B73" s="11" t="str">
        <f>CONCATENATE("          ", "5543", " - ", "FREIGHT-IN-CARDS")</f>
        <v xml:space="preserve">          5543 - FREIGHT-IN-CARDS</v>
      </c>
      <c r="C73" s="11"/>
      <c r="D73" s="2">
        <v>1992.81</v>
      </c>
      <c r="E73" s="2"/>
      <c r="F73" s="19">
        <f t="shared" si="11"/>
        <v>1.4079555447756652E-2</v>
      </c>
      <c r="G73" s="2"/>
      <c r="H73" s="2"/>
      <c r="I73" s="2"/>
      <c r="J73" s="19">
        <f t="shared" si="12"/>
        <v>0</v>
      </c>
      <c r="K73" s="2"/>
      <c r="L73" s="2">
        <f t="shared" si="13"/>
        <v>1992.81</v>
      </c>
      <c r="M73" s="2"/>
      <c r="N73" s="19">
        <f t="shared" si="14"/>
        <v>0</v>
      </c>
      <c r="O73" s="11"/>
      <c r="P73" s="2">
        <v>9110.5300000000007</v>
      </c>
      <c r="Q73" s="2"/>
      <c r="R73" s="19">
        <f t="shared" si="15"/>
        <v>8.8697799574553766E-3</v>
      </c>
      <c r="S73" s="2"/>
      <c r="T73" s="2">
        <v>121.35</v>
      </c>
      <c r="U73" s="2"/>
      <c r="V73" s="19">
        <f t="shared" si="16"/>
        <v>7.3019956910824139E-5</v>
      </c>
      <c r="W73" s="2"/>
      <c r="X73" s="2">
        <f t="shared" si="17"/>
        <v>8989.18</v>
      </c>
      <c r="Y73" s="2"/>
      <c r="Z73" s="19">
        <f t="shared" si="18"/>
        <v>74.07647301194892</v>
      </c>
    </row>
    <row r="74" spans="1:26" s="24" customFormat="1" hidden="1" outlineLevel="1" x14ac:dyDescent="0.25">
      <c r="A74" s="44"/>
      <c r="B74" s="11" t="str">
        <f>CONCATENATE("          ", "5544", " - ", "FREIGHT-IN-ACCESSORIES")</f>
        <v xml:space="preserve">          5544 - FREIGHT-IN-ACCESSORIES</v>
      </c>
      <c r="C74" s="11"/>
      <c r="D74" s="2"/>
      <c r="E74" s="2"/>
      <c r="F74" s="19">
        <f t="shared" si="11"/>
        <v>0</v>
      </c>
      <c r="G74" s="2"/>
      <c r="H74" s="2"/>
      <c r="I74" s="2"/>
      <c r="J74" s="19">
        <f t="shared" si="12"/>
        <v>0</v>
      </c>
      <c r="K74" s="2"/>
      <c r="L74" s="2">
        <f t="shared" si="13"/>
        <v>0</v>
      </c>
      <c r="M74" s="2"/>
      <c r="N74" s="19">
        <f t="shared" si="14"/>
        <v>0</v>
      </c>
      <c r="O74" s="11"/>
      <c r="P74" s="2"/>
      <c r="Q74" s="2"/>
      <c r="R74" s="19">
        <f t="shared" si="15"/>
        <v>0</v>
      </c>
      <c r="S74" s="2"/>
      <c r="T74" s="2">
        <v>442.31</v>
      </c>
      <c r="U74" s="2"/>
      <c r="V74" s="19">
        <f t="shared" si="16"/>
        <v>2.6615127434055728E-4</v>
      </c>
      <c r="W74" s="2"/>
      <c r="X74" s="2">
        <f t="shared" si="17"/>
        <v>-442.31</v>
      </c>
      <c r="Y74" s="2"/>
      <c r="Z74" s="19">
        <f t="shared" si="18"/>
        <v>-1</v>
      </c>
    </row>
    <row r="75" spans="1:26" s="24" customFormat="1" hidden="1" outlineLevel="1" x14ac:dyDescent="0.25">
      <c r="A75" s="44"/>
      <c r="B75" s="11" t="str">
        <f>CONCATENATE("          ", "5545", " - ", "FREIGHT-IN-SPECIAL ORDERS")</f>
        <v xml:space="preserve">          5545 - FREIGHT-IN-SPECIAL ORDERS</v>
      </c>
      <c r="C75" s="11"/>
      <c r="D75" s="2"/>
      <c r="E75" s="2"/>
      <c r="F75" s="19">
        <f t="shared" si="11"/>
        <v>0</v>
      </c>
      <c r="G75" s="2"/>
      <c r="H75" s="2">
        <v>14.23</v>
      </c>
      <c r="I75" s="2"/>
      <c r="J75" s="19">
        <f t="shared" si="12"/>
        <v>7.3000908843359849E-5</v>
      </c>
      <c r="K75" s="2"/>
      <c r="L75" s="2">
        <f t="shared" si="13"/>
        <v>-14.23</v>
      </c>
      <c r="M75" s="2"/>
      <c r="N75" s="19">
        <f t="shared" si="14"/>
        <v>-1</v>
      </c>
      <c r="O75" s="11"/>
      <c r="P75" s="2">
        <v>1113.79</v>
      </c>
      <c r="Q75" s="2"/>
      <c r="R75" s="19">
        <f t="shared" si="15"/>
        <v>1.0843575751151935E-3</v>
      </c>
      <c r="S75" s="2"/>
      <c r="T75" s="2">
        <v>841.9</v>
      </c>
      <c r="U75" s="2"/>
      <c r="V75" s="19">
        <f t="shared" si="16"/>
        <v>5.0659663554365752E-4</v>
      </c>
      <c r="W75" s="2"/>
      <c r="X75" s="2">
        <f t="shared" si="17"/>
        <v>271.89</v>
      </c>
      <c r="Y75" s="2"/>
      <c r="Z75" s="19">
        <f t="shared" si="18"/>
        <v>0.32294809359781446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6</v>
      </c>
      <c r="C77" s="28"/>
      <c r="D77" s="20">
        <f>D12-D52</f>
        <v>66175.270000000033</v>
      </c>
      <c r="E77" s="14"/>
      <c r="F77" s="22">
        <f>IF(D$12=0,0,D77/D$12)</f>
        <v>0.4675399979101208</v>
      </c>
      <c r="G77" s="14"/>
      <c r="H77" s="20">
        <f>H12-H52</f>
        <v>103827.36000000003</v>
      </c>
      <c r="I77" s="14"/>
      <c r="J77" s="22">
        <f>IF(H$12=0,0,H77/H$12)</f>
        <v>0.53264171769548196</v>
      </c>
      <c r="K77" s="15"/>
      <c r="L77" s="20">
        <f>+D77-H77</f>
        <v>-37652.089999999997</v>
      </c>
      <c r="M77" s="15"/>
      <c r="N77" s="22">
        <f>IF(H77=0,0,L77/H77)</f>
        <v>-0.36264131150016704</v>
      </c>
      <c r="O77" s="29"/>
      <c r="P77" s="20">
        <f>P12-P52</f>
        <v>417111.19000000006</v>
      </c>
      <c r="Q77" s="14"/>
      <c r="R77" s="22">
        <f>IF(P$12=0,0,P77/P$12)</f>
        <v>0.40608883051725442</v>
      </c>
      <c r="S77" s="14"/>
      <c r="T77" s="20">
        <f>T12-T52</f>
        <v>886280.30999999994</v>
      </c>
      <c r="U77" s="14"/>
      <c r="V77" s="22">
        <f>IF(T$12=0,0,T77/T$12)</f>
        <v>0.53330160731035736</v>
      </c>
      <c r="W77" s="15"/>
      <c r="X77" s="20">
        <f>+P77-T77</f>
        <v>-469169.11999999988</v>
      </c>
      <c r="Y77" s="15"/>
      <c r="Z77" s="22">
        <f>IF(T77=0,0,X77/T77)</f>
        <v>-0.52936877273060479</v>
      </c>
    </row>
    <row r="78" spans="1:26" x14ac:dyDescent="0.25">
      <c r="A78" s="9"/>
      <c r="B78" s="10"/>
      <c r="C78" s="9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9" t="s">
        <v>9</v>
      </c>
      <c r="C79" s="10"/>
      <c r="D79" s="21">
        <f>SUM(OSRRefD22x_0)</f>
        <v>56259.05999999999</v>
      </c>
      <c r="E79" s="21"/>
      <c r="F79" s="35">
        <f t="shared" ref="F79:F88" si="19">IF(D$12=0,0,D79/D$12)</f>
        <v>0.39748021874070694</v>
      </c>
      <c r="G79" s="21"/>
      <c r="H79" s="21">
        <f>SUM(OSRRefH22x_0)</f>
        <v>61051.05</v>
      </c>
      <c r="I79" s="21"/>
      <c r="J79" s="35">
        <f t="shared" ref="J79:J88" si="20">IF(H$12=0,0,H79/H$12)</f>
        <v>0.3131962147464093</v>
      </c>
      <c r="K79" s="4"/>
      <c r="L79" s="21">
        <f t="shared" ref="L79:L88" si="21">+D79-H79</f>
        <v>-4791.9900000000125</v>
      </c>
      <c r="M79" s="4"/>
      <c r="N79" s="35">
        <f t="shared" ref="N79:N88" si="22">IF(H79=0,0,L79/H79)</f>
        <v>-7.8491524715791336E-2</v>
      </c>
      <c r="O79" s="10"/>
      <c r="P79" s="21">
        <f>SUM(OSRRefP22x_0)</f>
        <v>331917.58</v>
      </c>
      <c r="Q79" s="21"/>
      <c r="R79" s="35">
        <f t="shared" ref="R79:R88" si="23">IF(P$12=0,0,P79/P$12)</f>
        <v>0.32314650175248766</v>
      </c>
      <c r="S79" s="21"/>
      <c r="T79" s="21">
        <f>SUM(OSRRefT22x_0)</f>
        <v>421966.18999999994</v>
      </c>
      <c r="U79" s="21"/>
      <c r="V79" s="35">
        <f t="shared" ref="V79:V88" si="24">IF(T$12=0,0,T79/T$12)</f>
        <v>0.25390978995982388</v>
      </c>
      <c r="W79" s="4"/>
      <c r="X79" s="21">
        <f t="shared" ref="X79:X88" si="25">+P79-T79</f>
        <v>-90048.609999999928</v>
      </c>
      <c r="Y79" s="4"/>
      <c r="Z79" s="35">
        <f t="shared" ref="Z79:Z88" si="26">IF(T79=0,0,X79/T79)</f>
        <v>-0.21340242923254096</v>
      </c>
    </row>
    <row r="80" spans="1:26" s="26" customFormat="1" outlineLevel="1" collapsed="1" x14ac:dyDescent="0.25">
      <c r="A80" s="27"/>
      <c r="B80" s="13" t="str">
        <f>CONCATENATE("     ","*Benefits                                         ")</f>
        <v xml:space="preserve">     *Benefits                                         </v>
      </c>
      <c r="C80" s="13"/>
      <c r="D80" s="1">
        <f>SUM(OSRRefD22_0x_0)</f>
        <v>9718.3900000000012</v>
      </c>
      <c r="E80" s="1"/>
      <c r="F80" s="5">
        <f t="shared" si="19"/>
        <v>6.866214584828649E-2</v>
      </c>
      <c r="G80" s="1"/>
      <c r="H80" s="1">
        <f>SUM(OSRRefH22_0x_0)</f>
        <v>4847.47</v>
      </c>
      <c r="I80" s="1"/>
      <c r="J80" s="5">
        <f t="shared" si="20"/>
        <v>2.4867864763943891E-2</v>
      </c>
      <c r="K80" s="1"/>
      <c r="L80" s="1">
        <f t="shared" si="21"/>
        <v>4870.920000000001</v>
      </c>
      <c r="M80" s="1"/>
      <c r="N80" s="5">
        <f t="shared" si="22"/>
        <v>1.004837575064931</v>
      </c>
      <c r="O80" s="13"/>
      <c r="P80" s="1">
        <f>SUM(OSRRefP22_0x_0)</f>
        <v>71571.869999999981</v>
      </c>
      <c r="Q80" s="1"/>
      <c r="R80" s="5">
        <f t="shared" si="23"/>
        <v>6.9680549654476912E-2</v>
      </c>
      <c r="S80" s="1"/>
      <c r="T80" s="1">
        <f>SUM(OSRRefT22_0x_0)</f>
        <v>45130.11</v>
      </c>
      <c r="U80" s="1"/>
      <c r="V80" s="5">
        <f t="shared" si="24"/>
        <v>2.715614905299344E-2</v>
      </c>
      <c r="W80" s="1"/>
      <c r="X80" s="1">
        <f t="shared" si="25"/>
        <v>26441.75999999998</v>
      </c>
      <c r="Y80" s="1"/>
      <c r="Z80" s="5">
        <f t="shared" si="26"/>
        <v>0.58590063263750036</v>
      </c>
    </row>
    <row r="81" spans="1:26" s="24" customFormat="1" hidden="1" outlineLevel="2" x14ac:dyDescent="0.25">
      <c r="A81" s="25"/>
      <c r="B81" s="11" t="str">
        <f>CONCATENATE("          ", "6111", " - ", "F.I.C.A.")</f>
        <v xml:space="preserve">          6111 - F.I.C.A.</v>
      </c>
      <c r="C81" s="11"/>
      <c r="D81" s="6">
        <v>1873.4</v>
      </c>
      <c r="E81" s="2"/>
      <c r="F81" s="7">
        <f t="shared" si="19"/>
        <v>1.3235902657969055E-2</v>
      </c>
      <c r="G81" s="2"/>
      <c r="H81" s="6">
        <v>797.76</v>
      </c>
      <c r="I81" s="2"/>
      <c r="J81" s="7">
        <f t="shared" si="20"/>
        <v>4.0925653576162156E-3</v>
      </c>
      <c r="K81" s="2"/>
      <c r="L81" s="6">
        <f t="shared" si="21"/>
        <v>1075.6400000000001</v>
      </c>
      <c r="M81" s="2"/>
      <c r="N81" s="7">
        <f t="shared" si="22"/>
        <v>1.3483253108704374</v>
      </c>
      <c r="O81" s="11"/>
      <c r="P81" s="6">
        <v>16275.06</v>
      </c>
      <c r="Q81" s="2"/>
      <c r="R81" s="7">
        <f t="shared" si="23"/>
        <v>1.5844983880672552E-2</v>
      </c>
      <c r="S81" s="2"/>
      <c r="T81" s="6">
        <v>9375.93</v>
      </c>
      <c r="U81" s="2"/>
      <c r="V81" s="7">
        <f t="shared" si="24"/>
        <v>5.6417800131759654E-3</v>
      </c>
      <c r="W81" s="2"/>
      <c r="X81" s="6">
        <f t="shared" si="25"/>
        <v>6899.1299999999992</v>
      </c>
      <c r="Y81" s="2"/>
      <c r="Z81" s="7">
        <f t="shared" si="26"/>
        <v>0.7358342052468394</v>
      </c>
    </row>
    <row r="82" spans="1:26" s="24" customFormat="1" hidden="1" outlineLevel="2" x14ac:dyDescent="0.25">
      <c r="A82" s="25"/>
      <c r="B82" s="11" t="str">
        <f>CONCATENATE("          ", "6112", " - ", "COMPENSATION INSURANCE")</f>
        <v xml:space="preserve">          6112 - COMPENSATION INSURANCE</v>
      </c>
      <c r="C82" s="11"/>
      <c r="D82" s="6">
        <v>284.89</v>
      </c>
      <c r="E82" s="2"/>
      <c r="F82" s="7">
        <f t="shared" si="19"/>
        <v>2.012798285592401E-3</v>
      </c>
      <c r="G82" s="2"/>
      <c r="H82" s="6">
        <v>375.63</v>
      </c>
      <c r="I82" s="2"/>
      <c r="J82" s="7">
        <f t="shared" si="20"/>
        <v>1.9270085304870877E-3</v>
      </c>
      <c r="K82" s="2"/>
      <c r="L82" s="6">
        <f t="shared" si="21"/>
        <v>-90.740000000000009</v>
      </c>
      <c r="M82" s="2"/>
      <c r="N82" s="7">
        <f t="shared" si="22"/>
        <v>-0.24156749993344517</v>
      </c>
      <c r="O82" s="11"/>
      <c r="P82" s="6">
        <v>5977</v>
      </c>
      <c r="Q82" s="2"/>
      <c r="R82" s="7">
        <f t="shared" si="23"/>
        <v>5.8190549623030477E-3</v>
      </c>
      <c r="S82" s="2"/>
      <c r="T82" s="6">
        <v>3023.42</v>
      </c>
      <c r="U82" s="2"/>
      <c r="V82" s="7">
        <f t="shared" si="24"/>
        <v>1.819283050047993E-3</v>
      </c>
      <c r="W82" s="2"/>
      <c r="X82" s="6">
        <f t="shared" si="25"/>
        <v>2953.58</v>
      </c>
      <c r="Y82" s="2"/>
      <c r="Z82" s="7">
        <f t="shared" si="26"/>
        <v>0.97690033141277088</v>
      </c>
    </row>
    <row r="83" spans="1:26" s="24" customFormat="1" hidden="1" outlineLevel="2" x14ac:dyDescent="0.25">
      <c r="A83" s="25"/>
      <c r="B83" s="11" t="str">
        <f>CONCATENATE("          ", "6113", " - ", "GROUP INSURANCE")</f>
        <v xml:space="preserve">          6113 - GROUP INSURANCE</v>
      </c>
      <c r="C83" s="11"/>
      <c r="D83" s="6">
        <v>2823.95</v>
      </c>
      <c r="E83" s="2"/>
      <c r="F83" s="7">
        <f t="shared" si="19"/>
        <v>1.9951706688892769E-2</v>
      </c>
      <c r="G83" s="2"/>
      <c r="H83" s="6">
        <v>1427.92</v>
      </c>
      <c r="I83" s="2"/>
      <c r="J83" s="7">
        <f t="shared" si="20"/>
        <v>7.3253308331419813E-3</v>
      </c>
      <c r="K83" s="2"/>
      <c r="L83" s="6">
        <f t="shared" si="21"/>
        <v>1396.0299999999997</v>
      </c>
      <c r="M83" s="2"/>
      <c r="N83" s="7">
        <f t="shared" si="22"/>
        <v>0.97766681606812689</v>
      </c>
      <c r="O83" s="11"/>
      <c r="P83" s="6">
        <v>20653</v>
      </c>
      <c r="Q83" s="2"/>
      <c r="R83" s="7">
        <f t="shared" si="23"/>
        <v>2.0107234755972033E-2</v>
      </c>
      <c r="S83" s="2"/>
      <c r="T83" s="6">
        <v>15208.12</v>
      </c>
      <c r="U83" s="2"/>
      <c r="V83" s="7">
        <f t="shared" si="24"/>
        <v>9.1511847308994067E-3</v>
      </c>
      <c r="W83" s="2"/>
      <c r="X83" s="6">
        <f t="shared" si="25"/>
        <v>5444.8799999999992</v>
      </c>
      <c r="Y83" s="2"/>
      <c r="Z83" s="7">
        <f t="shared" si="26"/>
        <v>0.35802452900161225</v>
      </c>
    </row>
    <row r="84" spans="1:26" s="24" customFormat="1" hidden="1" outlineLevel="2" x14ac:dyDescent="0.25">
      <c r="A84" s="25"/>
      <c r="B84" s="11" t="str">
        <f>CONCATENATE("          ", "6114", " - ", "STATE UNEMPLOYMENT INSURANCE")</f>
        <v xml:space="preserve">          6114 - STATE UNEMPLOYMENT INSURANCE</v>
      </c>
      <c r="C84" s="11"/>
      <c r="D84" s="6">
        <v>163.96</v>
      </c>
      <c r="E84" s="2"/>
      <c r="F84" s="7">
        <f t="shared" si="19"/>
        <v>1.1584064267111168E-3</v>
      </c>
      <c r="G84" s="2"/>
      <c r="H84" s="6">
        <v>51.4</v>
      </c>
      <c r="I84" s="2"/>
      <c r="J84" s="7">
        <f t="shared" si="20"/>
        <v>2.6368564403012621E-4</v>
      </c>
      <c r="K84" s="2"/>
      <c r="L84" s="6">
        <f t="shared" si="21"/>
        <v>112.56</v>
      </c>
      <c r="M84" s="2"/>
      <c r="N84" s="7">
        <f t="shared" si="22"/>
        <v>2.1898832684824905</v>
      </c>
      <c r="O84" s="11"/>
      <c r="P84" s="6">
        <v>666.24</v>
      </c>
      <c r="Q84" s="2"/>
      <c r="R84" s="7">
        <f t="shared" si="23"/>
        <v>6.4863429447628953E-4</v>
      </c>
      <c r="S84" s="2"/>
      <c r="T84" s="6">
        <v>466.32</v>
      </c>
      <c r="U84" s="2"/>
      <c r="V84" s="7">
        <f t="shared" si="24"/>
        <v>2.8059881587684808E-4</v>
      </c>
      <c r="W84" s="2"/>
      <c r="X84" s="6">
        <f t="shared" si="25"/>
        <v>199.92000000000002</v>
      </c>
      <c r="Y84" s="2"/>
      <c r="Z84" s="7">
        <f t="shared" si="26"/>
        <v>0.42871847658260426</v>
      </c>
    </row>
    <row r="85" spans="1:26" s="24" customFormat="1" hidden="1" outlineLevel="2" x14ac:dyDescent="0.25">
      <c r="A85" s="25"/>
      <c r="B85" s="11" t="str">
        <f>CONCATENATE("          ", "6115", " - ", "P.E.R.S.")</f>
        <v xml:space="preserve">          6115 - P.E.R.S.</v>
      </c>
      <c r="C85" s="11"/>
      <c r="D85" s="6">
        <v>2291.9</v>
      </c>
      <c r="E85" s="2"/>
      <c r="F85" s="7">
        <f t="shared" si="19"/>
        <v>1.6192679247250603E-2</v>
      </c>
      <c r="G85" s="2"/>
      <c r="H85" s="6">
        <v>932.78</v>
      </c>
      <c r="I85" s="2"/>
      <c r="J85" s="7">
        <f t="shared" si="20"/>
        <v>4.7852275299303717E-3</v>
      </c>
      <c r="K85" s="2"/>
      <c r="L85" s="6">
        <f t="shared" si="21"/>
        <v>1359.1200000000001</v>
      </c>
      <c r="M85" s="2"/>
      <c r="N85" s="7">
        <f t="shared" si="22"/>
        <v>1.4570638306996293</v>
      </c>
      <c r="O85" s="11"/>
      <c r="P85" s="6">
        <v>11606.88</v>
      </c>
      <c r="Q85" s="2"/>
      <c r="R85" s="7">
        <f t="shared" si="23"/>
        <v>1.1300162733956164E-2</v>
      </c>
      <c r="S85" s="2"/>
      <c r="T85" s="6">
        <v>6153.92</v>
      </c>
      <c r="U85" s="2"/>
      <c r="V85" s="7">
        <f t="shared" si="24"/>
        <v>3.7029993673890309E-3</v>
      </c>
      <c r="W85" s="2"/>
      <c r="X85" s="6">
        <f t="shared" si="25"/>
        <v>5452.9599999999991</v>
      </c>
      <c r="Y85" s="2"/>
      <c r="Z85" s="7">
        <f t="shared" si="26"/>
        <v>0.88609536685559753</v>
      </c>
    </row>
    <row r="86" spans="1:26" s="24" customFormat="1" hidden="1" outlineLevel="2" x14ac:dyDescent="0.25">
      <c r="A86" s="25"/>
      <c r="B86" s="11" t="str">
        <f>CONCATENATE("          ", "6118", " - ", "VACATION")</f>
        <v xml:space="preserve">          6118 - VACATION</v>
      </c>
      <c r="C86" s="11"/>
      <c r="D86" s="6">
        <v>1290.6199999999999</v>
      </c>
      <c r="E86" s="2"/>
      <c r="F86" s="7">
        <f t="shared" si="19"/>
        <v>9.1184587853250891E-3</v>
      </c>
      <c r="G86" s="2"/>
      <c r="H86" s="6">
        <v>565.20000000000005</v>
      </c>
      <c r="I86" s="2"/>
      <c r="J86" s="7">
        <f t="shared" si="20"/>
        <v>2.8995160701522833E-3</v>
      </c>
      <c r="K86" s="2"/>
      <c r="L86" s="6">
        <f t="shared" si="21"/>
        <v>725.41999999999985</v>
      </c>
      <c r="M86" s="2"/>
      <c r="N86" s="7">
        <f t="shared" si="22"/>
        <v>1.283474876150035</v>
      </c>
      <c r="O86" s="11"/>
      <c r="P86" s="6">
        <v>8411.73</v>
      </c>
      <c r="Q86" s="2"/>
      <c r="R86" s="7">
        <f t="shared" si="23"/>
        <v>8.1894460763013901E-3</v>
      </c>
      <c r="S86" s="2"/>
      <c r="T86" s="6">
        <v>5081.93</v>
      </c>
      <c r="U86" s="2"/>
      <c r="V86" s="7">
        <f t="shared" si="24"/>
        <v>3.0579506355486162E-3</v>
      </c>
      <c r="W86" s="2"/>
      <c r="X86" s="6">
        <f t="shared" si="25"/>
        <v>3329.7999999999993</v>
      </c>
      <c r="Y86" s="2"/>
      <c r="Z86" s="7">
        <f t="shared" si="26"/>
        <v>0.65522350760439418</v>
      </c>
    </row>
    <row r="87" spans="1:26" s="24" customFormat="1" hidden="1" outlineLevel="2" x14ac:dyDescent="0.25">
      <c r="A87" s="25"/>
      <c r="B87" s="11" t="str">
        <f>CONCATENATE("          ", "6119", " - ", "SICK LEAVE")</f>
        <v xml:space="preserve">          6119 - SICK LEAVE</v>
      </c>
      <c r="C87" s="11"/>
      <c r="D87" s="6">
        <v>889.54</v>
      </c>
      <c r="E87" s="2"/>
      <c r="F87" s="7">
        <f t="shared" si="19"/>
        <v>6.2847575799988217E-3</v>
      </c>
      <c r="G87" s="2"/>
      <c r="H87" s="6">
        <v>369.18</v>
      </c>
      <c r="I87" s="2"/>
      <c r="J87" s="7">
        <f t="shared" si="20"/>
        <v>1.8939195732109338E-3</v>
      </c>
      <c r="K87" s="2"/>
      <c r="L87" s="6">
        <f t="shared" si="21"/>
        <v>520.3599999999999</v>
      </c>
      <c r="M87" s="2"/>
      <c r="N87" s="7">
        <f t="shared" si="22"/>
        <v>1.4095021398775662</v>
      </c>
      <c r="O87" s="11"/>
      <c r="P87" s="6">
        <v>6013.81</v>
      </c>
      <c r="Q87" s="2"/>
      <c r="R87" s="7">
        <f t="shared" si="23"/>
        <v>5.85489224073075E-3</v>
      </c>
      <c r="S87" s="2"/>
      <c r="T87" s="6">
        <v>4567.71</v>
      </c>
      <c r="U87" s="2"/>
      <c r="V87" s="7">
        <f t="shared" si="24"/>
        <v>2.7485289442203591E-3</v>
      </c>
      <c r="W87" s="2"/>
      <c r="X87" s="6">
        <f t="shared" si="25"/>
        <v>1446.1000000000004</v>
      </c>
      <c r="Y87" s="2"/>
      <c r="Z87" s="7">
        <f t="shared" si="26"/>
        <v>0.31659190272587368</v>
      </c>
    </row>
    <row r="88" spans="1:26" s="24" customFormat="1" hidden="1" outlineLevel="2" x14ac:dyDescent="0.25">
      <c r="A88" s="25"/>
      <c r="B88" s="11" t="str">
        <f>CONCATENATE("          ", "6156", " - ", "EMPLOYEE MEALS")</f>
        <v xml:space="preserve">          6156 - EMPLOYEE MEALS</v>
      </c>
      <c r="C88" s="11"/>
      <c r="D88" s="6">
        <v>100.13</v>
      </c>
      <c r="E88" s="2"/>
      <c r="F88" s="7">
        <f t="shared" si="19"/>
        <v>7.0743617654662192E-4</v>
      </c>
      <c r="G88" s="2"/>
      <c r="H88" s="6">
        <v>327.60000000000002</v>
      </c>
      <c r="I88" s="2"/>
      <c r="J88" s="7">
        <f t="shared" si="20"/>
        <v>1.6806112253748902E-3</v>
      </c>
      <c r="K88" s="2"/>
      <c r="L88" s="6">
        <f t="shared" si="21"/>
        <v>-227.47000000000003</v>
      </c>
      <c r="M88" s="2"/>
      <c r="N88" s="7">
        <f t="shared" si="22"/>
        <v>-0.69435286935286944</v>
      </c>
      <c r="O88" s="11"/>
      <c r="P88" s="6">
        <v>1968.15</v>
      </c>
      <c r="Q88" s="2"/>
      <c r="R88" s="7">
        <f t="shared" si="23"/>
        <v>1.9161407100647054E-3</v>
      </c>
      <c r="S88" s="2"/>
      <c r="T88" s="6">
        <v>1252.76</v>
      </c>
      <c r="U88" s="2"/>
      <c r="V88" s="7">
        <f t="shared" si="24"/>
        <v>7.538234958352209E-4</v>
      </c>
      <c r="W88" s="2"/>
      <c r="X88" s="6">
        <f t="shared" si="25"/>
        <v>715.3900000000001</v>
      </c>
      <c r="Y88" s="2"/>
      <c r="Z88" s="7">
        <f t="shared" si="26"/>
        <v>0.57105111912896334</v>
      </c>
    </row>
    <row r="89" spans="1:26" s="26" customFormat="1" outlineLevel="1" collapsed="1" x14ac:dyDescent="0.25">
      <c r="A89" s="27"/>
      <c r="B89" s="13" t="str">
        <f>CONCATENATE("     ","*Payroll                                          ")</f>
        <v xml:space="preserve">     *Payroll                                          </v>
      </c>
      <c r="C89" s="13"/>
      <c r="D89" s="1">
        <f>SUM(OSRRefD22_1x_0)</f>
        <v>35073.31</v>
      </c>
      <c r="E89" s="1"/>
      <c r="F89" s="5">
        <f t="shared" ref="F89:F95" si="27">IF(D$12=0,0,D89/D$12)</f>
        <v>0.2477991443646699</v>
      </c>
      <c r="G89" s="1"/>
      <c r="H89" s="1">
        <f>SUM(OSRRefH22_1x_0)</f>
        <v>24897.08</v>
      </c>
      <c r="I89" s="1"/>
      <c r="J89" s="5">
        <f t="shared" ref="J89:J95" si="28">IF(H$12=0,0,H89/H$12)</f>
        <v>0.12772378549162597</v>
      </c>
      <c r="K89" s="1"/>
      <c r="L89" s="1">
        <f t="shared" ref="L89:L95" si="29">+D89-H89</f>
        <v>10176.229999999996</v>
      </c>
      <c r="M89" s="1"/>
      <c r="N89" s="5">
        <f t="shared" ref="N89:N95" si="30">IF(H89=0,0,L89/H89)</f>
        <v>0.40873186735151251</v>
      </c>
      <c r="O89" s="13"/>
      <c r="P89" s="1">
        <f>SUM(OSRRefP22_1x_0)</f>
        <v>208446.16000000003</v>
      </c>
      <c r="Q89" s="1"/>
      <c r="R89" s="5">
        <f t="shared" ref="R89:R95" si="31">IF(P$12=0,0,P89/P$12)</f>
        <v>0.20293787213000086</v>
      </c>
      <c r="S89" s="1"/>
      <c r="T89" s="1">
        <f>SUM(OSRRefT22_1x_0)</f>
        <v>171743.74</v>
      </c>
      <c r="U89" s="1"/>
      <c r="V89" s="5">
        <f t="shared" ref="V89:V95" si="32">IF(T$12=0,0,T89/T$12)</f>
        <v>0.10334339097242509</v>
      </c>
      <c r="W89" s="1"/>
      <c r="X89" s="1">
        <f t="shared" ref="X89:X95" si="33">+P89-T89</f>
        <v>36702.420000000042</v>
      </c>
      <c r="Y89" s="1"/>
      <c r="Z89" s="5">
        <f t="shared" ref="Z89:Z95" si="34">IF(T89=0,0,X89/T89)</f>
        <v>0.21370455773235195</v>
      </c>
    </row>
    <row r="90" spans="1:26" s="24" customFormat="1" hidden="1" outlineLevel="2" x14ac:dyDescent="0.25">
      <c r="A90" s="25"/>
      <c r="B90" s="11" t="str">
        <f>CONCATENATE("          ", "6002", " - ", "STAFF SALARIES")</f>
        <v xml:space="preserve">          6002 - STAFF SALARIES</v>
      </c>
      <c r="C90" s="11"/>
      <c r="D90" s="6">
        <v>17748.2</v>
      </c>
      <c r="E90" s="2"/>
      <c r="F90" s="7">
        <f t="shared" si="27"/>
        <v>0.1253941750582718</v>
      </c>
      <c r="G90" s="2"/>
      <c r="H90" s="6">
        <v>6996.68</v>
      </c>
      <c r="I90" s="2"/>
      <c r="J90" s="7">
        <f t="shared" si="28"/>
        <v>3.589346443332108E-2</v>
      </c>
      <c r="K90" s="2"/>
      <c r="L90" s="6">
        <f t="shared" si="29"/>
        <v>10751.52</v>
      </c>
      <c r="M90" s="2"/>
      <c r="N90" s="7">
        <f t="shared" si="30"/>
        <v>1.5366602445731403</v>
      </c>
      <c r="O90" s="11"/>
      <c r="P90" s="6">
        <v>93333.67</v>
      </c>
      <c r="Q90" s="2"/>
      <c r="R90" s="7">
        <f t="shared" si="31"/>
        <v>9.0867283848662384E-2</v>
      </c>
      <c r="S90" s="2"/>
      <c r="T90" s="6">
        <v>57144.32</v>
      </c>
      <c r="U90" s="2"/>
      <c r="V90" s="7">
        <f t="shared" si="32"/>
        <v>3.4385461756063836E-2</v>
      </c>
      <c r="W90" s="2"/>
      <c r="X90" s="6">
        <f t="shared" si="33"/>
        <v>36189.35</v>
      </c>
      <c r="Y90" s="2"/>
      <c r="Z90" s="7">
        <f t="shared" si="34"/>
        <v>0.63329741258623773</v>
      </c>
    </row>
    <row r="91" spans="1:26" s="24" customFormat="1" hidden="1" outlineLevel="2" x14ac:dyDescent="0.25">
      <c r="A91" s="25"/>
      <c r="B91" s="11" t="str">
        <f>CONCATENATE("          ", "6004", " - ", "STAFF HOURLY")</f>
        <v xml:space="preserve">          6004 - STAFF HOURLY</v>
      </c>
      <c r="C91" s="11"/>
      <c r="D91" s="6">
        <v>3405.92</v>
      </c>
      <c r="E91" s="2"/>
      <c r="F91" s="7">
        <f t="shared" si="27"/>
        <v>2.4063427768138124E-2</v>
      </c>
      <c r="G91" s="2"/>
      <c r="H91" s="6">
        <v>1557</v>
      </c>
      <c r="I91" s="2"/>
      <c r="J91" s="7">
        <f t="shared" si="28"/>
        <v>7.9875203843367028E-3</v>
      </c>
      <c r="K91" s="2"/>
      <c r="L91" s="6">
        <f t="shared" si="29"/>
        <v>1848.92</v>
      </c>
      <c r="M91" s="2"/>
      <c r="N91" s="7">
        <f t="shared" si="30"/>
        <v>1.1874887604367375</v>
      </c>
      <c r="O91" s="11"/>
      <c r="P91" s="6">
        <v>42206.460000000006</v>
      </c>
      <c r="Q91" s="2"/>
      <c r="R91" s="7">
        <f t="shared" si="31"/>
        <v>4.1091134432699537E-2</v>
      </c>
      <c r="S91" s="2"/>
      <c r="T91" s="6">
        <v>644.39</v>
      </c>
      <c r="U91" s="2"/>
      <c r="V91" s="7">
        <f t="shared" si="32"/>
        <v>3.8774890839526964E-4</v>
      </c>
      <c r="W91" s="2"/>
      <c r="X91" s="6">
        <f t="shared" si="33"/>
        <v>41562.070000000007</v>
      </c>
      <c r="Y91" s="2"/>
      <c r="Z91" s="7">
        <f t="shared" si="34"/>
        <v>64.498316237061417</v>
      </c>
    </row>
    <row r="92" spans="1:26" s="24" customFormat="1" hidden="1" outlineLevel="2" x14ac:dyDescent="0.25">
      <c r="A92" s="25"/>
      <c r="B92" s="11" t="str">
        <f>CONCATENATE("          ", "6005", " - ", "TEMPORARY WAGES-HOURLY")</f>
        <v xml:space="preserve">          6005 - TEMPORARY WAGES-HOURLY</v>
      </c>
      <c r="C92" s="11"/>
      <c r="D92" s="6">
        <v>3770.6</v>
      </c>
      <c r="E92" s="2"/>
      <c r="F92" s="7">
        <f t="shared" si="27"/>
        <v>2.6639956529378735E-2</v>
      </c>
      <c r="G92" s="2"/>
      <c r="H92" s="6">
        <v>2728.88</v>
      </c>
      <c r="I92" s="2"/>
      <c r="J92" s="7">
        <f t="shared" si="28"/>
        <v>1.399934786538776E-2</v>
      </c>
      <c r="K92" s="2"/>
      <c r="L92" s="6">
        <f t="shared" si="29"/>
        <v>1041.7199999999998</v>
      </c>
      <c r="M92" s="2"/>
      <c r="N92" s="7">
        <f t="shared" si="30"/>
        <v>0.3817390284658907</v>
      </c>
      <c r="O92" s="11"/>
      <c r="P92" s="6">
        <v>27385.289999999997</v>
      </c>
      <c r="Q92" s="2"/>
      <c r="R92" s="7">
        <f t="shared" si="31"/>
        <v>2.6661620824595618E-2</v>
      </c>
      <c r="S92" s="2"/>
      <c r="T92" s="6">
        <v>24562.06</v>
      </c>
      <c r="U92" s="2"/>
      <c r="V92" s="7">
        <f t="shared" si="32"/>
        <v>1.4779732697495487E-2</v>
      </c>
      <c r="W92" s="2"/>
      <c r="X92" s="6">
        <f t="shared" si="33"/>
        <v>2823.2299999999959</v>
      </c>
      <c r="Y92" s="2"/>
      <c r="Z92" s="7">
        <f t="shared" si="34"/>
        <v>0.11494272060242487</v>
      </c>
    </row>
    <row r="93" spans="1:26" s="24" customFormat="1" hidden="1" outlineLevel="2" x14ac:dyDescent="0.25">
      <c r="A93" s="25"/>
      <c r="B93" s="11" t="str">
        <f>CONCATENATE("          ", "6006", " - ", "TEMPORARY PART TIME")</f>
        <v xml:space="preserve">          6006 - TEMPORARY PART TIME</v>
      </c>
      <c r="C93" s="11"/>
      <c r="D93" s="6"/>
      <c r="E93" s="2"/>
      <c r="F93" s="7">
        <f t="shared" si="27"/>
        <v>0</v>
      </c>
      <c r="G93" s="2"/>
      <c r="H93" s="6"/>
      <c r="I93" s="2"/>
      <c r="J93" s="7">
        <f t="shared" si="28"/>
        <v>0</v>
      </c>
      <c r="K93" s="2"/>
      <c r="L93" s="6">
        <f t="shared" si="29"/>
        <v>0</v>
      </c>
      <c r="M93" s="2"/>
      <c r="N93" s="7">
        <f t="shared" si="30"/>
        <v>0</v>
      </c>
      <c r="O93" s="11"/>
      <c r="P93" s="6"/>
      <c r="Q93" s="2"/>
      <c r="R93" s="7">
        <f t="shared" si="31"/>
        <v>0</v>
      </c>
      <c r="S93" s="2"/>
      <c r="T93" s="6">
        <v>66.5</v>
      </c>
      <c r="U93" s="2"/>
      <c r="V93" s="7">
        <f t="shared" si="32"/>
        <v>4.001505673316692E-5</v>
      </c>
      <c r="W93" s="2"/>
      <c r="X93" s="6">
        <f t="shared" si="33"/>
        <v>-66.5</v>
      </c>
      <c r="Y93" s="2"/>
      <c r="Z93" s="7">
        <f t="shared" si="34"/>
        <v>-1</v>
      </c>
    </row>
    <row r="94" spans="1:26" s="24" customFormat="1" hidden="1" outlineLevel="2" x14ac:dyDescent="0.25">
      <c r="A94" s="25"/>
      <c r="B94" s="11" t="str">
        <f>CONCATENATE("          ", "6007", " - ", "STUDENT HOURLY")</f>
        <v xml:space="preserve">          6007 - STUDENT HOURLY</v>
      </c>
      <c r="C94" s="11"/>
      <c r="D94" s="6">
        <v>9787.67</v>
      </c>
      <c r="E94" s="2"/>
      <c r="F94" s="7">
        <f t="shared" si="27"/>
        <v>6.9151621313293471E-2</v>
      </c>
      <c r="G94" s="2"/>
      <c r="H94" s="6">
        <v>13614.52</v>
      </c>
      <c r="I94" s="2"/>
      <c r="J94" s="7">
        <f t="shared" si="28"/>
        <v>6.9843452808580425E-2</v>
      </c>
      <c r="K94" s="2"/>
      <c r="L94" s="6">
        <f t="shared" si="29"/>
        <v>-3826.8500000000004</v>
      </c>
      <c r="M94" s="2"/>
      <c r="N94" s="7">
        <f t="shared" si="30"/>
        <v>-0.28108592884655503</v>
      </c>
      <c r="O94" s="11"/>
      <c r="P94" s="6">
        <v>41946.8</v>
      </c>
      <c r="Q94" s="2"/>
      <c r="R94" s="7">
        <f t="shared" si="31"/>
        <v>4.0838336070392084E-2</v>
      </c>
      <c r="S94" s="2"/>
      <c r="T94" s="6">
        <v>89131.47</v>
      </c>
      <c r="U94" s="2"/>
      <c r="V94" s="7">
        <f t="shared" si="32"/>
        <v>5.3633095169331811E-2</v>
      </c>
      <c r="W94" s="2"/>
      <c r="X94" s="6">
        <f t="shared" si="33"/>
        <v>-47184.67</v>
      </c>
      <c r="Y94" s="2"/>
      <c r="Z94" s="7">
        <f t="shared" si="34"/>
        <v>-0.52938283189988899</v>
      </c>
    </row>
    <row r="95" spans="1:26" s="24" customFormat="1" hidden="1" outlineLevel="2" x14ac:dyDescent="0.25">
      <c r="A95" s="25"/>
      <c r="B95" s="11" t="str">
        <f>CONCATENATE("          ", "6008", " - ", "STUDENT HOURLY-FICA EXEMPT")</f>
        <v xml:space="preserve">          6008 - STUDENT HOURLY-FICA EXEMPT</v>
      </c>
      <c r="C95" s="11"/>
      <c r="D95" s="6">
        <v>360.92</v>
      </c>
      <c r="E95" s="2"/>
      <c r="F95" s="7">
        <f t="shared" si="27"/>
        <v>2.5499636955878036E-3</v>
      </c>
      <c r="G95" s="2"/>
      <c r="H95" s="6"/>
      <c r="I95" s="2"/>
      <c r="J95" s="7">
        <f t="shared" si="28"/>
        <v>0</v>
      </c>
      <c r="K95" s="2"/>
      <c r="L95" s="6">
        <f t="shared" si="29"/>
        <v>360.92</v>
      </c>
      <c r="M95" s="2"/>
      <c r="N95" s="7">
        <f t="shared" si="30"/>
        <v>0</v>
      </c>
      <c r="O95" s="11"/>
      <c r="P95" s="6">
        <v>3573.94</v>
      </c>
      <c r="Q95" s="2"/>
      <c r="R95" s="7">
        <f t="shared" si="31"/>
        <v>3.4794969536512221E-3</v>
      </c>
      <c r="S95" s="2"/>
      <c r="T95" s="6">
        <v>195</v>
      </c>
      <c r="U95" s="2"/>
      <c r="V95" s="7">
        <f t="shared" si="32"/>
        <v>1.1733738440552705E-4</v>
      </c>
      <c r="W95" s="2"/>
      <c r="X95" s="6">
        <f t="shared" si="33"/>
        <v>3378.94</v>
      </c>
      <c r="Y95" s="2"/>
      <c r="Z95" s="7">
        <f t="shared" si="34"/>
        <v>17.327897435897437</v>
      </c>
    </row>
    <row r="96" spans="1:26" s="26" customFormat="1" outlineLevel="1" collapsed="1" x14ac:dyDescent="0.25">
      <c r="A96" s="27"/>
      <c r="B96" s="13" t="str">
        <f>CONCATENATE("     ","Advertising/Promo                                 ")</f>
        <v xml:space="preserve">     Advertising/Promo                                 </v>
      </c>
      <c r="C96" s="13"/>
      <c r="D96" s="1">
        <f>SUM(OSRRefD22_2x_0)</f>
        <v>637.52</v>
      </c>
      <c r="E96" s="1"/>
      <c r="F96" s="5">
        <f t="shared" ref="F96:F100" si="35">IF(D$12=0,0,D96/D$12)</f>
        <v>4.5041916635573994E-3</v>
      </c>
      <c r="G96" s="1"/>
      <c r="H96" s="1">
        <f>SUM(OSRRefH22_2x_0)</f>
        <v>5671.87</v>
      </c>
      <c r="I96" s="1"/>
      <c r="J96" s="5">
        <f t="shared" ref="J96:J100" si="36">IF(H$12=0,0,H96/H$12)</f>
        <v>2.9097095210216965E-2</v>
      </c>
      <c r="K96" s="1"/>
      <c r="L96" s="1">
        <f t="shared" ref="L96:L100" si="37">+D96-H96</f>
        <v>-5034.3500000000004</v>
      </c>
      <c r="M96" s="1"/>
      <c r="N96" s="5">
        <f t="shared" ref="N96:N100" si="38">IF(H96=0,0,L96/H96)</f>
        <v>-0.88759968052864402</v>
      </c>
      <c r="O96" s="13"/>
      <c r="P96" s="1">
        <f>SUM(OSRRefP22_2x_0)</f>
        <v>12660.67</v>
      </c>
      <c r="Q96" s="1"/>
      <c r="R96" s="5">
        <f t="shared" ref="R96:R100" si="39">IF(P$12=0,0,P96/P$12)</f>
        <v>1.2326105837306563E-2</v>
      </c>
      <c r="S96" s="1"/>
      <c r="T96" s="1">
        <f>SUM(OSRRefT22_2x_0)</f>
        <v>17166.510000000002</v>
      </c>
      <c r="U96" s="1"/>
      <c r="V96" s="5">
        <f t="shared" ref="V96:V100" si="40">IF(T$12=0,0,T96/T$12)</f>
        <v>1.0329607091134996E-2</v>
      </c>
      <c r="W96" s="1"/>
      <c r="X96" s="1">
        <f t="shared" ref="X96:X100" si="41">+P96-T96</f>
        <v>-4505.840000000002</v>
      </c>
      <c r="Y96" s="1"/>
      <c r="Z96" s="5">
        <f t="shared" ref="Z96:Z100" si="42">IF(T96=0,0,X96/T96)</f>
        <v>-0.2624785119398178</v>
      </c>
    </row>
    <row r="97" spans="1:26" s="24" customFormat="1" hidden="1" outlineLevel="2" x14ac:dyDescent="0.25">
      <c r="A97" s="25"/>
      <c r="B97" s="11" t="str">
        <f>CONCATENATE("          ", "6362", " - ", "ADVERTISING EXPENSE")</f>
        <v xml:space="preserve">          6362 - ADVERTISING EXPENSE</v>
      </c>
      <c r="C97" s="11"/>
      <c r="D97" s="6">
        <v>637.52</v>
      </c>
      <c r="E97" s="2"/>
      <c r="F97" s="7">
        <f t="shared" si="35"/>
        <v>4.5041916635573994E-3</v>
      </c>
      <c r="G97" s="2"/>
      <c r="H97" s="6">
        <v>5671.87</v>
      </c>
      <c r="I97" s="2"/>
      <c r="J97" s="7">
        <f t="shared" si="36"/>
        <v>2.9097095210216965E-2</v>
      </c>
      <c r="K97" s="2"/>
      <c r="L97" s="6">
        <f t="shared" si="37"/>
        <v>-5034.3500000000004</v>
      </c>
      <c r="M97" s="2"/>
      <c r="N97" s="7">
        <f t="shared" si="38"/>
        <v>-0.88759968052864402</v>
      </c>
      <c r="O97" s="11"/>
      <c r="P97" s="6">
        <v>12660.67</v>
      </c>
      <c r="Q97" s="2"/>
      <c r="R97" s="7">
        <f t="shared" si="39"/>
        <v>1.2326105837306563E-2</v>
      </c>
      <c r="S97" s="2"/>
      <c r="T97" s="6">
        <v>17166.510000000002</v>
      </c>
      <c r="U97" s="2"/>
      <c r="V97" s="7">
        <f t="shared" si="40"/>
        <v>1.0329607091134996E-2</v>
      </c>
      <c r="W97" s="2"/>
      <c r="X97" s="6">
        <f t="shared" si="41"/>
        <v>-4505.840000000002</v>
      </c>
      <c r="Y97" s="2"/>
      <c r="Z97" s="7">
        <f t="shared" si="42"/>
        <v>-0.2624785119398178</v>
      </c>
    </row>
    <row r="98" spans="1:26" s="26" customFormat="1" outlineLevel="1" collapsed="1" x14ac:dyDescent="0.25">
      <c r="A98" s="27"/>
      <c r="B98" s="13" t="str">
        <f>CONCATENATE("     ","Discounts and Markdowns                           ")</f>
        <v xml:space="preserve">     Discounts and Markdowns                           </v>
      </c>
      <c r="C98" s="13"/>
      <c r="D98" s="1">
        <f>SUM(OSRRefD22_3x_0)</f>
        <v>0</v>
      </c>
      <c r="E98" s="1"/>
      <c r="F98" s="5">
        <f t="shared" si="35"/>
        <v>0</v>
      </c>
      <c r="G98" s="1"/>
      <c r="H98" s="1">
        <f>SUM(OSRRefH22_3x_0)</f>
        <v>20600.53</v>
      </c>
      <c r="I98" s="1"/>
      <c r="J98" s="5">
        <f t="shared" si="36"/>
        <v>0.10568217938544622</v>
      </c>
      <c r="K98" s="1"/>
      <c r="L98" s="1">
        <f t="shared" si="37"/>
        <v>-20600.53</v>
      </c>
      <c r="M98" s="1"/>
      <c r="N98" s="5">
        <f t="shared" si="38"/>
        <v>-1</v>
      </c>
      <c r="O98" s="13"/>
      <c r="P98" s="1">
        <f>SUM(OSRRefP22_3x_0)</f>
        <v>0</v>
      </c>
      <c r="Q98" s="1"/>
      <c r="R98" s="5">
        <f t="shared" si="39"/>
        <v>0</v>
      </c>
      <c r="S98" s="1"/>
      <c r="T98" s="1">
        <f>SUM(OSRRefT22_3x_0)</f>
        <v>151279.49</v>
      </c>
      <c r="U98" s="1"/>
      <c r="V98" s="5">
        <f t="shared" si="40"/>
        <v>9.1029434209241464E-2</v>
      </c>
      <c r="W98" s="1"/>
      <c r="X98" s="1">
        <f t="shared" si="41"/>
        <v>-151279.49</v>
      </c>
      <c r="Y98" s="1"/>
      <c r="Z98" s="5">
        <f t="shared" si="42"/>
        <v>-1</v>
      </c>
    </row>
    <row r="99" spans="1:26" s="24" customFormat="1" hidden="1" outlineLevel="2" x14ac:dyDescent="0.25">
      <c r="A99" s="25"/>
      <c r="B99" s="11" t="str">
        <f>CONCATENATE("          ", "6382", " - ", "DISCOUNTS/MARK DOWNS")</f>
        <v xml:space="preserve">          6382 - DISCOUNTS/MARK DOWNS</v>
      </c>
      <c r="C99" s="11"/>
      <c r="D99" s="6"/>
      <c r="E99" s="2"/>
      <c r="F99" s="7">
        <f t="shared" si="35"/>
        <v>0</v>
      </c>
      <c r="G99" s="2"/>
      <c r="H99" s="6">
        <v>20600.53</v>
      </c>
      <c r="I99" s="2"/>
      <c r="J99" s="7">
        <f t="shared" si="36"/>
        <v>0.10568217938544622</v>
      </c>
      <c r="K99" s="2"/>
      <c r="L99" s="6">
        <f t="shared" si="37"/>
        <v>-20600.53</v>
      </c>
      <c r="M99" s="2"/>
      <c r="N99" s="7">
        <f t="shared" si="38"/>
        <v>-1</v>
      </c>
      <c r="O99" s="11"/>
      <c r="P99" s="6"/>
      <c r="Q99" s="2"/>
      <c r="R99" s="7">
        <f t="shared" si="39"/>
        <v>0</v>
      </c>
      <c r="S99" s="2"/>
      <c r="T99" s="6">
        <v>151298.88</v>
      </c>
      <c r="U99" s="2"/>
      <c r="V99" s="7">
        <f t="shared" si="40"/>
        <v>9.1041101757362616E-2</v>
      </c>
      <c r="W99" s="2"/>
      <c r="X99" s="6">
        <f t="shared" si="41"/>
        <v>-151298.88</v>
      </c>
      <c r="Y99" s="2"/>
      <c r="Z99" s="7">
        <f t="shared" si="42"/>
        <v>-1</v>
      </c>
    </row>
    <row r="100" spans="1:26" s="24" customFormat="1" hidden="1" outlineLevel="2" x14ac:dyDescent="0.25">
      <c r="A100" s="25"/>
      <c r="B100" s="11" t="str">
        <f>CONCATENATE("          ", "9175", " - ", "EARNED DISCOUNTS")</f>
        <v xml:space="preserve">          9175 - EARNED DISCOUNTS</v>
      </c>
      <c r="C100" s="11"/>
      <c r="D100" s="6"/>
      <c r="E100" s="2"/>
      <c r="F100" s="7">
        <f t="shared" si="35"/>
        <v>0</v>
      </c>
      <c r="G100" s="2"/>
      <c r="H100" s="6"/>
      <c r="I100" s="2"/>
      <c r="J100" s="7">
        <f t="shared" si="36"/>
        <v>0</v>
      </c>
      <c r="K100" s="2"/>
      <c r="L100" s="6">
        <f t="shared" si="37"/>
        <v>0</v>
      </c>
      <c r="M100" s="2"/>
      <c r="N100" s="7">
        <f t="shared" si="38"/>
        <v>0</v>
      </c>
      <c r="O100" s="11"/>
      <c r="P100" s="6"/>
      <c r="Q100" s="2"/>
      <c r="R100" s="7">
        <f t="shared" si="39"/>
        <v>0</v>
      </c>
      <c r="S100" s="2"/>
      <c r="T100" s="6">
        <v>-19.39</v>
      </c>
      <c r="U100" s="2"/>
      <c r="V100" s="7">
        <f t="shared" si="40"/>
        <v>-1.1667548121144459E-5</v>
      </c>
      <c r="W100" s="2"/>
      <c r="X100" s="6">
        <f t="shared" si="41"/>
        <v>19.39</v>
      </c>
      <c r="Y100" s="2"/>
      <c r="Z100" s="7">
        <f t="shared" si="42"/>
        <v>-1</v>
      </c>
    </row>
    <row r="101" spans="1:26" s="26" customFormat="1" outlineLevel="1" collapsed="1" x14ac:dyDescent="0.25">
      <c r="A101" s="27"/>
      <c r="B101" s="13" t="str">
        <f>CONCATENATE("     ","Employees' Appreciation                           ")</f>
        <v xml:space="preserve">     Employees' Appreciation                           </v>
      </c>
      <c r="C101" s="13"/>
      <c r="D101" s="1">
        <f>SUM(OSRRefD22_4x_0)</f>
        <v>0</v>
      </c>
      <c r="E101" s="1"/>
      <c r="F101" s="5">
        <f t="shared" ref="F101:F105" si="43">IF(D$12=0,0,D101/D$12)</f>
        <v>0</v>
      </c>
      <c r="G101" s="1"/>
      <c r="H101" s="1">
        <f>SUM(OSRRefH22_4x_0)</f>
        <v>0</v>
      </c>
      <c r="I101" s="1"/>
      <c r="J101" s="5">
        <f t="shared" ref="J101:J105" si="44">IF(H$12=0,0,H101/H$12)</f>
        <v>0</v>
      </c>
      <c r="K101" s="1"/>
      <c r="L101" s="1">
        <f t="shared" ref="L101:L105" si="45">+D101-H101</f>
        <v>0</v>
      </c>
      <c r="M101" s="1"/>
      <c r="N101" s="5">
        <f t="shared" ref="N101:N105" si="46">IF(H101=0,0,L101/H101)</f>
        <v>0</v>
      </c>
      <c r="O101" s="13"/>
      <c r="P101" s="1">
        <f>SUM(OSRRefP22_4x_0)</f>
        <v>0</v>
      </c>
      <c r="Q101" s="1"/>
      <c r="R101" s="5">
        <f t="shared" ref="R101:R105" si="47">IF(P$12=0,0,P101/P$12)</f>
        <v>0</v>
      </c>
      <c r="S101" s="1"/>
      <c r="T101" s="1">
        <f>SUM(OSRRefT22_4x_0)</f>
        <v>209.48</v>
      </c>
      <c r="U101" s="1"/>
      <c r="V101" s="5">
        <f t="shared" ref="V101:V105" si="48">IF(T$12=0,0,T101/T$12)</f>
        <v>1.2605043736035797E-4</v>
      </c>
      <c r="W101" s="1"/>
      <c r="X101" s="1">
        <f t="shared" ref="X101:X105" si="49">+P101-T101</f>
        <v>-209.48</v>
      </c>
      <c r="Y101" s="1"/>
      <c r="Z101" s="5">
        <f t="shared" ref="Z101:Z105" si="50">IF(T101=0,0,X101/T101)</f>
        <v>-1</v>
      </c>
    </row>
    <row r="102" spans="1:26" s="24" customFormat="1" hidden="1" outlineLevel="2" x14ac:dyDescent="0.25">
      <c r="A102" s="25"/>
      <c r="B102" s="11" t="str">
        <f>CONCATENATE("          ", "6277", " - ", "EMPLOYEE APPRECIATION")</f>
        <v xml:space="preserve">          6277 - EMPLOYEE APPRECIATION</v>
      </c>
      <c r="C102" s="11"/>
      <c r="D102" s="6"/>
      <c r="E102" s="2"/>
      <c r="F102" s="7">
        <f t="shared" si="43"/>
        <v>0</v>
      </c>
      <c r="G102" s="2"/>
      <c r="H102" s="6"/>
      <c r="I102" s="2"/>
      <c r="J102" s="7">
        <f t="shared" si="44"/>
        <v>0</v>
      </c>
      <c r="K102" s="2"/>
      <c r="L102" s="6">
        <f t="shared" si="45"/>
        <v>0</v>
      </c>
      <c r="M102" s="2"/>
      <c r="N102" s="7">
        <f t="shared" si="46"/>
        <v>0</v>
      </c>
      <c r="O102" s="11"/>
      <c r="P102" s="6"/>
      <c r="Q102" s="2"/>
      <c r="R102" s="7">
        <f t="shared" si="47"/>
        <v>0</v>
      </c>
      <c r="S102" s="2"/>
      <c r="T102" s="6">
        <v>209.48</v>
      </c>
      <c r="U102" s="2"/>
      <c r="V102" s="7">
        <f t="shared" si="48"/>
        <v>1.2605043736035797E-4</v>
      </c>
      <c r="W102" s="2"/>
      <c r="X102" s="6">
        <f t="shared" si="49"/>
        <v>-209.48</v>
      </c>
      <c r="Y102" s="2"/>
      <c r="Z102" s="7">
        <f t="shared" si="50"/>
        <v>-1</v>
      </c>
    </row>
    <row r="103" spans="1:26" s="26" customFormat="1" outlineLevel="1" collapsed="1" x14ac:dyDescent="0.25">
      <c r="A103" s="27"/>
      <c r="B103" s="13" t="str">
        <f>CONCATENATE("     ","Freight out/Postage                               ")</f>
        <v xml:space="preserve">     Freight out/Postage                               </v>
      </c>
      <c r="C103" s="13"/>
      <c r="D103" s="1">
        <f>SUM(OSRRefD22_5x_0)</f>
        <v>127.18</v>
      </c>
      <c r="E103" s="1"/>
      <c r="F103" s="5">
        <f t="shared" si="43"/>
        <v>8.9854921535203612E-4</v>
      </c>
      <c r="G103" s="1"/>
      <c r="H103" s="1">
        <f>SUM(OSRRefH22_5x_0)</f>
        <v>10.68</v>
      </c>
      <c r="I103" s="1"/>
      <c r="J103" s="5">
        <f t="shared" si="44"/>
        <v>5.4789157164236344E-5</v>
      </c>
      <c r="K103" s="1"/>
      <c r="L103" s="1">
        <f t="shared" si="45"/>
        <v>116.5</v>
      </c>
      <c r="M103" s="1"/>
      <c r="N103" s="5">
        <f t="shared" si="46"/>
        <v>10.908239700374532</v>
      </c>
      <c r="O103" s="13"/>
      <c r="P103" s="1">
        <f>SUM(OSRRefP22_5x_0)</f>
        <v>234.42</v>
      </c>
      <c r="Q103" s="1"/>
      <c r="R103" s="5">
        <f t="shared" si="47"/>
        <v>2.282253411850561E-4</v>
      </c>
      <c r="S103" s="1"/>
      <c r="T103" s="1">
        <f>SUM(OSRRefT22_5x_0)</f>
        <v>81.180000000000007</v>
      </c>
      <c r="U103" s="1"/>
      <c r="V103" s="5">
        <f t="shared" si="48"/>
        <v>4.8848455723285576E-5</v>
      </c>
      <c r="W103" s="1"/>
      <c r="X103" s="1">
        <f t="shared" si="49"/>
        <v>153.23999999999998</v>
      </c>
      <c r="Y103" s="1"/>
      <c r="Z103" s="5">
        <f t="shared" si="50"/>
        <v>1.8876570583887653</v>
      </c>
    </row>
    <row r="104" spans="1:26" s="24" customFormat="1" hidden="1" outlineLevel="2" x14ac:dyDescent="0.25">
      <c r="A104" s="25"/>
      <c r="B104" s="11" t="str">
        <f>CONCATENATE("          ", "6305", " - ", "FREIGHT OUT")</f>
        <v xml:space="preserve">          6305 - FREIGHT OUT</v>
      </c>
      <c r="C104" s="11"/>
      <c r="D104" s="6">
        <v>127.18</v>
      </c>
      <c r="E104" s="2"/>
      <c r="F104" s="7">
        <f t="shared" si="43"/>
        <v>8.9854921535203612E-4</v>
      </c>
      <c r="G104" s="2"/>
      <c r="H104" s="6">
        <v>10.68</v>
      </c>
      <c r="I104" s="2"/>
      <c r="J104" s="7">
        <f t="shared" si="44"/>
        <v>5.4789157164236344E-5</v>
      </c>
      <c r="K104" s="2"/>
      <c r="L104" s="6">
        <f t="shared" si="45"/>
        <v>116.5</v>
      </c>
      <c r="M104" s="2"/>
      <c r="N104" s="7">
        <f t="shared" si="46"/>
        <v>10.908239700374532</v>
      </c>
      <c r="O104" s="11"/>
      <c r="P104" s="6">
        <v>240.42</v>
      </c>
      <c r="Q104" s="2"/>
      <c r="R104" s="7">
        <f t="shared" si="47"/>
        <v>2.3406678836153567E-4</v>
      </c>
      <c r="S104" s="2"/>
      <c r="T104" s="6">
        <v>80.680000000000007</v>
      </c>
      <c r="U104" s="2"/>
      <c r="V104" s="7">
        <f t="shared" si="48"/>
        <v>4.8547590635066274E-5</v>
      </c>
      <c r="W104" s="2"/>
      <c r="X104" s="6">
        <f t="shared" si="49"/>
        <v>159.73999999999998</v>
      </c>
      <c r="Y104" s="2"/>
      <c r="Z104" s="7">
        <f t="shared" si="50"/>
        <v>1.9799206742687154</v>
      </c>
    </row>
    <row r="105" spans="1:26" s="24" customFormat="1" hidden="1" outlineLevel="2" x14ac:dyDescent="0.25">
      <c r="A105" s="25"/>
      <c r="B105" s="11" t="str">
        <f>CONCATENATE("          ", "6307", " - ", "POSTAGE")</f>
        <v xml:space="preserve">          6307 - POSTAGE</v>
      </c>
      <c r="C105" s="11"/>
      <c r="D105" s="6"/>
      <c r="E105" s="2"/>
      <c r="F105" s="7">
        <f t="shared" si="43"/>
        <v>0</v>
      </c>
      <c r="G105" s="2"/>
      <c r="H105" s="6"/>
      <c r="I105" s="2"/>
      <c r="J105" s="7">
        <f t="shared" si="44"/>
        <v>0</v>
      </c>
      <c r="K105" s="2"/>
      <c r="L105" s="6">
        <f t="shared" si="45"/>
        <v>0</v>
      </c>
      <c r="M105" s="2"/>
      <c r="N105" s="7">
        <f t="shared" si="46"/>
        <v>0</v>
      </c>
      <c r="O105" s="11"/>
      <c r="P105" s="6">
        <v>-6</v>
      </c>
      <c r="Q105" s="2"/>
      <c r="R105" s="7">
        <f t="shared" si="47"/>
        <v>-5.8414471764795525E-6</v>
      </c>
      <c r="S105" s="2"/>
      <c r="T105" s="6">
        <v>0.5</v>
      </c>
      <c r="U105" s="2"/>
      <c r="V105" s="7">
        <f t="shared" si="48"/>
        <v>3.0086508821930015E-7</v>
      </c>
      <c r="W105" s="2"/>
      <c r="X105" s="6">
        <f t="shared" si="49"/>
        <v>-6.5</v>
      </c>
      <c r="Y105" s="2"/>
      <c r="Z105" s="7">
        <f t="shared" si="50"/>
        <v>-13</v>
      </c>
    </row>
    <row r="106" spans="1:26" s="26" customFormat="1" outlineLevel="1" collapsed="1" x14ac:dyDescent="0.25">
      <c r="A106" s="27"/>
      <c r="B106" s="13" t="str">
        <f>CONCATENATE("     ","Inventory Adjustment                              ")</f>
        <v xml:space="preserve">     Inventory Adjustment                              </v>
      </c>
      <c r="C106" s="13"/>
      <c r="D106" s="1">
        <f>SUM(OSRRefD22_6x_0)</f>
        <v>1000</v>
      </c>
      <c r="E106" s="1"/>
      <c r="F106" s="5">
        <f t="shared" ref="F106:F110" si="51">IF(D$12=0,0,D106/D$12)</f>
        <v>7.0651770353203028E-3</v>
      </c>
      <c r="G106" s="1"/>
      <c r="H106" s="1">
        <f>SUM(OSRRefH22_6x_0)</f>
        <v>2850</v>
      </c>
      <c r="I106" s="1"/>
      <c r="J106" s="5">
        <f t="shared" ref="J106:J110" si="52">IF(H$12=0,0,H106/H$12)</f>
        <v>1.4620702052254081E-2</v>
      </c>
      <c r="K106" s="1"/>
      <c r="L106" s="1">
        <f t="shared" ref="L106:L110" si="53">+D106-H106</f>
        <v>-1850</v>
      </c>
      <c r="M106" s="1"/>
      <c r="N106" s="5">
        <f t="shared" ref="N106:N110" si="54">IF(H106=0,0,L106/H106)</f>
        <v>-0.64912280701754388</v>
      </c>
      <c r="O106" s="13"/>
      <c r="P106" s="1">
        <f>SUM(OSRRefP22_6x_0)</f>
        <v>7000</v>
      </c>
      <c r="Q106" s="1"/>
      <c r="R106" s="5">
        <f t="shared" ref="R106:R110" si="55">IF(P$12=0,0,P106/P$12)</f>
        <v>6.8150217058928113E-3</v>
      </c>
      <c r="S106" s="1"/>
      <c r="T106" s="1">
        <f>SUM(OSRRefT22_6x_0)</f>
        <v>19950</v>
      </c>
      <c r="U106" s="1"/>
      <c r="V106" s="5">
        <f t="shared" ref="V106:V110" si="56">IF(T$12=0,0,T106/T$12)</f>
        <v>1.2004517019950076E-2</v>
      </c>
      <c r="W106" s="1"/>
      <c r="X106" s="1">
        <f t="shared" ref="X106:X110" si="57">+P106-T106</f>
        <v>-12950</v>
      </c>
      <c r="Y106" s="1"/>
      <c r="Z106" s="5">
        <f t="shared" ref="Z106:Z110" si="58">IF(T106=0,0,X106/T106)</f>
        <v>-0.64912280701754388</v>
      </c>
    </row>
    <row r="107" spans="1:26" s="24" customFormat="1" hidden="1" outlineLevel="2" x14ac:dyDescent="0.25">
      <c r="A107" s="25"/>
      <c r="B107" s="11" t="str">
        <f>CONCATENATE("          ", "6408", " - ", "INVENTORY ADJUSTMENT")</f>
        <v xml:space="preserve">          6408 - INVENTORY ADJUSTMENT</v>
      </c>
      <c r="C107" s="11"/>
      <c r="D107" s="6">
        <v>1000</v>
      </c>
      <c r="E107" s="2"/>
      <c r="F107" s="7">
        <f t="shared" si="51"/>
        <v>7.0651770353203028E-3</v>
      </c>
      <c r="G107" s="2"/>
      <c r="H107" s="6">
        <v>2850</v>
      </c>
      <c r="I107" s="2"/>
      <c r="J107" s="7">
        <f t="shared" si="52"/>
        <v>1.4620702052254081E-2</v>
      </c>
      <c r="K107" s="2"/>
      <c r="L107" s="6">
        <f t="shared" si="53"/>
        <v>-1850</v>
      </c>
      <c r="M107" s="2"/>
      <c r="N107" s="7">
        <f t="shared" si="54"/>
        <v>-0.64912280701754388</v>
      </c>
      <c r="O107" s="11"/>
      <c r="P107" s="6">
        <v>7000</v>
      </c>
      <c r="Q107" s="2"/>
      <c r="R107" s="7">
        <f t="shared" si="55"/>
        <v>6.8150217058928113E-3</v>
      </c>
      <c r="S107" s="2"/>
      <c r="T107" s="6">
        <v>19950</v>
      </c>
      <c r="U107" s="2"/>
      <c r="V107" s="7">
        <f t="shared" si="56"/>
        <v>1.2004517019950076E-2</v>
      </c>
      <c r="W107" s="2"/>
      <c r="X107" s="6">
        <f t="shared" si="57"/>
        <v>-12950</v>
      </c>
      <c r="Y107" s="2"/>
      <c r="Z107" s="7">
        <f t="shared" si="58"/>
        <v>-0.64912280701754388</v>
      </c>
    </row>
    <row r="108" spans="1:26" s="26" customFormat="1" outlineLevel="1" collapsed="1" x14ac:dyDescent="0.25">
      <c r="A108" s="27"/>
      <c r="B108" s="13" t="str">
        <f>CONCATENATE("     ","Royalty &amp; Commissions                             ")</f>
        <v xml:space="preserve">     Royalty &amp; Commissions                             </v>
      </c>
      <c r="C108" s="13"/>
      <c r="D108" s="1">
        <f>SUM(OSRRefD22_7x_0)</f>
        <v>7785.78</v>
      </c>
      <c r="E108" s="1"/>
      <c r="F108" s="5">
        <f t="shared" si="51"/>
        <v>5.5007914058056107E-2</v>
      </c>
      <c r="G108" s="1"/>
      <c r="H108" s="1">
        <f>SUM(OSRRefH22_7x_0)</f>
        <v>760.81</v>
      </c>
      <c r="I108" s="1"/>
      <c r="J108" s="5">
        <f t="shared" si="52"/>
        <v>3.9030092380264651E-3</v>
      </c>
      <c r="K108" s="1"/>
      <c r="L108" s="1">
        <f t="shared" si="53"/>
        <v>7024.9699999999993</v>
      </c>
      <c r="M108" s="1"/>
      <c r="N108" s="5">
        <f t="shared" si="54"/>
        <v>9.2335405686045142</v>
      </c>
      <c r="O108" s="13"/>
      <c r="P108" s="1">
        <f>SUM(OSRRefP22_7x_0)</f>
        <v>26197.58</v>
      </c>
      <c r="Q108" s="1"/>
      <c r="R108" s="5">
        <f t="shared" si="55"/>
        <v>2.55052966202662E-2</v>
      </c>
      <c r="S108" s="1"/>
      <c r="T108" s="1">
        <f>SUM(OSRRefT22_7x_0)</f>
        <v>7691.6</v>
      </c>
      <c r="U108" s="1"/>
      <c r="V108" s="5">
        <f t="shared" si="56"/>
        <v>4.6282678250951382E-3</v>
      </c>
      <c r="W108" s="1"/>
      <c r="X108" s="1">
        <f t="shared" si="57"/>
        <v>18505.980000000003</v>
      </c>
      <c r="Y108" s="1"/>
      <c r="Z108" s="5">
        <f t="shared" si="58"/>
        <v>2.4059987518851735</v>
      </c>
    </row>
    <row r="109" spans="1:26" s="24" customFormat="1" hidden="1" outlineLevel="2" x14ac:dyDescent="0.25">
      <c r="A109" s="25"/>
      <c r="B109" s="11" t="str">
        <f>CONCATENATE("          ", "6253", " - ", "ROYALTY DUE ATHLETICS-LRG")</f>
        <v xml:space="preserve">          6253 - ROYALTY DUE ATHLETICS-LRG</v>
      </c>
      <c r="C109" s="11"/>
      <c r="D109" s="6">
        <v>7785.78</v>
      </c>
      <c r="E109" s="2"/>
      <c r="F109" s="7">
        <f t="shared" si="51"/>
        <v>5.5007914058056107E-2</v>
      </c>
      <c r="G109" s="2"/>
      <c r="H109" s="6"/>
      <c r="I109" s="2"/>
      <c r="J109" s="7">
        <f t="shared" si="52"/>
        <v>0</v>
      </c>
      <c r="K109" s="2"/>
      <c r="L109" s="6">
        <f t="shared" si="53"/>
        <v>7785.78</v>
      </c>
      <c r="M109" s="2"/>
      <c r="N109" s="7">
        <f t="shared" si="54"/>
        <v>0</v>
      </c>
      <c r="O109" s="11"/>
      <c r="P109" s="6">
        <v>26197.58</v>
      </c>
      <c r="Q109" s="2"/>
      <c r="R109" s="7">
        <f t="shared" si="55"/>
        <v>2.55052966202662E-2</v>
      </c>
      <c r="S109" s="2"/>
      <c r="T109" s="6">
        <v>4366.95</v>
      </c>
      <c r="U109" s="2"/>
      <c r="V109" s="7">
        <f t="shared" si="56"/>
        <v>2.6277255939985453E-3</v>
      </c>
      <c r="W109" s="2"/>
      <c r="X109" s="6">
        <f t="shared" si="57"/>
        <v>21830.63</v>
      </c>
      <c r="Y109" s="2"/>
      <c r="Z109" s="7">
        <f t="shared" si="58"/>
        <v>4.9990565497658555</v>
      </c>
    </row>
    <row r="110" spans="1:26" s="24" customFormat="1" hidden="1" outlineLevel="2" x14ac:dyDescent="0.25">
      <c r="A110" s="25"/>
      <c r="B110" s="11" t="str">
        <f>CONCATENATE("          ", "6254", " - ", "ROYALTY &amp; COMMISSIONS")</f>
        <v xml:space="preserve">          6254 - ROYALTY &amp; COMMISSIONS</v>
      </c>
      <c r="C110" s="11"/>
      <c r="D110" s="6"/>
      <c r="E110" s="2"/>
      <c r="F110" s="7">
        <f t="shared" si="51"/>
        <v>0</v>
      </c>
      <c r="G110" s="2"/>
      <c r="H110" s="6">
        <v>760.81</v>
      </c>
      <c r="I110" s="2"/>
      <c r="J110" s="7">
        <f t="shared" si="52"/>
        <v>3.9030092380264651E-3</v>
      </c>
      <c r="K110" s="2"/>
      <c r="L110" s="6">
        <f t="shared" si="53"/>
        <v>-760.81</v>
      </c>
      <c r="M110" s="2"/>
      <c r="N110" s="7">
        <f t="shared" si="54"/>
        <v>-1</v>
      </c>
      <c r="O110" s="11"/>
      <c r="P110" s="6"/>
      <c r="Q110" s="2"/>
      <c r="R110" s="7">
        <f t="shared" si="55"/>
        <v>0</v>
      </c>
      <c r="S110" s="2"/>
      <c r="T110" s="6">
        <v>3324.65</v>
      </c>
      <c r="U110" s="2"/>
      <c r="V110" s="7">
        <f t="shared" si="56"/>
        <v>2.0005422310965925E-3</v>
      </c>
      <c r="W110" s="2"/>
      <c r="X110" s="6">
        <f t="shared" si="57"/>
        <v>-3324.65</v>
      </c>
      <c r="Y110" s="2"/>
      <c r="Z110" s="7">
        <f t="shared" si="58"/>
        <v>-1</v>
      </c>
    </row>
    <row r="111" spans="1:26" s="26" customFormat="1" outlineLevel="1" collapsed="1" x14ac:dyDescent="0.25">
      <c r="A111" s="27"/>
      <c r="B111" s="13" t="str">
        <f>CONCATENATE("     ","Subscriptions &amp; Dues                              ")</f>
        <v xml:space="preserve">     Subscriptions &amp; Dues                              </v>
      </c>
      <c r="C111" s="13"/>
      <c r="D111" s="1">
        <f>SUM(OSRRefD22_8x_0)</f>
        <v>133.69999999999999</v>
      </c>
      <c r="E111" s="1"/>
      <c r="F111" s="5">
        <f t="shared" ref="F111:F113" si="59">IF(D$12=0,0,D111/D$12)</f>
        <v>9.4461416962232441E-4</v>
      </c>
      <c r="G111" s="1"/>
      <c r="H111" s="1">
        <f>SUM(OSRRefH22_8x_0)</f>
        <v>0</v>
      </c>
      <c r="I111" s="1"/>
      <c r="J111" s="5">
        <f t="shared" ref="J111:J113" si="60">IF(H$12=0,0,H111/H$12)</f>
        <v>0</v>
      </c>
      <c r="K111" s="1"/>
      <c r="L111" s="1">
        <f t="shared" ref="L111:L113" si="61">+D111-H111</f>
        <v>133.69999999999999</v>
      </c>
      <c r="M111" s="1"/>
      <c r="N111" s="5">
        <f t="shared" ref="N111:N113" si="62">IF(H111=0,0,L111/H111)</f>
        <v>0</v>
      </c>
      <c r="O111" s="13"/>
      <c r="P111" s="1">
        <f>SUM(OSRRefP22_8x_0)</f>
        <v>-231.57</v>
      </c>
      <c r="Q111" s="1"/>
      <c r="R111" s="5">
        <f t="shared" ref="R111:R113" si="63">IF(P$12=0,0,P111/P$12)</f>
        <v>-2.2545065377622834E-4</v>
      </c>
      <c r="S111" s="1"/>
      <c r="T111" s="1">
        <f>SUM(OSRRefT22_8x_0)</f>
        <v>296.64</v>
      </c>
      <c r="U111" s="1"/>
      <c r="V111" s="5">
        <f t="shared" ref="V111:V113" si="64">IF(T$12=0,0,T111/T$12)</f>
        <v>1.7849723953874638E-4</v>
      </c>
      <c r="W111" s="1"/>
      <c r="X111" s="1">
        <f t="shared" ref="X111:X113" si="65">+P111-T111</f>
        <v>-528.21</v>
      </c>
      <c r="Y111" s="1"/>
      <c r="Z111" s="5">
        <f t="shared" ref="Z111:Z113" si="66">IF(T111=0,0,X111/T111)</f>
        <v>-1.7806432038834954</v>
      </c>
    </row>
    <row r="112" spans="1:26" s="24" customFormat="1" hidden="1" outlineLevel="2" x14ac:dyDescent="0.25">
      <c r="A112" s="25"/>
      <c r="B112" s="11" t="str">
        <f>CONCATENATE("          ", "6258", " - ", "MEMBERSHIP DUES")</f>
        <v xml:space="preserve">          6258 - MEMBERSHIP DUES</v>
      </c>
      <c r="C112" s="11"/>
      <c r="D112" s="6">
        <v>133.69999999999999</v>
      </c>
      <c r="E112" s="2"/>
      <c r="F112" s="7">
        <f t="shared" si="59"/>
        <v>9.4461416962232441E-4</v>
      </c>
      <c r="G112" s="2"/>
      <c r="H112" s="6"/>
      <c r="I112" s="2"/>
      <c r="J112" s="7">
        <f t="shared" si="60"/>
        <v>0</v>
      </c>
      <c r="K112" s="2"/>
      <c r="L112" s="6">
        <f t="shared" si="61"/>
        <v>133.69999999999999</v>
      </c>
      <c r="M112" s="2"/>
      <c r="N112" s="7">
        <f t="shared" si="62"/>
        <v>0</v>
      </c>
      <c r="O112" s="11"/>
      <c r="P112" s="6">
        <v>-307.3</v>
      </c>
      <c r="Q112" s="2"/>
      <c r="R112" s="7">
        <f t="shared" si="63"/>
        <v>-2.9917945288869443E-4</v>
      </c>
      <c r="S112" s="2"/>
      <c r="T112" s="6"/>
      <c r="U112" s="2"/>
      <c r="V112" s="7">
        <f t="shared" si="64"/>
        <v>0</v>
      </c>
      <c r="W112" s="2"/>
      <c r="X112" s="6">
        <f t="shared" si="65"/>
        <v>-307.3</v>
      </c>
      <c r="Y112" s="2"/>
      <c r="Z112" s="7">
        <f t="shared" si="66"/>
        <v>0</v>
      </c>
    </row>
    <row r="113" spans="1:26" s="24" customFormat="1" hidden="1" outlineLevel="2" x14ac:dyDescent="0.25">
      <c r="A113" s="25"/>
      <c r="B113" s="11" t="str">
        <f>CONCATENATE("          ", "6275", " - ", "SUBSCRIPTIONS")</f>
        <v xml:space="preserve">          6275 - SUBSCRIPTIONS</v>
      </c>
      <c r="C113" s="11"/>
      <c r="D113" s="6"/>
      <c r="E113" s="2"/>
      <c r="F113" s="7">
        <f t="shared" si="59"/>
        <v>0</v>
      </c>
      <c r="G113" s="2"/>
      <c r="H113" s="6"/>
      <c r="I113" s="2"/>
      <c r="J113" s="7">
        <f t="shared" si="60"/>
        <v>0</v>
      </c>
      <c r="K113" s="2"/>
      <c r="L113" s="6">
        <f t="shared" si="61"/>
        <v>0</v>
      </c>
      <c r="M113" s="2"/>
      <c r="N113" s="7">
        <f t="shared" si="62"/>
        <v>0</v>
      </c>
      <c r="O113" s="11"/>
      <c r="P113" s="6">
        <v>75.73</v>
      </c>
      <c r="Q113" s="2"/>
      <c r="R113" s="7">
        <f t="shared" si="63"/>
        <v>7.3728799112466096E-5</v>
      </c>
      <c r="S113" s="2"/>
      <c r="T113" s="6">
        <v>296.64</v>
      </c>
      <c r="U113" s="2"/>
      <c r="V113" s="7">
        <f t="shared" si="64"/>
        <v>1.7849723953874638E-4</v>
      </c>
      <c r="W113" s="2"/>
      <c r="X113" s="6">
        <f t="shared" si="65"/>
        <v>-220.90999999999997</v>
      </c>
      <c r="Y113" s="2"/>
      <c r="Z113" s="7">
        <f t="shared" si="66"/>
        <v>-0.74470738942826309</v>
      </c>
    </row>
    <row r="114" spans="1:26" s="26" customFormat="1" outlineLevel="1" collapsed="1" x14ac:dyDescent="0.25">
      <c r="A114" s="27"/>
      <c r="B114" s="13" t="str">
        <f>CONCATENATE("     ","Supplies                                          ")</f>
        <v xml:space="preserve">     Supplies                                          </v>
      </c>
      <c r="C114" s="13"/>
      <c r="D114" s="1">
        <f>SUM(OSRRefD22_9x_0)</f>
        <v>1606.65</v>
      </c>
      <c r="E114" s="1"/>
      <c r="F114" s="5">
        <f t="shared" ref="F114:F119" si="67">IF(D$12=0,0,D114/D$12)</f>
        <v>1.1351266683797365E-2</v>
      </c>
      <c r="G114" s="1"/>
      <c r="H114" s="1">
        <f>SUM(OSRRefH22_9x_0)</f>
        <v>1445.13</v>
      </c>
      <c r="I114" s="1"/>
      <c r="J114" s="5">
        <f t="shared" ref="J114:J119" si="68">IF(H$12=0,0,H114/H$12)</f>
        <v>7.4136193532540143E-3</v>
      </c>
      <c r="K114" s="1"/>
      <c r="L114" s="1">
        <f t="shared" ref="L114:L119" si="69">+D114-H114</f>
        <v>161.51999999999998</v>
      </c>
      <c r="M114" s="1"/>
      <c r="N114" s="5">
        <f t="shared" ref="N114:N119" si="70">IF(H114=0,0,L114/H114)</f>
        <v>0.11176849141599715</v>
      </c>
      <c r="O114" s="13"/>
      <c r="P114" s="1">
        <f>SUM(OSRRefP22_9x_0)</f>
        <v>3297.9399999999996</v>
      </c>
      <c r="Q114" s="1"/>
      <c r="R114" s="5">
        <f t="shared" ref="R114:R119" si="71">IF(P$12=0,0,P114/P$12)</f>
        <v>3.2107903835331621E-3</v>
      </c>
      <c r="S114" s="1"/>
      <c r="T114" s="1">
        <f>SUM(OSRRefT22_9x_0)</f>
        <v>3252.3799999999997</v>
      </c>
      <c r="U114" s="1"/>
      <c r="V114" s="5">
        <f t="shared" ref="V114:V119" si="72">IF(T$12=0,0,T114/T$12)</f>
        <v>1.9570551912453747E-3</v>
      </c>
      <c r="W114" s="1"/>
      <c r="X114" s="1">
        <f t="shared" ref="X114:X119" si="73">+P114-T114</f>
        <v>45.559999999999945</v>
      </c>
      <c r="Y114" s="1"/>
      <c r="Z114" s="5">
        <f t="shared" ref="Z114:Z119" si="74">IF(T114=0,0,X114/T114)</f>
        <v>1.4008203223485555E-2</v>
      </c>
    </row>
    <row r="115" spans="1:26" s="24" customFormat="1" hidden="1" outlineLevel="2" x14ac:dyDescent="0.25">
      <c r="A115" s="25"/>
      <c r="B115" s="11" t="str">
        <f>CONCATENATE("          ", "6234", " - ", "EXPENDABLE SUPPLIES &amp; EQUIPMEN")</f>
        <v xml:space="preserve">          6234 - EXPENDABLE SUPPLIES &amp; EQUIPMEN</v>
      </c>
      <c r="C115" s="11"/>
      <c r="D115" s="6">
        <v>396.5</v>
      </c>
      <c r="E115" s="2"/>
      <c r="F115" s="7">
        <f t="shared" si="67"/>
        <v>2.8013426945045E-3</v>
      </c>
      <c r="G115" s="2"/>
      <c r="H115" s="6">
        <v>511.92</v>
      </c>
      <c r="I115" s="2"/>
      <c r="J115" s="7">
        <f t="shared" si="68"/>
        <v>2.6261858928385644E-3</v>
      </c>
      <c r="K115" s="2"/>
      <c r="L115" s="6">
        <f t="shared" si="69"/>
        <v>-115.42000000000002</v>
      </c>
      <c r="M115" s="2"/>
      <c r="N115" s="7">
        <f t="shared" si="70"/>
        <v>-0.22546491639318647</v>
      </c>
      <c r="O115" s="11"/>
      <c r="P115" s="6">
        <v>396.5</v>
      </c>
      <c r="Q115" s="2"/>
      <c r="R115" s="7">
        <f t="shared" si="71"/>
        <v>3.8602230091235712E-4</v>
      </c>
      <c r="S115" s="2"/>
      <c r="T115" s="6">
        <v>532.28</v>
      </c>
      <c r="U115" s="2"/>
      <c r="V115" s="7">
        <f t="shared" si="72"/>
        <v>3.2028893831473814E-4</v>
      </c>
      <c r="W115" s="2"/>
      <c r="X115" s="6">
        <f t="shared" si="73"/>
        <v>-135.77999999999997</v>
      </c>
      <c r="Y115" s="2"/>
      <c r="Z115" s="7">
        <f t="shared" si="74"/>
        <v>-0.25509130532802282</v>
      </c>
    </row>
    <row r="116" spans="1:26" s="24" customFormat="1" hidden="1" outlineLevel="2" x14ac:dyDescent="0.25">
      <c r="A116" s="25"/>
      <c r="B116" s="11" t="str">
        <f>CONCATENATE("          ", "6235", " - ", "COVID-19 EXPENSES")</f>
        <v xml:space="preserve">          6235 - COVID-19 EXPENSES</v>
      </c>
      <c r="C116" s="11"/>
      <c r="D116" s="6"/>
      <c r="E116" s="2"/>
      <c r="F116" s="7">
        <f t="shared" si="67"/>
        <v>0</v>
      </c>
      <c r="G116" s="2"/>
      <c r="H116" s="6"/>
      <c r="I116" s="2"/>
      <c r="J116" s="7">
        <f t="shared" si="68"/>
        <v>0</v>
      </c>
      <c r="K116" s="2"/>
      <c r="L116" s="6">
        <f t="shared" si="69"/>
        <v>0</v>
      </c>
      <c r="M116" s="2"/>
      <c r="N116" s="7">
        <f t="shared" si="70"/>
        <v>0</v>
      </c>
      <c r="O116" s="11"/>
      <c r="P116" s="6">
        <v>1026.43</v>
      </c>
      <c r="Q116" s="2"/>
      <c r="R116" s="7">
        <f t="shared" si="71"/>
        <v>9.9930610422565127E-4</v>
      </c>
      <c r="S116" s="2"/>
      <c r="T116" s="6"/>
      <c r="U116" s="2"/>
      <c r="V116" s="7">
        <f t="shared" si="72"/>
        <v>0</v>
      </c>
      <c r="W116" s="2"/>
      <c r="X116" s="6">
        <f t="shared" si="73"/>
        <v>1026.43</v>
      </c>
      <c r="Y116" s="2"/>
      <c r="Z116" s="7">
        <f t="shared" si="74"/>
        <v>0</v>
      </c>
    </row>
    <row r="117" spans="1:26" s="24" customFormat="1" hidden="1" outlineLevel="2" x14ac:dyDescent="0.25">
      <c r="A117" s="25"/>
      <c r="B117" s="11" t="str">
        <f>CONCATENATE("          ", "6241", " - ", "OFFICE EXPENSE")</f>
        <v xml:space="preserve">          6241 - OFFICE EXPENSE</v>
      </c>
      <c r="C117" s="11"/>
      <c r="D117" s="6">
        <v>337.04</v>
      </c>
      <c r="E117" s="2"/>
      <c r="F117" s="7">
        <f t="shared" si="67"/>
        <v>2.3812472679843552E-3</v>
      </c>
      <c r="G117" s="2"/>
      <c r="H117" s="6">
        <v>403.82</v>
      </c>
      <c r="I117" s="2"/>
      <c r="J117" s="7">
        <f t="shared" si="68"/>
        <v>2.0716252290320148E-3</v>
      </c>
      <c r="K117" s="2"/>
      <c r="L117" s="6">
        <f t="shared" si="69"/>
        <v>-66.779999999999973</v>
      </c>
      <c r="M117" s="2"/>
      <c r="N117" s="7">
        <f t="shared" si="70"/>
        <v>-0.16537070972215337</v>
      </c>
      <c r="O117" s="11"/>
      <c r="P117" s="6">
        <v>808.44</v>
      </c>
      <c r="Q117" s="2"/>
      <c r="R117" s="7">
        <f t="shared" si="71"/>
        <v>7.8707659255885501E-4</v>
      </c>
      <c r="S117" s="2"/>
      <c r="T117" s="6">
        <v>2486.04</v>
      </c>
      <c r="U117" s="2"/>
      <c r="V117" s="7">
        <f t="shared" si="72"/>
        <v>1.4959252878334179E-3</v>
      </c>
      <c r="W117" s="2"/>
      <c r="X117" s="6">
        <f t="shared" si="73"/>
        <v>-1677.6</v>
      </c>
      <c r="Y117" s="2"/>
      <c r="Z117" s="7">
        <f t="shared" si="74"/>
        <v>-0.6748081285900468</v>
      </c>
    </row>
    <row r="118" spans="1:26" s="24" customFormat="1" hidden="1" outlineLevel="2" x14ac:dyDescent="0.25">
      <c r="A118" s="25"/>
      <c r="B118" s="11" t="str">
        <f>CONCATENATE("          ", "6245", " - ", "PRINTING")</f>
        <v xml:space="preserve">          6245 - PRINTING</v>
      </c>
      <c r="C118" s="11"/>
      <c r="D118" s="6"/>
      <c r="E118" s="2"/>
      <c r="F118" s="7">
        <f t="shared" si="67"/>
        <v>0</v>
      </c>
      <c r="G118" s="2"/>
      <c r="H118" s="6">
        <v>88.2</v>
      </c>
      <c r="I118" s="2"/>
      <c r="J118" s="7">
        <f t="shared" si="68"/>
        <v>4.5247225298554732E-4</v>
      </c>
      <c r="K118" s="2"/>
      <c r="L118" s="6">
        <f t="shared" si="69"/>
        <v>-88.2</v>
      </c>
      <c r="M118" s="2"/>
      <c r="N118" s="7">
        <f t="shared" si="70"/>
        <v>-1</v>
      </c>
      <c r="O118" s="11"/>
      <c r="P118" s="6"/>
      <c r="Q118" s="2"/>
      <c r="R118" s="7">
        <f t="shared" si="71"/>
        <v>0</v>
      </c>
      <c r="S118" s="2"/>
      <c r="T118" s="6">
        <v>-528.98</v>
      </c>
      <c r="U118" s="2"/>
      <c r="V118" s="7">
        <f t="shared" si="72"/>
        <v>-3.1830322873249077E-4</v>
      </c>
      <c r="W118" s="2"/>
      <c r="X118" s="6">
        <f t="shared" si="73"/>
        <v>528.98</v>
      </c>
      <c r="Y118" s="2"/>
      <c r="Z118" s="7">
        <f t="shared" si="74"/>
        <v>-1</v>
      </c>
    </row>
    <row r="119" spans="1:26" s="24" customFormat="1" hidden="1" outlineLevel="2" x14ac:dyDescent="0.25">
      <c r="A119" s="25"/>
      <c r="B119" s="11" t="str">
        <f>CONCATENATE("          ", "6247", " - ", "STORE SUPPLIES")</f>
        <v xml:space="preserve">          6247 - STORE SUPPLIES</v>
      </c>
      <c r="C119" s="11"/>
      <c r="D119" s="6">
        <v>873.11</v>
      </c>
      <c r="E119" s="2"/>
      <c r="F119" s="7">
        <f t="shared" si="67"/>
        <v>6.16867672130851E-3</v>
      </c>
      <c r="G119" s="2"/>
      <c r="H119" s="6">
        <v>441.19</v>
      </c>
      <c r="I119" s="2"/>
      <c r="J119" s="7">
        <f t="shared" si="68"/>
        <v>2.263335978397887E-3</v>
      </c>
      <c r="K119" s="2"/>
      <c r="L119" s="6">
        <f t="shared" si="69"/>
        <v>431.92</v>
      </c>
      <c r="M119" s="2"/>
      <c r="N119" s="7">
        <f t="shared" si="70"/>
        <v>0.97898864434824007</v>
      </c>
      <c r="O119" s="11"/>
      <c r="P119" s="6">
        <v>1066.57</v>
      </c>
      <c r="Q119" s="2"/>
      <c r="R119" s="7">
        <f t="shared" si="71"/>
        <v>1.0383853858362993E-3</v>
      </c>
      <c r="S119" s="2"/>
      <c r="T119" s="6">
        <v>763.04</v>
      </c>
      <c r="U119" s="2"/>
      <c r="V119" s="7">
        <f t="shared" si="72"/>
        <v>4.5914419382970953E-4</v>
      </c>
      <c r="W119" s="2"/>
      <c r="X119" s="6">
        <f t="shared" si="73"/>
        <v>303.52999999999997</v>
      </c>
      <c r="Y119" s="2"/>
      <c r="Z119" s="7">
        <f t="shared" si="74"/>
        <v>0.39779041727825537</v>
      </c>
    </row>
    <row r="120" spans="1:26" s="26" customFormat="1" outlineLevel="1" collapsed="1" x14ac:dyDescent="0.25">
      <c r="A120" s="27"/>
      <c r="B120" s="13" t="str">
        <f>CONCATENATE("     ","Telephone/Data Lines                              ")</f>
        <v xml:space="preserve">     Telephone/Data Lines                              </v>
      </c>
      <c r="C120" s="13"/>
      <c r="D120" s="1">
        <f>SUM(OSRRefD22_10x_0)</f>
        <v>106.61</v>
      </c>
      <c r="E120" s="1"/>
      <c r="F120" s="5">
        <f t="shared" ref="F120:F126" si="75">IF(D$12=0,0,D120/D$12)</f>
        <v>7.5321852373549751E-4</v>
      </c>
      <c r="G120" s="1"/>
      <c r="H120" s="1">
        <f>SUM(OSRRefH22_10x_0)</f>
        <v>386.48</v>
      </c>
      <c r="I120" s="1"/>
      <c r="J120" s="5">
        <f t="shared" ref="J120:J126" si="76">IF(H$12=0,0,H120/H$12)</f>
        <v>1.9826697997035641E-3</v>
      </c>
      <c r="K120" s="1"/>
      <c r="L120" s="1">
        <f t="shared" ref="L120:L126" si="77">+D120-H120</f>
        <v>-279.87</v>
      </c>
      <c r="M120" s="1"/>
      <c r="N120" s="5">
        <f t="shared" ref="N120:N126" si="78">IF(H120=0,0,L120/H120)</f>
        <v>-0.72415131442765468</v>
      </c>
      <c r="O120" s="13"/>
      <c r="P120" s="1">
        <f>SUM(OSRRefP22_10x_0)</f>
        <v>2670.59</v>
      </c>
      <c r="Q120" s="1"/>
      <c r="R120" s="5">
        <f t="shared" ref="R120:R126" si="79">IF(P$12=0,0,P120/P$12)</f>
        <v>2.6000184025057548E-3</v>
      </c>
      <c r="S120" s="1"/>
      <c r="T120" s="1">
        <f>SUM(OSRRefT22_10x_0)</f>
        <v>3885.04</v>
      </c>
      <c r="U120" s="1"/>
      <c r="V120" s="5">
        <f t="shared" ref="V120:V126" si="80">IF(T$12=0,0,T120/T$12)</f>
        <v>2.3377458046710195E-3</v>
      </c>
      <c r="W120" s="1"/>
      <c r="X120" s="1">
        <f t="shared" ref="X120:X126" si="81">+P120-T120</f>
        <v>-1214.4499999999998</v>
      </c>
      <c r="Y120" s="1"/>
      <c r="Z120" s="5">
        <f t="shared" ref="Z120:Z126" si="82">IF(T120=0,0,X120/T120)</f>
        <v>-0.31259652410271188</v>
      </c>
    </row>
    <row r="121" spans="1:26" s="24" customFormat="1" hidden="1" outlineLevel="2" x14ac:dyDescent="0.25">
      <c r="A121" s="25"/>
      <c r="B121" s="11" t="str">
        <f>CONCATENATE("          ", "6309", " - ", "TELEPHONE")</f>
        <v xml:space="preserve">          6309 - TELEPHONE</v>
      </c>
      <c r="C121" s="11"/>
      <c r="D121" s="6">
        <v>106.61</v>
      </c>
      <c r="E121" s="2"/>
      <c r="F121" s="7">
        <f t="shared" si="75"/>
        <v>7.5321852373549751E-4</v>
      </c>
      <c r="G121" s="2"/>
      <c r="H121" s="6">
        <v>386.48</v>
      </c>
      <c r="I121" s="2"/>
      <c r="J121" s="7">
        <f t="shared" si="76"/>
        <v>1.9826697997035641E-3</v>
      </c>
      <c r="K121" s="2"/>
      <c r="L121" s="6">
        <f t="shared" si="77"/>
        <v>-279.87</v>
      </c>
      <c r="M121" s="2"/>
      <c r="N121" s="7">
        <f t="shared" si="78"/>
        <v>-0.72415131442765468</v>
      </c>
      <c r="O121" s="11"/>
      <c r="P121" s="6">
        <v>2670.59</v>
      </c>
      <c r="Q121" s="2"/>
      <c r="R121" s="7">
        <f t="shared" si="79"/>
        <v>2.6000184025057548E-3</v>
      </c>
      <c r="S121" s="2"/>
      <c r="T121" s="6">
        <v>3885.04</v>
      </c>
      <c r="U121" s="2"/>
      <c r="V121" s="7">
        <f t="shared" si="80"/>
        <v>2.3377458046710195E-3</v>
      </c>
      <c r="W121" s="2"/>
      <c r="X121" s="6">
        <f t="shared" si="81"/>
        <v>-1214.4499999999998</v>
      </c>
      <c r="Y121" s="2"/>
      <c r="Z121" s="7">
        <f t="shared" si="82"/>
        <v>-0.31259652410271188</v>
      </c>
    </row>
    <row r="122" spans="1:26" s="26" customFormat="1" outlineLevel="1" collapsed="1" x14ac:dyDescent="0.25">
      <c r="A122" s="27"/>
      <c r="B122" s="13" t="str">
        <f>CONCATENATE("     ","Training                                          ")</f>
        <v xml:space="preserve">     Training                                          </v>
      </c>
      <c r="C122" s="13"/>
      <c r="D122" s="1">
        <f>SUM(OSRRefD22_11x_0)</f>
        <v>0</v>
      </c>
      <c r="E122" s="1"/>
      <c r="F122" s="5">
        <f t="shared" si="75"/>
        <v>0</v>
      </c>
      <c r="G122" s="1"/>
      <c r="H122" s="1">
        <f>SUM(OSRRefH22_11x_0)</f>
        <v>0</v>
      </c>
      <c r="I122" s="1"/>
      <c r="J122" s="5">
        <f t="shared" si="76"/>
        <v>0</v>
      </c>
      <c r="K122" s="1"/>
      <c r="L122" s="1">
        <f t="shared" si="77"/>
        <v>0</v>
      </c>
      <c r="M122" s="1"/>
      <c r="N122" s="5">
        <f t="shared" si="78"/>
        <v>0</v>
      </c>
      <c r="O122" s="13"/>
      <c r="P122" s="1">
        <f>SUM(OSRRefP22_11x_0)</f>
        <v>0</v>
      </c>
      <c r="Q122" s="1"/>
      <c r="R122" s="5">
        <f t="shared" si="79"/>
        <v>0</v>
      </c>
      <c r="S122" s="1"/>
      <c r="T122" s="1">
        <f>SUM(OSRRefT22_11x_0)</f>
        <v>1379.18</v>
      </c>
      <c r="U122" s="1"/>
      <c r="V122" s="5">
        <f t="shared" si="80"/>
        <v>8.2989422474058874E-4</v>
      </c>
      <c r="W122" s="1"/>
      <c r="X122" s="1">
        <f t="shared" si="81"/>
        <v>-1379.18</v>
      </c>
      <c r="Y122" s="1"/>
      <c r="Z122" s="5">
        <f t="shared" si="82"/>
        <v>-1</v>
      </c>
    </row>
    <row r="123" spans="1:26" s="24" customFormat="1" hidden="1" outlineLevel="2" x14ac:dyDescent="0.25">
      <c r="A123" s="25"/>
      <c r="B123" s="11" t="str">
        <f>CONCATENATE("          ", "6376", " - ", "TRAINING")</f>
        <v xml:space="preserve">          6376 - TRAINING</v>
      </c>
      <c r="C123" s="11"/>
      <c r="D123" s="6"/>
      <c r="E123" s="2"/>
      <c r="F123" s="7">
        <f t="shared" si="75"/>
        <v>0</v>
      </c>
      <c r="G123" s="2"/>
      <c r="H123" s="6"/>
      <c r="I123" s="2"/>
      <c r="J123" s="7">
        <f t="shared" si="76"/>
        <v>0</v>
      </c>
      <c r="K123" s="2"/>
      <c r="L123" s="6">
        <f t="shared" si="77"/>
        <v>0</v>
      </c>
      <c r="M123" s="2"/>
      <c r="N123" s="7">
        <f t="shared" si="78"/>
        <v>0</v>
      </c>
      <c r="O123" s="11"/>
      <c r="P123" s="6"/>
      <c r="Q123" s="2"/>
      <c r="R123" s="7">
        <f t="shared" si="79"/>
        <v>0</v>
      </c>
      <c r="S123" s="2"/>
      <c r="T123" s="6">
        <v>1379.18</v>
      </c>
      <c r="U123" s="2"/>
      <c r="V123" s="7">
        <f t="shared" si="80"/>
        <v>8.2989422474058874E-4</v>
      </c>
      <c r="W123" s="2"/>
      <c r="X123" s="6">
        <f t="shared" si="81"/>
        <v>-1379.18</v>
      </c>
      <c r="Y123" s="2"/>
      <c r="Z123" s="7">
        <f t="shared" si="82"/>
        <v>-1</v>
      </c>
    </row>
    <row r="124" spans="1:26" s="26" customFormat="1" outlineLevel="1" collapsed="1" x14ac:dyDescent="0.25">
      <c r="A124" s="27"/>
      <c r="B124" s="13" t="str">
        <f>CONCATENATE("     ","Travel                                            ")</f>
        <v xml:space="preserve">     Travel                                            </v>
      </c>
      <c r="C124" s="13"/>
      <c r="D124" s="1">
        <f>SUM(OSRRefD22_12x_0)</f>
        <v>69.92</v>
      </c>
      <c r="E124" s="1"/>
      <c r="F124" s="5">
        <f t="shared" si="75"/>
        <v>4.9399717830959553E-4</v>
      </c>
      <c r="G124" s="1"/>
      <c r="H124" s="1">
        <f>SUM(OSRRefH22_12x_0)</f>
        <v>-419</v>
      </c>
      <c r="I124" s="1"/>
      <c r="J124" s="5">
        <f t="shared" si="76"/>
        <v>-2.1494997052261262E-3</v>
      </c>
      <c r="K124" s="1"/>
      <c r="L124" s="1">
        <f t="shared" si="77"/>
        <v>488.92</v>
      </c>
      <c r="M124" s="1"/>
      <c r="N124" s="5">
        <f t="shared" si="78"/>
        <v>-1.166873508353222</v>
      </c>
      <c r="O124" s="13"/>
      <c r="P124" s="1">
        <f>SUM(OSRRefP22_12x_0)</f>
        <v>69.92</v>
      </c>
      <c r="Q124" s="1"/>
      <c r="R124" s="5">
        <f t="shared" si="79"/>
        <v>6.8072331096575051E-5</v>
      </c>
      <c r="S124" s="1"/>
      <c r="T124" s="1">
        <f>SUM(OSRRefT22_12x_0)</f>
        <v>-99.159999999999982</v>
      </c>
      <c r="U124" s="1"/>
      <c r="V124" s="5">
        <f t="shared" si="80"/>
        <v>-5.9667564295651591E-5</v>
      </c>
      <c r="W124" s="1"/>
      <c r="X124" s="1">
        <f t="shared" si="81"/>
        <v>169.07999999999998</v>
      </c>
      <c r="Y124" s="1"/>
      <c r="Z124" s="5">
        <f t="shared" si="82"/>
        <v>-1.7051230334812426</v>
      </c>
    </row>
    <row r="125" spans="1:26" s="24" customFormat="1" hidden="1" outlineLevel="2" x14ac:dyDescent="0.25">
      <c r="A125" s="25"/>
      <c r="B125" s="11" t="str">
        <f>CONCATENATE("          ", "6292", " - ", "TRAVEL/CONFERENCE")</f>
        <v xml:space="preserve">          6292 - TRAVEL/CONFERENCE</v>
      </c>
      <c r="C125" s="11"/>
      <c r="D125" s="6"/>
      <c r="E125" s="2"/>
      <c r="F125" s="7">
        <f t="shared" si="75"/>
        <v>0</v>
      </c>
      <c r="G125" s="2"/>
      <c r="H125" s="6"/>
      <c r="I125" s="2"/>
      <c r="J125" s="7">
        <f t="shared" si="76"/>
        <v>0</v>
      </c>
      <c r="K125" s="2"/>
      <c r="L125" s="6">
        <f t="shared" si="77"/>
        <v>0</v>
      </c>
      <c r="M125" s="2"/>
      <c r="N125" s="7">
        <f t="shared" si="78"/>
        <v>0</v>
      </c>
      <c r="O125" s="11"/>
      <c r="P125" s="6"/>
      <c r="Q125" s="2"/>
      <c r="R125" s="7">
        <f t="shared" si="79"/>
        <v>0</v>
      </c>
      <c r="S125" s="2"/>
      <c r="T125" s="6">
        <v>107.04</v>
      </c>
      <c r="U125" s="2"/>
      <c r="V125" s="7">
        <f t="shared" si="80"/>
        <v>6.4409198085987784E-5</v>
      </c>
      <c r="W125" s="2"/>
      <c r="X125" s="6">
        <f t="shared" si="81"/>
        <v>-107.04</v>
      </c>
      <c r="Y125" s="2"/>
      <c r="Z125" s="7">
        <f t="shared" si="82"/>
        <v>-1</v>
      </c>
    </row>
    <row r="126" spans="1:26" s="24" customFormat="1" hidden="1" outlineLevel="2" x14ac:dyDescent="0.25">
      <c r="A126" s="25"/>
      <c r="B126" s="11" t="str">
        <f>CONCATENATE("          ", "6294", " - ", "TRAVEL OPERATIONAL")</f>
        <v xml:space="preserve">          6294 - TRAVEL OPERATIONAL</v>
      </c>
      <c r="C126" s="11"/>
      <c r="D126" s="6">
        <v>69.92</v>
      </c>
      <c r="E126" s="2"/>
      <c r="F126" s="7">
        <f t="shared" si="75"/>
        <v>4.9399717830959553E-4</v>
      </c>
      <c r="G126" s="2"/>
      <c r="H126" s="6">
        <v>-419</v>
      </c>
      <c r="I126" s="2"/>
      <c r="J126" s="7">
        <f t="shared" si="76"/>
        <v>-2.1494997052261262E-3</v>
      </c>
      <c r="K126" s="2"/>
      <c r="L126" s="6">
        <f t="shared" si="77"/>
        <v>488.92</v>
      </c>
      <c r="M126" s="2"/>
      <c r="N126" s="7">
        <f t="shared" si="78"/>
        <v>-1.166873508353222</v>
      </c>
      <c r="O126" s="11"/>
      <c r="P126" s="6">
        <v>69.92</v>
      </c>
      <c r="Q126" s="2"/>
      <c r="R126" s="7">
        <f t="shared" si="79"/>
        <v>6.8072331096575051E-5</v>
      </c>
      <c r="S126" s="2"/>
      <c r="T126" s="6">
        <v>-206.2</v>
      </c>
      <c r="U126" s="2"/>
      <c r="V126" s="7">
        <f t="shared" si="80"/>
        <v>-1.2407676238163938E-4</v>
      </c>
      <c r="W126" s="2"/>
      <c r="X126" s="6">
        <f t="shared" si="81"/>
        <v>276.12</v>
      </c>
      <c r="Y126" s="2"/>
      <c r="Z126" s="7">
        <f t="shared" si="82"/>
        <v>-1.3390882638215327</v>
      </c>
    </row>
    <row r="127" spans="1:26" s="61" customFormat="1" x14ac:dyDescent="0.25">
      <c r="A127" s="37"/>
      <c r="B127" s="37"/>
      <c r="C127" s="37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7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collapsed="1" x14ac:dyDescent="0.25">
      <c r="A128" s="10"/>
      <c r="B128" s="29" t="s">
        <v>0</v>
      </c>
      <c r="C128" s="10"/>
      <c r="D128" s="4">
        <f>SUM(OSRRefD25x_0)</f>
        <v>15571.57</v>
      </c>
      <c r="E128" s="4"/>
      <c r="F128" s="12">
        <f t="shared" ref="F128:F130" si="83">IF(D$12=0,0,D128/D$12)</f>
        <v>0.11001589876788256</v>
      </c>
      <c r="G128" s="4"/>
      <c r="H128" s="4">
        <f>SUM(OSRRefH25x_0)</f>
        <v>0</v>
      </c>
      <c r="I128" s="4"/>
      <c r="J128" s="12">
        <f t="shared" ref="J128:J130" si="84">IF(H$12=0,0,H128/H$12)</f>
        <v>0</v>
      </c>
      <c r="K128" s="4"/>
      <c r="L128" s="4">
        <f t="shared" ref="L128:L130" si="85">+D128-H128</f>
        <v>15571.57</v>
      </c>
      <c r="M128" s="4"/>
      <c r="N128" s="12">
        <f t="shared" ref="N128:N130" si="86">IF(H128=0,0,L128/H128)</f>
        <v>0</v>
      </c>
      <c r="O128" s="10"/>
      <c r="P128" s="4">
        <f>SUM(OSRRefP25x_0)</f>
        <v>221779.15</v>
      </c>
      <c r="Q128" s="4"/>
      <c r="R128" s="12">
        <f t="shared" ref="R128:R130" si="87">IF(P$12=0,0,P128/P$12)</f>
        <v>0.21591853159492252</v>
      </c>
      <c r="S128" s="4"/>
      <c r="T128" s="4">
        <f>SUM(OSRRefT25x_0)</f>
        <v>14830.16</v>
      </c>
      <c r="U128" s="4"/>
      <c r="V128" s="12">
        <f t="shared" ref="V128:V130" si="88">IF(T$12=0,0,T128/T$12)</f>
        <v>8.9237547934126714E-3</v>
      </c>
      <c r="W128" s="4"/>
      <c r="X128" s="4">
        <f t="shared" ref="X128:X130" si="89">+P128-T128</f>
        <v>206948.99</v>
      </c>
      <c r="Y128" s="4"/>
      <c r="Z128" s="12">
        <f t="shared" ref="Z128:Z130" si="90">IF(T128=0,0,X128/T128)</f>
        <v>13.954602647577639</v>
      </c>
    </row>
    <row r="129" spans="1:26" s="24" customFormat="1" hidden="1" outlineLevel="1" x14ac:dyDescent="0.25">
      <c r="A129" s="44"/>
      <c r="B129" s="11" t="str">
        <f>CONCATENATE("          ", "9150", " - ", "MISC. INCOME")</f>
        <v xml:space="preserve">          9150 - MISC. INCOME</v>
      </c>
      <c r="C129" s="11"/>
      <c r="D129" s="2">
        <f>--15571.57</f>
        <v>15571.57</v>
      </c>
      <c r="E129" s="2"/>
      <c r="F129" s="19">
        <f t="shared" si="83"/>
        <v>0.11001589876788256</v>
      </c>
      <c r="G129" s="2"/>
      <c r="H129" s="2">
        <f t="shared" ref="H129:H130" si="91">0</f>
        <v>0</v>
      </c>
      <c r="I129" s="2"/>
      <c r="J129" s="19">
        <f t="shared" si="84"/>
        <v>0</v>
      </c>
      <c r="K129" s="2"/>
      <c r="L129" s="2">
        <f t="shared" si="85"/>
        <v>15571.57</v>
      </c>
      <c r="M129" s="2"/>
      <c r="N129" s="19">
        <f t="shared" si="86"/>
        <v>0</v>
      </c>
      <c r="O129" s="11"/>
      <c r="P129" s="2">
        <f>--46373.31</f>
        <v>46373.31</v>
      </c>
      <c r="Q129" s="2"/>
      <c r="R129" s="19">
        <f t="shared" si="87"/>
        <v>4.5147873460585165E-2</v>
      </c>
      <c r="S129" s="2"/>
      <c r="T129" s="2">
        <f>--14830.16</f>
        <v>14830.16</v>
      </c>
      <c r="U129" s="2"/>
      <c r="V129" s="19">
        <f t="shared" si="88"/>
        <v>8.9237547934126714E-3</v>
      </c>
      <c r="W129" s="2"/>
      <c r="X129" s="2">
        <f t="shared" si="89"/>
        <v>31543.149999999998</v>
      </c>
      <c r="Y129" s="2"/>
      <c r="Z129" s="19">
        <f t="shared" si="90"/>
        <v>2.1269595203288434</v>
      </c>
    </row>
    <row r="130" spans="1:26" s="24" customFormat="1" hidden="1" outlineLevel="1" x14ac:dyDescent="0.25">
      <c r="A130" s="44"/>
      <c r="B130" s="11" t="str">
        <f>CONCATENATE("          ", "9163", " - ", "MISC. INCOME")</f>
        <v xml:space="preserve">          9163 - MISC. INCOME</v>
      </c>
      <c r="C130" s="11"/>
      <c r="D130" s="2">
        <f>0</f>
        <v>0</v>
      </c>
      <c r="E130" s="2"/>
      <c r="F130" s="19">
        <f t="shared" si="83"/>
        <v>0</v>
      </c>
      <c r="G130" s="2"/>
      <c r="H130" s="2">
        <f t="shared" si="91"/>
        <v>0</v>
      </c>
      <c r="I130" s="2"/>
      <c r="J130" s="19">
        <f t="shared" si="84"/>
        <v>0</v>
      </c>
      <c r="K130" s="2"/>
      <c r="L130" s="2">
        <f t="shared" si="85"/>
        <v>0</v>
      </c>
      <c r="M130" s="2"/>
      <c r="N130" s="19">
        <f t="shared" si="86"/>
        <v>0</v>
      </c>
      <c r="O130" s="11"/>
      <c r="P130" s="2">
        <f>--175405.84</f>
        <v>175405.84</v>
      </c>
      <c r="Q130" s="2"/>
      <c r="R130" s="19">
        <f t="shared" si="87"/>
        <v>0.17077065813433737</v>
      </c>
      <c r="S130" s="2"/>
      <c r="T130" s="2">
        <f>0</f>
        <v>0</v>
      </c>
      <c r="U130" s="2"/>
      <c r="V130" s="19">
        <f t="shared" si="88"/>
        <v>0</v>
      </c>
      <c r="W130" s="2"/>
      <c r="X130" s="2">
        <f t="shared" si="89"/>
        <v>175405.84</v>
      </c>
      <c r="Y130" s="2"/>
      <c r="Z130" s="19">
        <f t="shared" si="90"/>
        <v>0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10"/>
      <c r="B132" s="28" t="s">
        <v>3</v>
      </c>
      <c r="C132" s="28"/>
      <c r="D132" s="20">
        <f>+D77-D79+D128</f>
        <v>25487.780000000042</v>
      </c>
      <c r="E132" s="14"/>
      <c r="F132" s="22">
        <f>IF(D$12=0,0,D132/D$12)</f>
        <v>0.1800756779372964</v>
      </c>
      <c r="G132" s="14"/>
      <c r="H132" s="20">
        <f>+H77-H79+H128</f>
        <v>42776.310000000027</v>
      </c>
      <c r="I132" s="14"/>
      <c r="J132" s="22">
        <f>IF(H$12=0,0,H132/H$12)</f>
        <v>0.21944550294907267</v>
      </c>
      <c r="K132" s="15"/>
      <c r="L132" s="20">
        <f>+D132-H132</f>
        <v>-17288.529999999984</v>
      </c>
      <c r="M132" s="15"/>
      <c r="N132" s="22">
        <f>IF(H132=0,0,L132/H132)</f>
        <v>-0.40416132200276211</v>
      </c>
      <c r="O132" s="29"/>
      <c r="P132" s="20">
        <f>+P77-P79+P128</f>
        <v>306972.76</v>
      </c>
      <c r="Q132" s="14"/>
      <c r="R132" s="22">
        <f>IF(P$12=0,0,P132/P$12)</f>
        <v>0.29886086035968923</v>
      </c>
      <c r="S132" s="14"/>
      <c r="T132" s="20">
        <f>+T77-T79+T128</f>
        <v>479144.27999999997</v>
      </c>
      <c r="U132" s="14"/>
      <c r="V132" s="22">
        <f>IF(T$12=0,0,T132/T$12)</f>
        <v>0.2883155721439461</v>
      </c>
      <c r="W132" s="15"/>
      <c r="X132" s="20">
        <f>+P132-T132</f>
        <v>-172171.51999999996</v>
      </c>
      <c r="Y132" s="15"/>
      <c r="Z132" s="22">
        <f>IF(T132=0,0,X132/T132)</f>
        <v>-0.35933126447841551</v>
      </c>
    </row>
    <row r="133" spans="1:26" x14ac:dyDescent="0.25">
      <c r="A133" s="9"/>
      <c r="B133" s="10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25">
      <c r="A134" s="51"/>
      <c r="B134" s="10" t="s">
        <v>13</v>
      </c>
      <c r="C134" s="10"/>
      <c r="D134" s="4">
        <v>16861.57</v>
      </c>
      <c r="E134" s="4"/>
      <c r="F134" s="12">
        <f>IF(D$12=0,0,D134/D$12)</f>
        <v>0.11912997714344575</v>
      </c>
      <c r="G134" s="4"/>
      <c r="H134" s="4">
        <v>14868.569999999998</v>
      </c>
      <c r="I134" s="4"/>
      <c r="J134" s="12">
        <f>IF(H$12=0,0,H134/H$12)</f>
        <v>7.627681821511699E-2</v>
      </c>
      <c r="K134" s="4"/>
      <c r="L134" s="4">
        <f>+D134-H134</f>
        <v>1993.0000000000018</v>
      </c>
      <c r="M134" s="4"/>
      <c r="N134" s="12">
        <f>IF(H134=0,0,L134/H134)</f>
        <v>0.13404113509234594</v>
      </c>
      <c r="O134" s="10"/>
      <c r="P134" s="4">
        <v>186453.58000000002</v>
      </c>
      <c r="Q134" s="4"/>
      <c r="R134" s="12">
        <f>IF(P$12=0,0,P134/P$12)</f>
        <v>0.18152645640591741</v>
      </c>
      <c r="S134" s="4"/>
      <c r="T134" s="4">
        <v>173309.97</v>
      </c>
      <c r="U134" s="4"/>
      <c r="V134" s="12">
        <f>IF(T$12=0,0,T134/T$12)</f>
        <v>0.10428583882666852</v>
      </c>
      <c r="W134" s="4"/>
      <c r="X134" s="4">
        <f>+P134-T134</f>
        <v>13143.610000000015</v>
      </c>
      <c r="Y134" s="4"/>
      <c r="Z134" s="12">
        <f>IF(T134=0,0,X134/T134)</f>
        <v>7.5838741418050068E-2</v>
      </c>
    </row>
    <row r="135" spans="1:26" x14ac:dyDescent="0.2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8" t="s">
        <v>4</v>
      </c>
      <c r="C136" s="28"/>
      <c r="D136" s="30">
        <f>+D132-D134</f>
        <v>8626.2100000000428</v>
      </c>
      <c r="E136" s="14"/>
      <c r="F136" s="36">
        <f>IF(D$12=0,0,D136/D$12)</f>
        <v>6.094570079385065E-2</v>
      </c>
      <c r="G136" s="14"/>
      <c r="H136" s="30">
        <f>+H132-H134</f>
        <v>27907.740000000027</v>
      </c>
      <c r="I136" s="14"/>
      <c r="J136" s="36">
        <f>IF(H$12=0,0,H136/H$12)</f>
        <v>0.14316868473395566</v>
      </c>
      <c r="K136" s="15"/>
      <c r="L136" s="30">
        <f>D136-H136</f>
        <v>-19281.529999999984</v>
      </c>
      <c r="M136" s="15"/>
      <c r="N136" s="36">
        <f>IF(H136=0,0,L136/H136)</f>
        <v>-0.690902595480679</v>
      </c>
      <c r="O136" s="29"/>
      <c r="P136" s="30">
        <f>+P132-P134</f>
        <v>120519.18</v>
      </c>
      <c r="Q136" s="14"/>
      <c r="R136" s="36">
        <f>IF(P$12=0,0,P136/P$12)</f>
        <v>0.11733440395377182</v>
      </c>
      <c r="S136" s="14"/>
      <c r="T136" s="30">
        <f>+T132-T134</f>
        <v>305834.30999999994</v>
      </c>
      <c r="U136" s="14"/>
      <c r="V136" s="36">
        <f>IF(T$12=0,0,T136/T$12)</f>
        <v>0.18402973331727754</v>
      </c>
      <c r="W136" s="15"/>
      <c r="X136" s="30">
        <f>P136-T136</f>
        <v>-185315.12999999995</v>
      </c>
      <c r="Y136" s="15"/>
      <c r="Z136" s="36">
        <f>IF(T136=0,0,X136/T136)</f>
        <v>-0.60593309494935343</v>
      </c>
    </row>
    <row r="137" spans="1:26" ht="15.75" thickTop="1" x14ac:dyDescent="0.25">
      <c r="A137" s="9"/>
      <c r="B137" s="9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x14ac:dyDescent="0.25">
      <c r="A138" s="9"/>
      <c r="B138" s="9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ht="15.75" thickBot="1" x14ac:dyDescent="0.3">
      <c r="A139" s="10"/>
      <c r="B139" s="28" t="s">
        <v>5</v>
      </c>
      <c r="C139" s="28"/>
      <c r="D139" s="32">
        <f>SUM(D136:D138)</f>
        <v>8626.2100000000428</v>
      </c>
      <c r="E139" s="14"/>
      <c r="F139" s="31">
        <f>IF(D$12=0,0,D139/D$12)</f>
        <v>6.094570079385065E-2</v>
      </c>
      <c r="G139" s="14"/>
      <c r="H139" s="32">
        <f>SUM(H136:H138)</f>
        <v>27907.740000000027</v>
      </c>
      <c r="I139" s="14"/>
      <c r="J139" s="31">
        <f>IF(H$12=0,0,H139/H$12)</f>
        <v>0.14316868473395566</v>
      </c>
      <c r="K139" s="15"/>
      <c r="L139" s="32">
        <f>+D139-H139</f>
        <v>-19281.529999999984</v>
      </c>
      <c r="M139" s="15"/>
      <c r="N139" s="31">
        <f>IF(H139=0,0,L139/H139)</f>
        <v>-0.690902595480679</v>
      </c>
      <c r="O139" s="29"/>
      <c r="P139" s="32">
        <f>SUM(P136:P138)</f>
        <v>120519.18</v>
      </c>
      <c r="Q139" s="14"/>
      <c r="R139" s="31">
        <f>IF(P$12=0,0,P139/P$12)</f>
        <v>0.11733440395377182</v>
      </c>
      <c r="S139" s="14"/>
      <c r="T139" s="32">
        <f>SUM(T136:T138)</f>
        <v>305834.30999999994</v>
      </c>
      <c r="U139" s="14"/>
      <c r="V139" s="31">
        <f>IF(T$12=0,0,T139/T$12)</f>
        <v>0.18402973331727754</v>
      </c>
      <c r="W139" s="15"/>
      <c r="X139" s="32">
        <f>+P139-T139</f>
        <v>-185315.12999999995</v>
      </c>
      <c r="Y139" s="15"/>
      <c r="Z139" s="31">
        <f>IF(T139=0,0,X139/T139)</f>
        <v>-0.60593309494935343</v>
      </c>
    </row>
    <row r="140" spans="1:26" ht="15.75" thickTop="1" x14ac:dyDescent="0.25">
      <c r="A140" s="9"/>
      <c r="C140" s="9"/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  <row r="141" spans="1:26" x14ac:dyDescent="0.25">
      <c r="A141" s="9"/>
      <c r="B141" s="62">
        <v>44238.496244756941</v>
      </c>
      <c r="D141" s="18"/>
      <c r="E141" s="18"/>
      <c r="G141" s="18"/>
      <c r="H141" s="18"/>
      <c r="I141" s="18"/>
      <c r="J141" s="42"/>
      <c r="K141" s="18"/>
      <c r="L141" s="18"/>
      <c r="M141" s="18"/>
      <c r="P141" s="18"/>
      <c r="Q141" s="18"/>
      <c r="R141" s="42"/>
      <c r="S141" s="18"/>
      <c r="T141" s="18"/>
      <c r="U141" s="18"/>
      <c r="V141" s="42"/>
      <c r="W141" s="18"/>
      <c r="X141" s="18"/>
    </row>
    <row r="142" spans="1:26" x14ac:dyDescent="0.25">
      <c r="A142" s="9"/>
      <c r="B142" s="59" t="s">
        <v>313</v>
      </c>
      <c r="D142" s="18"/>
      <c r="E142" s="18"/>
      <c r="G142" s="18"/>
      <c r="H142" s="18"/>
      <c r="I142" s="18"/>
      <c r="J142" s="42"/>
      <c r="K142" s="18"/>
      <c r="L142" s="18"/>
      <c r="M142" s="18"/>
      <c r="P142" s="18"/>
      <c r="Q142" s="18"/>
      <c r="R142" s="42"/>
      <c r="S142" s="18"/>
      <c r="T142" s="18"/>
      <c r="U142" s="18"/>
      <c r="V142" s="42"/>
      <c r="W142" s="18"/>
      <c r="X142" s="18"/>
    </row>
    <row r="143" spans="1:26" x14ac:dyDescent="0.25">
      <c r="A143" s="9"/>
      <c r="B143" s="56"/>
      <c r="D143" s="18"/>
      <c r="E143" s="18"/>
      <c r="G143" s="18"/>
      <c r="H143" s="18"/>
      <c r="I143" s="18"/>
      <c r="J143" s="42"/>
      <c r="K143" s="18"/>
      <c r="L143" s="18"/>
      <c r="M143" s="18"/>
      <c r="P143" s="18"/>
      <c r="Q143" s="18"/>
      <c r="R143" s="42"/>
      <c r="S143" s="18"/>
      <c r="T143" s="18"/>
      <c r="U143" s="18"/>
      <c r="V143" s="42"/>
      <c r="W143" s="18"/>
      <c r="X143" s="18"/>
    </row>
    <row r="144" spans="1:26" x14ac:dyDescent="0.25">
      <c r="D144" s="18"/>
      <c r="E144" s="18"/>
      <c r="G144" s="18"/>
      <c r="H144" s="18"/>
      <c r="I144" s="18"/>
      <c r="J144" s="42"/>
      <c r="K144" s="18"/>
      <c r="L144" s="18"/>
      <c r="M144" s="18"/>
      <c r="P144" s="18"/>
      <c r="Q144" s="18"/>
      <c r="R144" s="42"/>
      <c r="S144" s="18"/>
      <c r="T144" s="18"/>
      <c r="U144" s="18"/>
      <c r="V144" s="42"/>
      <c r="W144" s="18"/>
      <c r="X144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","326", " - ", "2nd Street Store")</f>
        <v>Department 326 - 2nd Street Store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18753.109999999997</v>
      </c>
      <c r="E12" s="4"/>
      <c r="F12" s="12"/>
      <c r="G12" s="4"/>
      <c r="H12" s="4">
        <f>SUM(OSRRefH13x_0)</f>
        <v>75020.679999999993</v>
      </c>
      <c r="I12" s="4"/>
      <c r="J12" s="12"/>
      <c r="K12" s="4"/>
      <c r="L12" s="4">
        <f t="shared" ref="L12:L38" si="0">+D12-H12</f>
        <v>-56267.569999999992</v>
      </c>
      <c r="M12" s="4"/>
      <c r="N12" s="12">
        <f t="shared" ref="N12:N38" si="1">IF(H12=0,0,L12/H12)</f>
        <v>-0.75002745909527879</v>
      </c>
      <c r="O12" s="10"/>
      <c r="P12" s="4">
        <f>SUM(OSRRefP13x_0)</f>
        <v>163670.20000000007</v>
      </c>
      <c r="Q12" s="4"/>
      <c r="R12" s="12"/>
      <c r="S12" s="4"/>
      <c r="T12" s="4">
        <f>SUM(OSRRefT13x_0)</f>
        <v>359383.80000000005</v>
      </c>
      <c r="U12" s="4"/>
      <c r="V12" s="12"/>
      <c r="W12" s="4"/>
      <c r="X12" s="4">
        <f t="shared" ref="X12:X38" si="2">+P12-T12</f>
        <v>-195713.59999999998</v>
      </c>
      <c r="Y12" s="4"/>
      <c r="Z12" s="12">
        <f t="shared" ref="Z12:Z38" si="3">IF(T12=0,0,X12/T12)</f>
        <v>-0.54458103008538494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-1022.41</f>
        <v>-1022.41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-1022.41</v>
      </c>
      <c r="M13" s="2"/>
      <c r="N13" s="19">
        <f t="shared" si="1"/>
        <v>0</v>
      </c>
      <c r="O13" s="11"/>
      <c r="P13" s="2">
        <f>-4366.12</f>
        <v>-4366.12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-4366.12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>0</f>
        <v>0</v>
      </c>
      <c r="E14" s="2"/>
      <c r="F14" s="19"/>
      <c r="G14" s="2"/>
      <c r="H14" s="2">
        <f>--13.62</f>
        <v>13.62</v>
      </c>
      <c r="I14" s="2"/>
      <c r="J14" s="19"/>
      <c r="K14" s="2"/>
      <c r="L14" s="2">
        <f t="shared" si="0"/>
        <v>-13.62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--13.62</f>
        <v>13.62</v>
      </c>
      <c r="U14" s="2"/>
      <c r="V14" s="19"/>
      <c r="W14" s="2"/>
      <c r="X14" s="2">
        <f t="shared" si="2"/>
        <v>-13.62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--34.62</f>
        <v>34.619999999999997</v>
      </c>
      <c r="E15" s="2"/>
      <c r="F15" s="19"/>
      <c r="G15" s="2"/>
      <c r="H15" s="2">
        <f>--24.98</f>
        <v>24.98</v>
      </c>
      <c r="I15" s="2"/>
      <c r="J15" s="19"/>
      <c r="K15" s="2"/>
      <c r="L15" s="2">
        <f t="shared" si="0"/>
        <v>9.639999999999997</v>
      </c>
      <c r="M15" s="2"/>
      <c r="N15" s="19">
        <f t="shared" si="1"/>
        <v>0.38590872698158513</v>
      </c>
      <c r="O15" s="11"/>
      <c r="P15" s="2">
        <f>--167.5</f>
        <v>167.5</v>
      </c>
      <c r="Q15" s="2"/>
      <c r="R15" s="19"/>
      <c r="S15" s="2"/>
      <c r="T15" s="2">
        <f>--174.63</f>
        <v>174.63</v>
      </c>
      <c r="U15" s="2"/>
      <c r="V15" s="19"/>
      <c r="W15" s="2"/>
      <c r="X15" s="2">
        <f t="shared" si="2"/>
        <v>-7.1299999999999955</v>
      </c>
      <c r="Y15" s="2"/>
      <c r="Z15" s="19">
        <f t="shared" si="3"/>
        <v>-4.0829181698448125E-2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--60.44</f>
        <v>60.44</v>
      </c>
      <c r="E16" s="2"/>
      <c r="F16" s="19"/>
      <c r="G16" s="2"/>
      <c r="H16" s="2">
        <f>--91.73</f>
        <v>91.73</v>
      </c>
      <c r="I16" s="2"/>
      <c r="J16" s="19"/>
      <c r="K16" s="2"/>
      <c r="L16" s="2">
        <f t="shared" si="0"/>
        <v>-31.290000000000006</v>
      </c>
      <c r="M16" s="2"/>
      <c r="N16" s="19">
        <f t="shared" si="1"/>
        <v>-0.3411097786983539</v>
      </c>
      <c r="O16" s="11"/>
      <c r="P16" s="2">
        <f>--291.11</f>
        <v>291.11</v>
      </c>
      <c r="Q16" s="2"/>
      <c r="R16" s="19"/>
      <c r="S16" s="2"/>
      <c r="T16" s="2">
        <f>--139.64</f>
        <v>139.63999999999999</v>
      </c>
      <c r="U16" s="2"/>
      <c r="V16" s="19"/>
      <c r="W16" s="2"/>
      <c r="X16" s="2">
        <f t="shared" si="2"/>
        <v>151.47000000000003</v>
      </c>
      <c r="Y16" s="2"/>
      <c r="Z16" s="19">
        <f t="shared" si="3"/>
        <v>1.0847178458894302</v>
      </c>
    </row>
    <row r="17" spans="1:26" s="24" customFormat="1" hidden="1" outlineLevel="1" x14ac:dyDescent="0.25">
      <c r="A17" s="44"/>
      <c r="B17" s="11" t="str">
        <f>CONCATENATE("          ", "4028", " - ", "TAXABLE SALES-ART/TECH")</f>
        <v xml:space="preserve">          4028 - TAXABLE SALES-ART/TECH</v>
      </c>
      <c r="C17" s="11"/>
      <c r="D17" s="2">
        <f>--3</f>
        <v>3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3</v>
      </c>
      <c r="M17" s="2"/>
      <c r="N17" s="19">
        <f t="shared" si="1"/>
        <v>0</v>
      </c>
      <c r="O17" s="11"/>
      <c r="P17" s="2">
        <f>--29.24</f>
        <v>29.24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29.24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"4040", " - ", "TAXABLE SALES-LOGO CLOTHING")</f>
        <v xml:space="preserve">          4040 - TAXABLE SALES-LOGO CLOTHING</v>
      </c>
      <c r="C18" s="11"/>
      <c r="D18" s="2">
        <f>--17116.98</f>
        <v>17116.98</v>
      </c>
      <c r="E18" s="2"/>
      <c r="F18" s="19"/>
      <c r="G18" s="2"/>
      <c r="H18" s="2">
        <f>--62989.78</f>
        <v>62989.78</v>
      </c>
      <c r="I18" s="2"/>
      <c r="J18" s="19"/>
      <c r="K18" s="2"/>
      <c r="L18" s="2">
        <f t="shared" si="0"/>
        <v>-45872.800000000003</v>
      </c>
      <c r="M18" s="2"/>
      <c r="N18" s="19">
        <f t="shared" si="1"/>
        <v>-0.72825782214194124</v>
      </c>
      <c r="O18" s="11"/>
      <c r="P18" s="2">
        <f>--135980.92</f>
        <v>135980.92000000001</v>
      </c>
      <c r="Q18" s="2"/>
      <c r="R18" s="19"/>
      <c r="S18" s="2"/>
      <c r="T18" s="2">
        <f>--301404.38</f>
        <v>301404.38</v>
      </c>
      <c r="U18" s="2"/>
      <c r="V18" s="19"/>
      <c r="W18" s="2"/>
      <c r="X18" s="2">
        <f t="shared" si="2"/>
        <v>-165423.46</v>
      </c>
      <c r="Y18" s="2"/>
      <c r="Z18" s="19">
        <f t="shared" si="3"/>
        <v>-0.54884225637331474</v>
      </c>
    </row>
    <row r="19" spans="1:26" s="24" customFormat="1" hidden="1" outlineLevel="1" x14ac:dyDescent="0.25">
      <c r="A19" s="44"/>
      <c r="B19" s="11" t="str">
        <f>CONCATENATE("          ", "4041", " - ", "TAXABLE SALES-LOGO GIFTS")</f>
        <v xml:space="preserve">          4041 - TAXABLE SALES-LOGO GIFTS</v>
      </c>
      <c r="C19" s="11"/>
      <c r="D19" s="2">
        <f>--2350.56</f>
        <v>2350.56</v>
      </c>
      <c r="E19" s="2"/>
      <c r="F19" s="19"/>
      <c r="G19" s="2"/>
      <c r="H19" s="2">
        <f>--9414.77</f>
        <v>9414.77</v>
      </c>
      <c r="I19" s="2"/>
      <c r="J19" s="19"/>
      <c r="K19" s="2"/>
      <c r="L19" s="2">
        <f t="shared" si="0"/>
        <v>-7064.2100000000009</v>
      </c>
      <c r="M19" s="2"/>
      <c r="N19" s="19">
        <f t="shared" si="1"/>
        <v>-0.75033272188274391</v>
      </c>
      <c r="O19" s="11"/>
      <c r="P19" s="2">
        <f>--21297.98</f>
        <v>21297.98</v>
      </c>
      <c r="Q19" s="2"/>
      <c r="R19" s="19"/>
      <c r="S19" s="2"/>
      <c r="T19" s="2">
        <f>--40389.51</f>
        <v>40389.51</v>
      </c>
      <c r="U19" s="2"/>
      <c r="V19" s="19"/>
      <c r="W19" s="2"/>
      <c r="X19" s="2">
        <f t="shared" si="2"/>
        <v>-19091.530000000002</v>
      </c>
      <c r="Y19" s="2"/>
      <c r="Z19" s="19">
        <f t="shared" si="3"/>
        <v>-0.47268535815363943</v>
      </c>
    </row>
    <row r="20" spans="1:26" s="24" customFormat="1" hidden="1" outlineLevel="1" x14ac:dyDescent="0.25">
      <c r="A20" s="44"/>
      <c r="B20" s="11" t="str">
        <f>CONCATENATE("          ", "4042", " - ", "TAXABLE SALES-EVERYDAY GIFTS")</f>
        <v xml:space="preserve">          4042 - TAXABLE SALES-EVERYDAY GIFTS</v>
      </c>
      <c r="C20" s="11"/>
      <c r="D20" s="2">
        <f>--472.39</f>
        <v>472.39</v>
      </c>
      <c r="E20" s="2"/>
      <c r="F20" s="19"/>
      <c r="G20" s="2"/>
      <c r="H20" s="2">
        <f>--5422.43</f>
        <v>5422.43</v>
      </c>
      <c r="I20" s="2"/>
      <c r="J20" s="19"/>
      <c r="K20" s="2"/>
      <c r="L20" s="2">
        <f t="shared" si="0"/>
        <v>-4950.04</v>
      </c>
      <c r="M20" s="2"/>
      <c r="N20" s="19">
        <f t="shared" si="1"/>
        <v>-0.91288223176693839</v>
      </c>
      <c r="O20" s="11"/>
      <c r="P20" s="2">
        <f>--6626.33</f>
        <v>6626.33</v>
      </c>
      <c r="Q20" s="2"/>
      <c r="R20" s="19"/>
      <c r="S20" s="2"/>
      <c r="T20" s="2">
        <f>--27000.81</f>
        <v>27000.81</v>
      </c>
      <c r="U20" s="2"/>
      <c r="V20" s="19"/>
      <c r="W20" s="2"/>
      <c r="X20" s="2">
        <f t="shared" si="2"/>
        <v>-20374.480000000003</v>
      </c>
      <c r="Y20" s="2"/>
      <c r="Z20" s="19">
        <f t="shared" si="3"/>
        <v>-0.75458773273838831</v>
      </c>
    </row>
    <row r="21" spans="1:26" s="24" customFormat="1" hidden="1" outlineLevel="1" x14ac:dyDescent="0.25">
      <c r="A21" s="44"/>
      <c r="B21" s="11" t="str">
        <f>CONCATENATE("          ", "4043", " - ", "TAXABLE SALES-CARDS")</f>
        <v xml:space="preserve">          4043 - TAXABLE SALES-CARDS</v>
      </c>
      <c r="C21" s="11"/>
      <c r="D21" s="2">
        <f>--1965.02</f>
        <v>1965.02</v>
      </c>
      <c r="E21" s="2"/>
      <c r="F21" s="19"/>
      <c r="G21" s="2"/>
      <c r="H21" s="2">
        <f>--1104.42</f>
        <v>1104.42</v>
      </c>
      <c r="I21" s="2"/>
      <c r="J21" s="19"/>
      <c r="K21" s="2"/>
      <c r="L21" s="2">
        <f t="shared" si="0"/>
        <v>860.59999999999991</v>
      </c>
      <c r="M21" s="2"/>
      <c r="N21" s="19">
        <f t="shared" si="1"/>
        <v>0.77923253834591899</v>
      </c>
      <c r="O21" s="11"/>
      <c r="P21" s="2">
        <f>--8205.25</f>
        <v>8205.25</v>
      </c>
      <c r="Q21" s="2"/>
      <c r="R21" s="19"/>
      <c r="S21" s="2"/>
      <c r="T21" s="2">
        <f>--1384.14</f>
        <v>1384.14</v>
      </c>
      <c r="U21" s="2"/>
      <c r="V21" s="19"/>
      <c r="W21" s="2"/>
      <c r="X21" s="2">
        <f t="shared" si="2"/>
        <v>6821.11</v>
      </c>
      <c r="Y21" s="2"/>
      <c r="Z21" s="19">
        <f t="shared" si="3"/>
        <v>4.9280491857760049</v>
      </c>
    </row>
    <row r="22" spans="1:26" s="24" customFormat="1" hidden="1" outlineLevel="1" x14ac:dyDescent="0.25">
      <c r="A22" s="44"/>
      <c r="B22" s="11" t="str">
        <f>CONCATENATE("          ", "4044", " - ", "TAXABLE SALES-ACCESSORIES")</f>
        <v xml:space="preserve">          4044 - TAXABLE SALES-ACCESSORIES</v>
      </c>
      <c r="C22" s="11"/>
      <c r="D22" s="2">
        <f>--92.31</f>
        <v>92.31</v>
      </c>
      <c r="E22" s="2"/>
      <c r="F22" s="19"/>
      <c r="G22" s="2"/>
      <c r="H22" s="2">
        <f>--490.4</f>
        <v>490.4</v>
      </c>
      <c r="I22" s="2"/>
      <c r="J22" s="19"/>
      <c r="K22" s="2"/>
      <c r="L22" s="2">
        <f t="shared" si="0"/>
        <v>-398.09</v>
      </c>
      <c r="M22" s="2"/>
      <c r="N22" s="19">
        <f t="shared" si="1"/>
        <v>-0.81176590538336046</v>
      </c>
      <c r="O22" s="11"/>
      <c r="P22" s="2">
        <f>--1933.17</f>
        <v>1933.17</v>
      </c>
      <c r="Q22" s="2"/>
      <c r="R22" s="19"/>
      <c r="S22" s="2"/>
      <c r="T22" s="2">
        <f>--3029.45</f>
        <v>3029.45</v>
      </c>
      <c r="U22" s="2"/>
      <c r="V22" s="19"/>
      <c r="W22" s="2"/>
      <c r="X22" s="2">
        <f t="shared" si="2"/>
        <v>-1096.2799999999997</v>
      </c>
      <c r="Y22" s="2"/>
      <c r="Z22" s="19">
        <f t="shared" si="3"/>
        <v>-0.36187426760633112</v>
      </c>
    </row>
    <row r="23" spans="1:26" s="24" customFormat="1" hidden="1" outlineLevel="1" x14ac:dyDescent="0.25">
      <c r="A23" s="44"/>
      <c r="B23" s="11" t="str">
        <f>CONCATENATE("          ", "4045", " - ", "TAXABLE SALES-SPECIAL ORDERS")</f>
        <v xml:space="preserve">          4045 - TAXABLE SALES-SPECIAL ORDERS</v>
      </c>
      <c r="C23" s="11"/>
      <c r="D23" s="2">
        <f t="shared" ref="D23:D31" si="4">0</f>
        <v>0</v>
      </c>
      <c r="E23" s="2"/>
      <c r="F23" s="19"/>
      <c r="G23" s="2"/>
      <c r="H23" s="2">
        <f>--9.99</f>
        <v>9.99</v>
      </c>
      <c r="I23" s="2"/>
      <c r="J23" s="19"/>
      <c r="K23" s="2"/>
      <c r="L23" s="2">
        <f t="shared" si="0"/>
        <v>-9.99</v>
      </c>
      <c r="M23" s="2"/>
      <c r="N23" s="19">
        <f t="shared" si="1"/>
        <v>-1</v>
      </c>
      <c r="O23" s="11"/>
      <c r="P23" s="2">
        <f>--326.37</f>
        <v>326.37</v>
      </c>
      <c r="Q23" s="2"/>
      <c r="R23" s="19"/>
      <c r="S23" s="2"/>
      <c r="T23" s="2">
        <f>--467.6</f>
        <v>467.6</v>
      </c>
      <c r="U23" s="2"/>
      <c r="V23" s="19"/>
      <c r="W23" s="2"/>
      <c r="X23" s="2">
        <f t="shared" si="2"/>
        <v>-141.23000000000002</v>
      </c>
      <c r="Y23" s="2"/>
      <c r="Z23" s="19">
        <f t="shared" si="3"/>
        <v>-0.30203165098374679</v>
      </c>
    </row>
    <row r="24" spans="1:26" s="24" customFormat="1" hidden="1" outlineLevel="1" x14ac:dyDescent="0.25">
      <c r="A24" s="44"/>
      <c r="B24" s="11" t="str">
        <f>CONCATENATE("          ", "4092", " - ", "TAXABLE SALES-GRAD MERCH")</f>
        <v xml:space="preserve">          4092 - TAXABLE SALES-GRAD MERCH</v>
      </c>
      <c r="C24" s="11"/>
      <c r="D24" s="2">
        <f t="shared" si="4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ref="P24:P25" si="5">0</f>
        <v>0</v>
      </c>
      <c r="Q24" s="2"/>
      <c r="R24" s="19"/>
      <c r="S24" s="2"/>
      <c r="T24" s="2">
        <f>-39.95</f>
        <v>-39.950000000000003</v>
      </c>
      <c r="U24" s="2"/>
      <c r="V24" s="19"/>
      <c r="W24" s="2"/>
      <c r="X24" s="2">
        <f t="shared" si="2"/>
        <v>39.950000000000003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"4095", " - ", "TAXABLE SALES-CUSTOMER SERVICE")</f>
        <v xml:space="preserve">          4095 - TAXABLE SALES-CUSTOMER SERVICE</v>
      </c>
      <c r="C25" s="11"/>
      <c r="D25" s="2">
        <f t="shared" si="4"/>
        <v>0</v>
      </c>
      <c r="E25" s="2"/>
      <c r="F25" s="19"/>
      <c r="G25" s="2"/>
      <c r="H25" s="2">
        <f>--0.99</f>
        <v>0.99</v>
      </c>
      <c r="I25" s="2"/>
      <c r="J25" s="19"/>
      <c r="K25" s="2"/>
      <c r="L25" s="2">
        <f t="shared" si="0"/>
        <v>-0.99</v>
      </c>
      <c r="M25" s="2"/>
      <c r="N25" s="19">
        <f t="shared" si="1"/>
        <v>-1</v>
      </c>
      <c r="O25" s="11"/>
      <c r="P25" s="2">
        <f t="shared" si="5"/>
        <v>0</v>
      </c>
      <c r="Q25" s="2"/>
      <c r="R25" s="19"/>
      <c r="S25" s="2"/>
      <c r="T25" s="2">
        <f>--29.7</f>
        <v>29.7</v>
      </c>
      <c r="U25" s="2"/>
      <c r="V25" s="19"/>
      <c r="W25" s="2"/>
      <c r="X25" s="2">
        <f t="shared" si="2"/>
        <v>-29.7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"4131", " - ", "NON-TAXABLE SALES-FOOD")</f>
        <v xml:space="preserve">          4131 - NON-TAXABLE SALES-FOOD</v>
      </c>
      <c r="C26" s="11"/>
      <c r="D26" s="2">
        <f t="shared" si="4"/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--37.5</f>
        <v>37.5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37.5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"4137", " - ", "NON-TAXABLE SALES-WATER")</f>
        <v xml:space="preserve">          4137 - NON-TAXABLE SALES-WATER</v>
      </c>
      <c r="C27" s="11"/>
      <c r="D27" s="2">
        <f t="shared" si="4"/>
        <v>0</v>
      </c>
      <c r="E27" s="2"/>
      <c r="F27" s="19"/>
      <c r="G27" s="2"/>
      <c r="H27" s="2">
        <f>--10.5</f>
        <v>10.5</v>
      </c>
      <c r="I27" s="2"/>
      <c r="J27" s="19"/>
      <c r="K27" s="2"/>
      <c r="L27" s="2">
        <f t="shared" si="0"/>
        <v>-10.5</v>
      </c>
      <c r="M27" s="2"/>
      <c r="N27" s="19">
        <f t="shared" si="1"/>
        <v>-1</v>
      </c>
      <c r="O27" s="11"/>
      <c r="P27" s="2">
        <f>--9</f>
        <v>9</v>
      </c>
      <c r="Q27" s="2"/>
      <c r="R27" s="19"/>
      <c r="S27" s="2"/>
      <c r="T27" s="2">
        <f>--103.5</f>
        <v>103.5</v>
      </c>
      <c r="U27" s="2"/>
      <c r="V27" s="19"/>
      <c r="W27" s="2"/>
      <c r="X27" s="2">
        <f t="shared" si="2"/>
        <v>-94.5</v>
      </c>
      <c r="Y27" s="2"/>
      <c r="Z27" s="19">
        <f t="shared" si="3"/>
        <v>-0.91304347826086951</v>
      </c>
    </row>
    <row r="28" spans="1:26" s="24" customFormat="1" hidden="1" outlineLevel="1" x14ac:dyDescent="0.25">
      <c r="A28" s="44"/>
      <c r="B28" s="11" t="str">
        <f>CONCATENATE("          ", "4140", " - ", "NON-TAXABLE SALES-LOGO CLOTHIN")</f>
        <v xml:space="preserve">          4140 - NON-TAXABLE SALES-LOGO CLOTHIN</v>
      </c>
      <c r="C28" s="11"/>
      <c r="D28" s="2">
        <f t="shared" si="4"/>
        <v>0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--165.78</f>
        <v>165.78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165.78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"4142", " - ", "NON-TAXABLE SALES-EVERYDAY GIF")</f>
        <v xml:space="preserve">          4142 - NON-TAXABLE SALES-EVERYDAY GIF</v>
      </c>
      <c r="C29" s="11"/>
      <c r="D29" s="2">
        <f t="shared" si="4"/>
        <v>0</v>
      </c>
      <c r="E29" s="2"/>
      <c r="F29" s="19"/>
      <c r="G29" s="2"/>
      <c r="H29" s="2">
        <f>--270.76</f>
        <v>270.76</v>
      </c>
      <c r="I29" s="2"/>
      <c r="J29" s="19"/>
      <c r="K29" s="2"/>
      <c r="L29" s="2">
        <f t="shared" si="0"/>
        <v>-270.76</v>
      </c>
      <c r="M29" s="2"/>
      <c r="N29" s="19">
        <f t="shared" si="1"/>
        <v>-1</v>
      </c>
      <c r="O29" s="11"/>
      <c r="P29" s="2">
        <f>0</f>
        <v>0</v>
      </c>
      <c r="Q29" s="2"/>
      <c r="R29" s="19"/>
      <c r="S29" s="2"/>
      <c r="T29" s="2">
        <f>--563.79</f>
        <v>563.79</v>
      </c>
      <c r="U29" s="2"/>
      <c r="V29" s="19"/>
      <c r="W29" s="2"/>
      <c r="X29" s="2">
        <f t="shared" si="2"/>
        <v>-563.79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"4145", " - ", "NON-TAXABLE SALES-SPECIAL ORDE")</f>
        <v xml:space="preserve">          4145 - NON-TAXABLE SALES-SPECIAL ORDE</v>
      </c>
      <c r="C30" s="11"/>
      <c r="D30" s="2">
        <f t="shared" si="4"/>
        <v>0</v>
      </c>
      <c r="E30" s="2"/>
      <c r="F30" s="19"/>
      <c r="G30" s="2"/>
      <c r="H30" s="2">
        <f t="shared" ref="H30:H32" si="6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--7</f>
        <v>7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7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"4226", " - ", "SALES RETURN TAXABLE-WRITING I")</f>
        <v xml:space="preserve">          4226 - SALES RETURN TAXABLE-WRITING I</v>
      </c>
      <c r="C31" s="11"/>
      <c r="D31" s="2">
        <f t="shared" si="4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-27.85</f>
        <v>-27.85</v>
      </c>
      <c r="Q31" s="2"/>
      <c r="R31" s="19"/>
      <c r="S31" s="2"/>
      <c r="T31" s="2">
        <f>-134.8</f>
        <v>-134.80000000000001</v>
      </c>
      <c r="U31" s="2"/>
      <c r="V31" s="19"/>
      <c r="W31" s="2"/>
      <c r="X31" s="2">
        <f t="shared" si="2"/>
        <v>106.95000000000002</v>
      </c>
      <c r="Y31" s="2"/>
      <c r="Z31" s="19">
        <f t="shared" si="3"/>
        <v>-0.79339762611275966</v>
      </c>
    </row>
    <row r="32" spans="1:26" s="24" customFormat="1" hidden="1" outlineLevel="1" x14ac:dyDescent="0.25">
      <c r="A32" s="44"/>
      <c r="B32" s="11" t="str">
        <f>CONCATENATE("          ", "4227", " - ", "SALES RETURN TAXABLE-SCHOOL SU")</f>
        <v xml:space="preserve">          4227 - SALES RETURN TAXABLE-SCHOOL SU</v>
      </c>
      <c r="C32" s="11"/>
      <c r="D32" s="2">
        <f>-3.99</f>
        <v>-3.99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-3.99</v>
      </c>
      <c r="M32" s="2"/>
      <c r="N32" s="19">
        <f t="shared" si="1"/>
        <v>0</v>
      </c>
      <c r="O32" s="11"/>
      <c r="P32" s="2">
        <f>-43.21</f>
        <v>-43.21</v>
      </c>
      <c r="Q32" s="2"/>
      <c r="R32" s="19"/>
      <c r="S32" s="2"/>
      <c r="T32" s="2">
        <f>0</f>
        <v>0</v>
      </c>
      <c r="U32" s="2"/>
      <c r="V32" s="19"/>
      <c r="W32" s="2"/>
      <c r="X32" s="2">
        <f t="shared" si="2"/>
        <v>-43.21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"4240", " - ", "SALES RETURN TAXABLE-LOGO CLOT")</f>
        <v xml:space="preserve">          4240 - SALES RETURN TAXABLE-LOGO CLOT</v>
      </c>
      <c r="C33" s="11"/>
      <c r="D33" s="2">
        <f>-2310.86</f>
        <v>-2310.86</v>
      </c>
      <c r="E33" s="2"/>
      <c r="F33" s="19"/>
      <c r="G33" s="2"/>
      <c r="H33" s="2">
        <f>-4749.95</f>
        <v>-4749.95</v>
      </c>
      <c r="I33" s="2"/>
      <c r="J33" s="19"/>
      <c r="K33" s="2"/>
      <c r="L33" s="2">
        <f t="shared" si="0"/>
        <v>2439.0899999999997</v>
      </c>
      <c r="M33" s="2"/>
      <c r="N33" s="19">
        <f t="shared" si="1"/>
        <v>-0.51349803682144013</v>
      </c>
      <c r="O33" s="11"/>
      <c r="P33" s="2">
        <f>-6402.33</f>
        <v>-6402.33</v>
      </c>
      <c r="Q33" s="2"/>
      <c r="R33" s="19"/>
      <c r="S33" s="2"/>
      <c r="T33" s="2">
        <f>-13201.11</f>
        <v>-13201.11</v>
      </c>
      <c r="U33" s="2"/>
      <c r="V33" s="19"/>
      <c r="W33" s="2"/>
      <c r="X33" s="2">
        <f t="shared" si="2"/>
        <v>6798.7800000000007</v>
      </c>
      <c r="Y33" s="2"/>
      <c r="Z33" s="19">
        <f t="shared" si="3"/>
        <v>-0.51501578276372217</v>
      </c>
    </row>
    <row r="34" spans="1:26" s="24" customFormat="1" hidden="1" outlineLevel="1" x14ac:dyDescent="0.25">
      <c r="A34" s="44"/>
      <c r="B34" s="11" t="str">
        <f>CONCATENATE("          ", "4241", " - ", "SALES RETURN TAXABLE-LOGO GIFT")</f>
        <v xml:space="preserve">          4241 - SALES RETURN TAXABLE-LOGO GIFT</v>
      </c>
      <c r="C34" s="11"/>
      <c r="D34" s="2">
        <f>-4.95</f>
        <v>-4.95</v>
      </c>
      <c r="E34" s="2"/>
      <c r="F34" s="19"/>
      <c r="G34" s="2"/>
      <c r="H34" s="2">
        <f>-22.89</f>
        <v>-22.89</v>
      </c>
      <c r="I34" s="2"/>
      <c r="J34" s="19"/>
      <c r="K34" s="2"/>
      <c r="L34" s="2">
        <f t="shared" si="0"/>
        <v>17.940000000000001</v>
      </c>
      <c r="M34" s="2"/>
      <c r="N34" s="19">
        <f t="shared" si="1"/>
        <v>-0.78374836173001317</v>
      </c>
      <c r="O34" s="11"/>
      <c r="P34" s="2">
        <f>-279.36</f>
        <v>-279.36</v>
      </c>
      <c r="Q34" s="2"/>
      <c r="R34" s="19"/>
      <c r="S34" s="2"/>
      <c r="T34" s="2">
        <f>-992</f>
        <v>-992</v>
      </c>
      <c r="U34" s="2"/>
      <c r="V34" s="19"/>
      <c r="W34" s="2"/>
      <c r="X34" s="2">
        <f t="shared" si="2"/>
        <v>712.64</v>
      </c>
      <c r="Y34" s="2"/>
      <c r="Z34" s="19">
        <f t="shared" si="3"/>
        <v>-0.71838709677419355</v>
      </c>
    </row>
    <row r="35" spans="1:26" s="24" customFormat="1" hidden="1" outlineLevel="1" x14ac:dyDescent="0.25">
      <c r="A35" s="44"/>
      <c r="B35" s="11" t="str">
        <f>CONCATENATE("          ", "4242", " - ", "SALES RETURN TAXABLE-EVERYDAY")</f>
        <v xml:space="preserve">          4242 - SALES RETURN TAXABLE-EVERYDAY</v>
      </c>
      <c r="C35" s="11"/>
      <c r="D35" s="2">
        <f t="shared" ref="D35:D38" si="7">0</f>
        <v>0</v>
      </c>
      <c r="E35" s="2"/>
      <c r="F35" s="19"/>
      <c r="G35" s="2"/>
      <c r="H35" s="2">
        <f>-50.85</f>
        <v>-50.85</v>
      </c>
      <c r="I35" s="2"/>
      <c r="J35" s="19"/>
      <c r="K35" s="2"/>
      <c r="L35" s="2">
        <f t="shared" si="0"/>
        <v>50.85</v>
      </c>
      <c r="M35" s="2"/>
      <c r="N35" s="19">
        <f t="shared" si="1"/>
        <v>-1</v>
      </c>
      <c r="O35" s="11"/>
      <c r="P35" s="2">
        <f>-251.15</f>
        <v>-251.15</v>
      </c>
      <c r="Q35" s="2"/>
      <c r="R35" s="19"/>
      <c r="S35" s="2"/>
      <c r="T35" s="2">
        <f>-809.31</f>
        <v>-809.31</v>
      </c>
      <c r="U35" s="2"/>
      <c r="V35" s="19"/>
      <c r="W35" s="2"/>
      <c r="X35" s="2">
        <f t="shared" si="2"/>
        <v>558.16</v>
      </c>
      <c r="Y35" s="2"/>
      <c r="Z35" s="19">
        <f t="shared" si="3"/>
        <v>-0.68967391975880687</v>
      </c>
    </row>
    <row r="36" spans="1:26" s="24" customFormat="1" hidden="1" outlineLevel="1" x14ac:dyDescent="0.25">
      <c r="A36" s="44"/>
      <c r="B36" s="11" t="str">
        <f>CONCATENATE("          ", "4244", " - ", "SALES RETURN TAXABLE-ACCESSORI")</f>
        <v xml:space="preserve">          4244 - SALES RETURN TAXABLE-ACCESSORI</v>
      </c>
      <c r="C36" s="11"/>
      <c r="D36" s="2">
        <f t="shared" si="7"/>
        <v>0</v>
      </c>
      <c r="E36" s="2"/>
      <c r="F36" s="19"/>
      <c r="G36" s="2"/>
      <c r="H36" s="2">
        <f t="shared" ref="H36:H38" si="8"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-29.93</f>
        <v>-29.93</v>
      </c>
      <c r="Q36" s="2"/>
      <c r="R36" s="19"/>
      <c r="S36" s="2"/>
      <c r="T36" s="2">
        <f>-130.8</f>
        <v>-130.80000000000001</v>
      </c>
      <c r="U36" s="2"/>
      <c r="V36" s="19"/>
      <c r="W36" s="2"/>
      <c r="X36" s="2">
        <f t="shared" si="2"/>
        <v>100.87</v>
      </c>
      <c r="Y36" s="2"/>
      <c r="Z36" s="19">
        <f t="shared" si="3"/>
        <v>-0.77117737003058096</v>
      </c>
    </row>
    <row r="37" spans="1:26" s="24" customFormat="1" hidden="1" outlineLevel="1" x14ac:dyDescent="0.25">
      <c r="A37" s="44"/>
      <c r="B37" s="11" t="str">
        <f>CONCATENATE("          ", "4245", " - ", "SALES RETURN TAXABLE-SPECIAL O")</f>
        <v xml:space="preserve">          4245 - SALES RETURN TAXABLE-SPECIAL O</v>
      </c>
      <c r="C37" s="11"/>
      <c r="D37" s="2">
        <f t="shared" si="7"/>
        <v>0</v>
      </c>
      <c r="E37" s="2"/>
      <c r="F37" s="19"/>
      <c r="G37" s="2"/>
      <c r="H37" s="2">
        <f t="shared" si="8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-7</f>
        <v>-7</v>
      </c>
      <c r="Q37" s="2"/>
      <c r="R37" s="19"/>
      <c r="S37" s="2"/>
      <c r="T37" s="2">
        <f>-9.99</f>
        <v>-9.99</v>
      </c>
      <c r="U37" s="2"/>
      <c r="V37" s="19"/>
      <c r="W37" s="2"/>
      <c r="X37" s="2">
        <f t="shared" si="2"/>
        <v>2.99</v>
      </c>
      <c r="Y37" s="2"/>
      <c r="Z37" s="19">
        <f t="shared" si="3"/>
        <v>-0.29929929929929933</v>
      </c>
    </row>
    <row r="38" spans="1:26" s="24" customFormat="1" hidden="1" outlineLevel="1" x14ac:dyDescent="0.25">
      <c r="A38" s="44"/>
      <c r="B38" s="11" t="str">
        <f>CONCATENATE("          ", "4295", " - ", "SALES RETURN TAXABLE-CUSTOMER")</f>
        <v xml:space="preserve">          4295 - SALES RETURN TAXABLE-CUSTOMER</v>
      </c>
      <c r="C38" s="11"/>
      <c r="D38" s="2">
        <f t="shared" si="7"/>
        <v>0</v>
      </c>
      <c r="E38" s="2"/>
      <c r="F38" s="19"/>
      <c r="G38" s="2"/>
      <c r="H38" s="2">
        <f t="shared" si="8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0</f>
        <v>0</v>
      </c>
      <c r="Q38" s="2"/>
      <c r="R38" s="19"/>
      <c r="S38" s="2"/>
      <c r="T38" s="2">
        <f>--0.99</f>
        <v>0.99</v>
      </c>
      <c r="U38" s="2"/>
      <c r="V38" s="19"/>
      <c r="W38" s="2"/>
      <c r="X38" s="2">
        <f t="shared" si="2"/>
        <v>-0.99</v>
      </c>
      <c r="Y38" s="2"/>
      <c r="Z38" s="19">
        <f t="shared" si="3"/>
        <v>-1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9" t="s">
        <v>8</v>
      </c>
      <c r="C40" s="10"/>
      <c r="D40" s="4">
        <f>SUM(OSRRefD16x_0)</f>
        <v>9339</v>
      </c>
      <c r="E40" s="4"/>
      <c r="F40" s="12">
        <f t="shared" ref="F40:F55" si="9">IF(D$12=0,0,D40/D$12)</f>
        <v>0.49799739883144722</v>
      </c>
      <c r="G40" s="4"/>
      <c r="H40" s="4">
        <f>SUM(OSRRefH16x_0)</f>
        <v>24108.940000000002</v>
      </c>
      <c r="I40" s="4"/>
      <c r="J40" s="12">
        <f t="shared" ref="J40:J55" si="10">IF(H$12=0,0,H40/H$12)</f>
        <v>0.32136392258774521</v>
      </c>
      <c r="K40" s="4"/>
      <c r="L40" s="4">
        <f t="shared" ref="L40:L55" si="11">+D40-H40</f>
        <v>-14769.940000000002</v>
      </c>
      <c r="M40" s="4"/>
      <c r="N40" s="12">
        <f t="shared" ref="N40:N55" si="12">IF(H40=0,0,L40/H40)</f>
        <v>-0.61263332191295017</v>
      </c>
      <c r="O40" s="10"/>
      <c r="P40" s="4">
        <f>SUM(OSRRefP16x_0)</f>
        <v>72879</v>
      </c>
      <c r="Q40" s="4"/>
      <c r="R40" s="12">
        <f t="shared" ref="R40:R55" si="13">IF(P$12=0,0,P40/P$12)</f>
        <v>0.44527959274198947</v>
      </c>
      <c r="S40" s="4"/>
      <c r="T40" s="4">
        <f>SUM(OSRRefT16x_0)</f>
        <v>145131.80999999997</v>
      </c>
      <c r="U40" s="4"/>
      <c r="V40" s="12">
        <f t="shared" ref="V40:V55" si="14">IF(T$12=0,0,T40/T$12)</f>
        <v>0.40383514782803215</v>
      </c>
      <c r="W40" s="4"/>
      <c r="X40" s="4">
        <f t="shared" ref="X40:X55" si="15">+P40-T40</f>
        <v>-72252.809999999969</v>
      </c>
      <c r="Y40" s="4"/>
      <c r="Z40" s="12">
        <f t="shared" ref="Z40:Z55" si="16">IF(T40=0,0,X40/T40)</f>
        <v>-0.49784268521146385</v>
      </c>
    </row>
    <row r="41" spans="1:26" s="24" customFormat="1" hidden="1" outlineLevel="1" x14ac:dyDescent="0.25">
      <c r="A41" s="44"/>
      <c r="B41" s="11" t="str">
        <f>CONCATENATE("          ", "5025", " - ", "PURCHASES @ COST-TEST FORMS")</f>
        <v xml:space="preserve">          5025 - PURCHASES @ COST-TEST FORMS</v>
      </c>
      <c r="C41" s="11"/>
      <c r="D41" s="2"/>
      <c r="E41" s="2"/>
      <c r="F41" s="19">
        <f t="shared" si="9"/>
        <v>0</v>
      </c>
      <c r="G41" s="2"/>
      <c r="H41" s="2">
        <v>6.06</v>
      </c>
      <c r="I41" s="2"/>
      <c r="J41" s="19">
        <f t="shared" si="10"/>
        <v>8.0777726888106051E-5</v>
      </c>
      <c r="K41" s="2"/>
      <c r="L41" s="2">
        <f t="shared" si="11"/>
        <v>-6.06</v>
      </c>
      <c r="M41" s="2"/>
      <c r="N41" s="19">
        <f t="shared" si="12"/>
        <v>-1</v>
      </c>
      <c r="O41" s="11"/>
      <c r="P41" s="2"/>
      <c r="Q41" s="2"/>
      <c r="R41" s="19">
        <f t="shared" si="13"/>
        <v>0</v>
      </c>
      <c r="S41" s="2"/>
      <c r="T41" s="2">
        <v>6.06</v>
      </c>
      <c r="U41" s="2"/>
      <c r="V41" s="19">
        <f t="shared" si="14"/>
        <v>1.6862195791796955E-5</v>
      </c>
      <c r="W41" s="2"/>
      <c r="X41" s="2">
        <f t="shared" si="15"/>
        <v>-6.06</v>
      </c>
      <c r="Y41" s="2"/>
      <c r="Z41" s="19">
        <f t="shared" si="16"/>
        <v>-1</v>
      </c>
    </row>
    <row r="42" spans="1:26" s="24" customFormat="1" hidden="1" outlineLevel="1" x14ac:dyDescent="0.25">
      <c r="A42" s="44"/>
      <c r="B42" s="11" t="str">
        <f>CONCATENATE("          ", "5026", " - ", "PURCHASES @ COST-WRITING INSTR")</f>
        <v xml:space="preserve">          5026 - PURCHASES @ COST-WRITING INSTR</v>
      </c>
      <c r="C42" s="11"/>
      <c r="D42" s="2"/>
      <c r="E42" s="2"/>
      <c r="F42" s="19">
        <f t="shared" si="9"/>
        <v>0</v>
      </c>
      <c r="G42" s="2"/>
      <c r="H42" s="2">
        <v>1296.3800000000001</v>
      </c>
      <c r="I42" s="2"/>
      <c r="J42" s="19">
        <f t="shared" si="10"/>
        <v>1.7280301911419629E-2</v>
      </c>
      <c r="K42" s="2"/>
      <c r="L42" s="2">
        <f t="shared" si="11"/>
        <v>-1296.3800000000001</v>
      </c>
      <c r="M42" s="2"/>
      <c r="N42" s="19">
        <f t="shared" si="12"/>
        <v>-1</v>
      </c>
      <c r="O42" s="11"/>
      <c r="P42" s="2"/>
      <c r="Q42" s="2"/>
      <c r="R42" s="19">
        <f t="shared" si="13"/>
        <v>0</v>
      </c>
      <c r="S42" s="2"/>
      <c r="T42" s="2">
        <v>1275.1400000000001</v>
      </c>
      <c r="U42" s="2"/>
      <c r="V42" s="19">
        <f t="shared" si="14"/>
        <v>3.5481287692990054E-3</v>
      </c>
      <c r="W42" s="2"/>
      <c r="X42" s="2">
        <f t="shared" si="15"/>
        <v>-1275.1400000000001</v>
      </c>
      <c r="Y42" s="2"/>
      <c r="Z42" s="19">
        <f t="shared" si="16"/>
        <v>-1</v>
      </c>
    </row>
    <row r="43" spans="1:26" s="24" customFormat="1" hidden="1" outlineLevel="1" x14ac:dyDescent="0.25">
      <c r="A43" s="44"/>
      <c r="B43" s="11" t="str">
        <f>CONCATENATE("          ", "5027", " - ", "PURCHASES @ COST-SCHOOL SUPPLI")</f>
        <v xml:space="preserve">          5027 - PURCHASES @ COST-SCHOOL SUPPLI</v>
      </c>
      <c r="C43" s="11"/>
      <c r="D43" s="2"/>
      <c r="E43" s="2"/>
      <c r="F43" s="19">
        <f t="shared" si="9"/>
        <v>0</v>
      </c>
      <c r="G43" s="2"/>
      <c r="H43" s="2">
        <v>255.26</v>
      </c>
      <c r="I43" s="2"/>
      <c r="J43" s="19">
        <f t="shared" si="10"/>
        <v>3.402528476148177E-3</v>
      </c>
      <c r="K43" s="2"/>
      <c r="L43" s="2">
        <f t="shared" si="11"/>
        <v>-255.26</v>
      </c>
      <c r="M43" s="2"/>
      <c r="N43" s="19">
        <f t="shared" si="12"/>
        <v>-1</v>
      </c>
      <c r="O43" s="11"/>
      <c r="P43" s="2"/>
      <c r="Q43" s="2"/>
      <c r="R43" s="19">
        <f t="shared" si="13"/>
        <v>0</v>
      </c>
      <c r="S43" s="2"/>
      <c r="T43" s="2">
        <v>306.55</v>
      </c>
      <c r="U43" s="2"/>
      <c r="V43" s="19">
        <f t="shared" si="14"/>
        <v>8.5298780857679161E-4</v>
      </c>
      <c r="W43" s="2"/>
      <c r="X43" s="2">
        <f t="shared" si="15"/>
        <v>-306.55</v>
      </c>
      <c r="Y43" s="2"/>
      <c r="Z43" s="19">
        <f t="shared" si="16"/>
        <v>-1</v>
      </c>
    </row>
    <row r="44" spans="1:26" s="24" customFormat="1" hidden="1" outlineLevel="1" x14ac:dyDescent="0.25">
      <c r="A44" s="44"/>
      <c r="B44" s="11" t="str">
        <f>CONCATENATE("          ", "5037", " - ", "PURCHASES @ COST-WATER")</f>
        <v xml:space="preserve">          5037 - PURCHASES @ COST-WATER</v>
      </c>
      <c r="C44" s="11"/>
      <c r="D44" s="2"/>
      <c r="E44" s="2"/>
      <c r="F44" s="19">
        <f t="shared" si="9"/>
        <v>0</v>
      </c>
      <c r="G44" s="2"/>
      <c r="H44" s="2"/>
      <c r="I44" s="2"/>
      <c r="J44" s="19">
        <f t="shared" si="10"/>
        <v>0</v>
      </c>
      <c r="K44" s="2"/>
      <c r="L44" s="2">
        <f t="shared" si="11"/>
        <v>0</v>
      </c>
      <c r="M44" s="2"/>
      <c r="N44" s="19">
        <f t="shared" si="12"/>
        <v>0</v>
      </c>
      <c r="O44" s="11"/>
      <c r="P44" s="2"/>
      <c r="Q44" s="2"/>
      <c r="R44" s="19">
        <f t="shared" si="13"/>
        <v>0</v>
      </c>
      <c r="S44" s="2"/>
      <c r="T44" s="2">
        <v>29.76</v>
      </c>
      <c r="U44" s="2"/>
      <c r="V44" s="19">
        <f t="shared" si="14"/>
        <v>8.2808407056745458E-5</v>
      </c>
      <c r="W44" s="2"/>
      <c r="X44" s="2">
        <f t="shared" si="15"/>
        <v>-29.76</v>
      </c>
      <c r="Y44" s="2"/>
      <c r="Z44" s="19">
        <f t="shared" si="16"/>
        <v>-1</v>
      </c>
    </row>
    <row r="45" spans="1:26" s="24" customFormat="1" hidden="1" outlineLevel="1" x14ac:dyDescent="0.25">
      <c r="A45" s="44"/>
      <c r="B45" s="11" t="str">
        <f>CONCATENATE("          ", "5040", " - ", "PURCHASES @ COST-LOGO CLOTHING")</f>
        <v xml:space="preserve">          5040 - PURCHASES @ COST-LOGO CLOTHING</v>
      </c>
      <c r="C45" s="11"/>
      <c r="D45" s="2"/>
      <c r="E45" s="2"/>
      <c r="F45" s="19">
        <f t="shared" si="9"/>
        <v>0</v>
      </c>
      <c r="G45" s="2"/>
      <c r="H45" s="2">
        <v>18818.73</v>
      </c>
      <c r="I45" s="2"/>
      <c r="J45" s="19">
        <f t="shared" si="10"/>
        <v>0.25084723305627199</v>
      </c>
      <c r="K45" s="2"/>
      <c r="L45" s="2">
        <f t="shared" si="11"/>
        <v>-18818.73</v>
      </c>
      <c r="M45" s="2"/>
      <c r="N45" s="19">
        <f t="shared" si="12"/>
        <v>-1</v>
      </c>
      <c r="O45" s="11"/>
      <c r="P45" s="2"/>
      <c r="Q45" s="2"/>
      <c r="R45" s="19">
        <f t="shared" si="13"/>
        <v>0</v>
      </c>
      <c r="S45" s="2"/>
      <c r="T45" s="2">
        <v>174866.08</v>
      </c>
      <c r="U45" s="2"/>
      <c r="V45" s="19">
        <f t="shared" si="14"/>
        <v>0.48657196011617654</v>
      </c>
      <c r="W45" s="2"/>
      <c r="X45" s="2">
        <f t="shared" si="15"/>
        <v>-174866.08</v>
      </c>
      <c r="Y45" s="2"/>
      <c r="Z45" s="19">
        <f t="shared" si="16"/>
        <v>-1</v>
      </c>
    </row>
    <row r="46" spans="1:26" s="24" customFormat="1" hidden="1" outlineLevel="1" x14ac:dyDescent="0.25">
      <c r="A46" s="44"/>
      <c r="B46" s="11" t="str">
        <f>CONCATENATE("          ", "5041", " - ", "PURCHASES @ COST-LOGO GIFTS")</f>
        <v xml:space="preserve">          5041 - PURCHASES @ COST-LOGO GIFTS</v>
      </c>
      <c r="C46" s="11"/>
      <c r="D46" s="2"/>
      <c r="E46" s="2"/>
      <c r="F46" s="19">
        <f t="shared" si="9"/>
        <v>0</v>
      </c>
      <c r="G46" s="2"/>
      <c r="H46" s="2">
        <v>1474.17</v>
      </c>
      <c r="I46" s="2"/>
      <c r="J46" s="19">
        <f t="shared" si="10"/>
        <v>1.9650181789874474E-2</v>
      </c>
      <c r="K46" s="2"/>
      <c r="L46" s="2">
        <f t="shared" si="11"/>
        <v>-1474.17</v>
      </c>
      <c r="M46" s="2"/>
      <c r="N46" s="19">
        <f t="shared" si="12"/>
        <v>-1</v>
      </c>
      <c r="O46" s="11"/>
      <c r="P46" s="2">
        <v>207.6</v>
      </c>
      <c r="Q46" s="2"/>
      <c r="R46" s="19">
        <f t="shared" si="13"/>
        <v>1.268404388825821E-3</v>
      </c>
      <c r="S46" s="2"/>
      <c r="T46" s="2">
        <v>21253.64</v>
      </c>
      <c r="U46" s="2"/>
      <c r="V46" s="19">
        <f t="shared" si="14"/>
        <v>5.913911534131476E-2</v>
      </c>
      <c r="W46" s="2"/>
      <c r="X46" s="2">
        <f t="shared" si="15"/>
        <v>-21046.04</v>
      </c>
      <c r="Y46" s="2"/>
      <c r="Z46" s="19">
        <f t="shared" si="16"/>
        <v>-0.99023226139146059</v>
      </c>
    </row>
    <row r="47" spans="1:26" s="24" customFormat="1" hidden="1" outlineLevel="1" x14ac:dyDescent="0.25">
      <c r="A47" s="44"/>
      <c r="B47" s="11" t="str">
        <f>CONCATENATE("          ", "5042", " - ", "PURCHASES @ COST-EVERYDAY GIFT")</f>
        <v xml:space="preserve">          5042 - PURCHASES @ COST-EVERYDAY GIFT</v>
      </c>
      <c r="C47" s="11"/>
      <c r="D47" s="2"/>
      <c r="E47" s="2"/>
      <c r="F47" s="19">
        <f t="shared" si="9"/>
        <v>0</v>
      </c>
      <c r="G47" s="2"/>
      <c r="H47" s="2">
        <v>900.31</v>
      </c>
      <c r="I47" s="2"/>
      <c r="J47" s="19">
        <f t="shared" si="10"/>
        <v>1.2000824306044681E-2</v>
      </c>
      <c r="K47" s="2"/>
      <c r="L47" s="2">
        <f t="shared" si="11"/>
        <v>-900.31</v>
      </c>
      <c r="M47" s="2"/>
      <c r="N47" s="19">
        <f t="shared" si="12"/>
        <v>-1</v>
      </c>
      <c r="O47" s="11"/>
      <c r="P47" s="2">
        <v>7946.04</v>
      </c>
      <c r="Q47" s="2"/>
      <c r="R47" s="19">
        <f t="shared" si="13"/>
        <v>4.8549094459467861E-2</v>
      </c>
      <c r="S47" s="2"/>
      <c r="T47" s="2">
        <v>17463.350000000002</v>
      </c>
      <c r="U47" s="2"/>
      <c r="V47" s="19">
        <f t="shared" si="14"/>
        <v>4.85924796832801E-2</v>
      </c>
      <c r="W47" s="2"/>
      <c r="X47" s="2">
        <f t="shared" si="15"/>
        <v>-9517.3100000000013</v>
      </c>
      <c r="Y47" s="2"/>
      <c r="Z47" s="19">
        <f t="shared" si="16"/>
        <v>-0.54498764555483337</v>
      </c>
    </row>
    <row r="48" spans="1:26" s="24" customFormat="1" hidden="1" outlineLevel="1" x14ac:dyDescent="0.25">
      <c r="A48" s="44"/>
      <c r="B48" s="11" t="str">
        <f>CONCATENATE("          ", "5043", " - ", "PURCHASES @ COST-CARDS")</f>
        <v xml:space="preserve">          5043 - PURCHASES @ COST-CARDS</v>
      </c>
      <c r="C48" s="11"/>
      <c r="D48" s="2"/>
      <c r="E48" s="2"/>
      <c r="F48" s="19">
        <f t="shared" si="9"/>
        <v>0</v>
      </c>
      <c r="G48" s="2"/>
      <c r="H48" s="2">
        <v>29.15</v>
      </c>
      <c r="I48" s="2"/>
      <c r="J48" s="19">
        <f t="shared" si="10"/>
        <v>3.885595278528534E-4</v>
      </c>
      <c r="K48" s="2"/>
      <c r="L48" s="2">
        <f t="shared" si="11"/>
        <v>-29.15</v>
      </c>
      <c r="M48" s="2"/>
      <c r="N48" s="19">
        <f t="shared" si="12"/>
        <v>-1</v>
      </c>
      <c r="O48" s="11"/>
      <c r="P48" s="2"/>
      <c r="Q48" s="2"/>
      <c r="R48" s="19">
        <f t="shared" si="13"/>
        <v>0</v>
      </c>
      <c r="S48" s="2"/>
      <c r="T48" s="2">
        <v>368.47</v>
      </c>
      <c r="U48" s="2"/>
      <c r="V48" s="19">
        <f t="shared" si="14"/>
        <v>1.0252827200335685E-3</v>
      </c>
      <c r="W48" s="2"/>
      <c r="X48" s="2">
        <f t="shared" si="15"/>
        <v>-368.47</v>
      </c>
      <c r="Y48" s="2"/>
      <c r="Z48" s="19">
        <f t="shared" si="16"/>
        <v>-1</v>
      </c>
    </row>
    <row r="49" spans="1:26" s="24" customFormat="1" hidden="1" outlineLevel="1" x14ac:dyDescent="0.25">
      <c r="A49" s="44"/>
      <c r="B49" s="11" t="str">
        <f>CONCATENATE("          ", "5044", " - ", "PURCHASES @ COST-ACCESSORIES")</f>
        <v xml:space="preserve">          5044 - PURCHASES @ COST-ACCESSORIES</v>
      </c>
      <c r="C49" s="11"/>
      <c r="D49" s="2"/>
      <c r="E49" s="2"/>
      <c r="F49" s="19">
        <f t="shared" si="9"/>
        <v>0</v>
      </c>
      <c r="G49" s="2"/>
      <c r="H49" s="2">
        <v>1305.23</v>
      </c>
      <c r="I49" s="2"/>
      <c r="J49" s="19">
        <f t="shared" si="10"/>
        <v>1.7398269383855226E-2</v>
      </c>
      <c r="K49" s="2"/>
      <c r="L49" s="2">
        <f t="shared" si="11"/>
        <v>-1305.23</v>
      </c>
      <c r="M49" s="2"/>
      <c r="N49" s="19">
        <f t="shared" si="12"/>
        <v>-1</v>
      </c>
      <c r="O49" s="11"/>
      <c r="P49" s="2"/>
      <c r="Q49" s="2"/>
      <c r="R49" s="19">
        <f t="shared" si="13"/>
        <v>0</v>
      </c>
      <c r="S49" s="2"/>
      <c r="T49" s="2">
        <v>-4649.1899999999996</v>
      </c>
      <c r="U49" s="2"/>
      <c r="V49" s="19">
        <f t="shared" si="14"/>
        <v>-1.2936559744763116E-2</v>
      </c>
      <c r="W49" s="2"/>
      <c r="X49" s="2">
        <f t="shared" si="15"/>
        <v>4649.1899999999996</v>
      </c>
      <c r="Y49" s="2"/>
      <c r="Z49" s="19">
        <f t="shared" si="16"/>
        <v>-1</v>
      </c>
    </row>
    <row r="50" spans="1:26" s="24" customFormat="1" hidden="1" outlineLevel="1" x14ac:dyDescent="0.25">
      <c r="A50" s="44"/>
      <c r="B50" s="11" t="str">
        <f>CONCATENATE("          ", "5045", " - ", "PURCHASES @ COST-SPECIAL ORDER")</f>
        <v xml:space="preserve">          5045 - PURCHASES @ COST-SPECIAL ORDER</v>
      </c>
      <c r="C50" s="11"/>
      <c r="D50" s="2"/>
      <c r="E50" s="2"/>
      <c r="F50" s="19">
        <f t="shared" si="9"/>
        <v>0</v>
      </c>
      <c r="G50" s="2"/>
      <c r="H50" s="2">
        <v>-26.75</v>
      </c>
      <c r="I50" s="2"/>
      <c r="J50" s="19">
        <f t="shared" si="10"/>
        <v>-3.5656834888726687E-4</v>
      </c>
      <c r="K50" s="2"/>
      <c r="L50" s="2">
        <f t="shared" si="11"/>
        <v>26.75</v>
      </c>
      <c r="M50" s="2"/>
      <c r="N50" s="19">
        <f t="shared" si="12"/>
        <v>-1</v>
      </c>
      <c r="O50" s="11"/>
      <c r="P50" s="2"/>
      <c r="Q50" s="2"/>
      <c r="R50" s="19">
        <f t="shared" si="13"/>
        <v>0</v>
      </c>
      <c r="S50" s="2"/>
      <c r="T50" s="2">
        <v>-998.2</v>
      </c>
      <c r="U50" s="2"/>
      <c r="V50" s="19">
        <f t="shared" si="14"/>
        <v>-2.7775319866950037E-3</v>
      </c>
      <c r="W50" s="2"/>
      <c r="X50" s="2">
        <f t="shared" si="15"/>
        <v>998.2</v>
      </c>
      <c r="Y50" s="2"/>
      <c r="Z50" s="19">
        <f t="shared" si="16"/>
        <v>-1</v>
      </c>
    </row>
    <row r="51" spans="1:26" s="24" customFormat="1" hidden="1" outlineLevel="1" x14ac:dyDescent="0.25">
      <c r="A51" s="44"/>
      <c r="B51" s="11" t="str">
        <f>CONCATENATE("          ", "5083", " - ", "PURCHASES @ COST-COMPUTER EQUI")</f>
        <v xml:space="preserve">          5083 - PURCHASES @ COST-COMPUTER EQUI</v>
      </c>
      <c r="C51" s="11"/>
      <c r="D51" s="2"/>
      <c r="E51" s="2"/>
      <c r="F51" s="19">
        <f t="shared" si="9"/>
        <v>0</v>
      </c>
      <c r="G51" s="2"/>
      <c r="H51" s="2">
        <v>50.4</v>
      </c>
      <c r="I51" s="2"/>
      <c r="J51" s="19">
        <f t="shared" si="10"/>
        <v>6.7181475827731774E-4</v>
      </c>
      <c r="K51" s="2"/>
      <c r="L51" s="2">
        <f t="shared" si="11"/>
        <v>-50.4</v>
      </c>
      <c r="M51" s="2"/>
      <c r="N51" s="19">
        <f t="shared" si="12"/>
        <v>-1</v>
      </c>
      <c r="O51" s="11"/>
      <c r="P51" s="2"/>
      <c r="Q51" s="2"/>
      <c r="R51" s="19">
        <f t="shared" si="13"/>
        <v>0</v>
      </c>
      <c r="S51" s="2"/>
      <c r="T51" s="2">
        <v>90.35</v>
      </c>
      <c r="U51" s="2"/>
      <c r="V51" s="19">
        <f t="shared" si="14"/>
        <v>2.5140253956911797E-4</v>
      </c>
      <c r="W51" s="2"/>
      <c r="X51" s="2">
        <f t="shared" si="15"/>
        <v>-90.35</v>
      </c>
      <c r="Y51" s="2"/>
      <c r="Z51" s="19">
        <f t="shared" si="16"/>
        <v>-1</v>
      </c>
    </row>
    <row r="52" spans="1:26" s="24" customFormat="1" hidden="1" outlineLevel="1" x14ac:dyDescent="0.25">
      <c r="A52" s="44"/>
      <c r="B52" s="11" t="str">
        <f>CONCATENATE("          ", "5092", " - ", "PURCHASES @ COST-GRAD MERCH")</f>
        <v xml:space="preserve">          5092 - PURCHASES @ COST-GRAD MERCH</v>
      </c>
      <c r="C52" s="11"/>
      <c r="D52" s="2"/>
      <c r="E52" s="2"/>
      <c r="F52" s="19">
        <f t="shared" si="9"/>
        <v>0</v>
      </c>
      <c r="G52" s="2"/>
      <c r="H52" s="2"/>
      <c r="I52" s="2"/>
      <c r="J52" s="19">
        <f t="shared" si="10"/>
        <v>0</v>
      </c>
      <c r="K52" s="2"/>
      <c r="L52" s="2">
        <f t="shared" si="11"/>
        <v>0</v>
      </c>
      <c r="M52" s="2"/>
      <c r="N52" s="19">
        <f t="shared" si="12"/>
        <v>0</v>
      </c>
      <c r="O52" s="11"/>
      <c r="P52" s="2"/>
      <c r="Q52" s="2"/>
      <c r="R52" s="19">
        <f t="shared" si="13"/>
        <v>0</v>
      </c>
      <c r="S52" s="2"/>
      <c r="T52" s="2">
        <v>-60.35</v>
      </c>
      <c r="U52" s="2"/>
      <c r="V52" s="19">
        <f t="shared" si="14"/>
        <v>-1.6792632277804395E-4</v>
      </c>
      <c r="W52" s="2"/>
      <c r="X52" s="2">
        <f t="shared" si="15"/>
        <v>60.35</v>
      </c>
      <c r="Y52" s="2"/>
      <c r="Z52" s="19">
        <f t="shared" si="16"/>
        <v>-1</v>
      </c>
    </row>
    <row r="53" spans="1:26" s="24" customFormat="1" hidden="1" outlineLevel="1" x14ac:dyDescent="0.25">
      <c r="A53" s="44"/>
      <c r="B53" s="11" t="str">
        <f>CONCATENATE("          ", "5095", " - ", "PURCHASES @ COST-CUSTOMER SERV")</f>
        <v xml:space="preserve">          5095 - PURCHASES @ COST-CUSTOMER SERV</v>
      </c>
      <c r="C53" s="11"/>
      <c r="D53" s="2"/>
      <c r="E53" s="2"/>
      <c r="F53" s="19">
        <f t="shared" si="9"/>
        <v>0</v>
      </c>
      <c r="G53" s="2"/>
      <c r="H53" s="2"/>
      <c r="I53" s="2"/>
      <c r="J53" s="19">
        <f t="shared" si="10"/>
        <v>0</v>
      </c>
      <c r="K53" s="2"/>
      <c r="L53" s="2">
        <f t="shared" si="11"/>
        <v>0</v>
      </c>
      <c r="M53" s="2"/>
      <c r="N53" s="19">
        <f t="shared" si="12"/>
        <v>0</v>
      </c>
      <c r="O53" s="11"/>
      <c r="P53" s="2"/>
      <c r="Q53" s="2"/>
      <c r="R53" s="19">
        <f t="shared" si="13"/>
        <v>0</v>
      </c>
      <c r="S53" s="2"/>
      <c r="T53" s="2">
        <v>-11.85</v>
      </c>
      <c r="U53" s="2"/>
      <c r="V53" s="19">
        <f t="shared" si="14"/>
        <v>-3.2973105632474248E-5</v>
      </c>
      <c r="W53" s="2"/>
      <c r="X53" s="2">
        <f t="shared" si="15"/>
        <v>11.85</v>
      </c>
      <c r="Y53" s="2"/>
      <c r="Z53" s="19">
        <f t="shared" si="16"/>
        <v>-1</v>
      </c>
    </row>
    <row r="54" spans="1:26" s="24" customFormat="1" hidden="1" outlineLevel="1" x14ac:dyDescent="0.25">
      <c r="A54" s="44"/>
      <c r="B54" s="11" t="str">
        <f>CONCATENATE("          ", "5200", " - ", "PURCHASES OFFSET")</f>
        <v xml:space="preserve">          5200 - PURCHASES OFFSET</v>
      </c>
      <c r="C54" s="11"/>
      <c r="D54" s="2"/>
      <c r="E54" s="2"/>
      <c r="F54" s="19">
        <f t="shared" si="9"/>
        <v>0</v>
      </c>
      <c r="G54" s="2"/>
      <c r="H54" s="2"/>
      <c r="I54" s="2"/>
      <c r="J54" s="19">
        <f t="shared" si="10"/>
        <v>0</v>
      </c>
      <c r="K54" s="2"/>
      <c r="L54" s="2">
        <f t="shared" si="11"/>
        <v>0</v>
      </c>
      <c r="M54" s="2"/>
      <c r="N54" s="19">
        <f t="shared" si="12"/>
        <v>0</v>
      </c>
      <c r="O54" s="11"/>
      <c r="P54" s="2">
        <v>-8153.64</v>
      </c>
      <c r="Q54" s="2"/>
      <c r="R54" s="19">
        <f t="shared" si="13"/>
        <v>-4.9817498848293687E-2</v>
      </c>
      <c r="S54" s="2"/>
      <c r="T54" s="2">
        <v>-147712</v>
      </c>
      <c r="U54" s="2"/>
      <c r="V54" s="19">
        <f t="shared" si="14"/>
        <v>-0.41101463115477099</v>
      </c>
      <c r="W54" s="2"/>
      <c r="X54" s="2">
        <f t="shared" si="15"/>
        <v>139558.35999999999</v>
      </c>
      <c r="Y54" s="2"/>
      <c r="Z54" s="19">
        <f t="shared" si="16"/>
        <v>-0.94480042244367413</v>
      </c>
    </row>
    <row r="55" spans="1:26" s="24" customFormat="1" hidden="1" outlineLevel="1" x14ac:dyDescent="0.25">
      <c r="A55" s="44"/>
      <c r="B55" s="11" t="str">
        <f>CONCATENATE("          ", "5300", " - ", "COG$ OFFSET")</f>
        <v xml:space="preserve">          5300 - COG$ OFFSET</v>
      </c>
      <c r="C55" s="11"/>
      <c r="D55" s="2">
        <v>9339</v>
      </c>
      <c r="E55" s="2"/>
      <c r="F55" s="19">
        <f t="shared" si="9"/>
        <v>0.49799739883144722</v>
      </c>
      <c r="G55" s="2"/>
      <c r="H55" s="2"/>
      <c r="I55" s="2"/>
      <c r="J55" s="19">
        <f t="shared" si="10"/>
        <v>0</v>
      </c>
      <c r="K55" s="2"/>
      <c r="L55" s="2">
        <f t="shared" si="11"/>
        <v>9339</v>
      </c>
      <c r="M55" s="2"/>
      <c r="N55" s="19">
        <f t="shared" si="12"/>
        <v>0</v>
      </c>
      <c r="O55" s="11"/>
      <c r="P55" s="2">
        <v>72879</v>
      </c>
      <c r="Q55" s="2"/>
      <c r="R55" s="19">
        <f t="shared" si="13"/>
        <v>0.44527959274198947</v>
      </c>
      <c r="S55" s="2"/>
      <c r="T55" s="2">
        <v>82904</v>
      </c>
      <c r="U55" s="2"/>
      <c r="V55" s="19">
        <f t="shared" si="14"/>
        <v>0.23068374256157342</v>
      </c>
      <c r="W55" s="2"/>
      <c r="X55" s="2">
        <f t="shared" si="15"/>
        <v>-10025</v>
      </c>
      <c r="Y55" s="2"/>
      <c r="Z55" s="19">
        <f t="shared" si="16"/>
        <v>-0.12092299527163948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8" t="s">
        <v>6</v>
      </c>
      <c r="C57" s="28"/>
      <c r="D57" s="20">
        <f>D12-D40</f>
        <v>9414.1099999999969</v>
      </c>
      <c r="E57" s="14"/>
      <c r="F57" s="22">
        <f>IF(D$12=0,0,D57/D$12)</f>
        <v>0.50200260116855278</v>
      </c>
      <c r="G57" s="14"/>
      <c r="H57" s="20">
        <f>H12-H40</f>
        <v>50911.739999999991</v>
      </c>
      <c r="I57" s="14"/>
      <c r="J57" s="22">
        <f>IF(H$12=0,0,H57/H$12)</f>
        <v>0.67863607741225485</v>
      </c>
      <c r="K57" s="15"/>
      <c r="L57" s="20">
        <f>+D57-H57</f>
        <v>-41497.62999999999</v>
      </c>
      <c r="M57" s="15"/>
      <c r="N57" s="22">
        <f>IF(H57=0,0,L57/H57)</f>
        <v>-0.81508960408738729</v>
      </c>
      <c r="O57" s="29"/>
      <c r="P57" s="20">
        <f>P12-P40</f>
        <v>90791.20000000007</v>
      </c>
      <c r="Q57" s="14"/>
      <c r="R57" s="22">
        <f>IF(P$12=0,0,P57/P$12)</f>
        <v>0.55472040725801053</v>
      </c>
      <c r="S57" s="14"/>
      <c r="T57" s="20">
        <f>T12-T40</f>
        <v>214251.99000000008</v>
      </c>
      <c r="U57" s="14"/>
      <c r="V57" s="22">
        <f>IF(T$12=0,0,T57/T$12)</f>
        <v>0.5961648521719678</v>
      </c>
      <c r="W57" s="15"/>
      <c r="X57" s="20">
        <f>+P57-T57</f>
        <v>-123460.79000000001</v>
      </c>
      <c r="Y57" s="15"/>
      <c r="Z57" s="22">
        <f>IF(T57=0,0,X57/T57)</f>
        <v>-0.57624104214854655</v>
      </c>
    </row>
    <row r="58" spans="1:26" x14ac:dyDescent="0.25">
      <c r="A58" s="9"/>
      <c r="B58" s="10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9" t="s">
        <v>9</v>
      </c>
      <c r="C59" s="10"/>
      <c r="D59" s="21">
        <f>SUM(OSRRefD22x_0)</f>
        <v>22705.47</v>
      </c>
      <c r="E59" s="21"/>
      <c r="F59" s="35">
        <f t="shared" ref="F59:F68" si="17">IF(D$12=0,0,D59/D$12)</f>
        <v>1.2107575756767814</v>
      </c>
      <c r="G59" s="21"/>
      <c r="H59" s="21">
        <f>SUM(OSRRefH22x_0)</f>
        <v>34769.75</v>
      </c>
      <c r="I59" s="21"/>
      <c r="J59" s="35">
        <f t="shared" ref="J59:J68" si="18">IF(H$12=0,0,H59/H$12)</f>
        <v>0.4634688728494597</v>
      </c>
      <c r="K59" s="4"/>
      <c r="L59" s="21">
        <f t="shared" ref="L59:L68" si="19">+D59-H59</f>
        <v>-12064.279999999999</v>
      </c>
      <c r="M59" s="4"/>
      <c r="N59" s="35">
        <f t="shared" ref="N59:N68" si="20">IF(H59=0,0,L59/H59)</f>
        <v>-0.34697632280933854</v>
      </c>
      <c r="O59" s="10"/>
      <c r="P59" s="21">
        <f>SUM(OSRRefP22x_0)</f>
        <v>152726.88999999998</v>
      </c>
      <c r="Q59" s="21"/>
      <c r="R59" s="35">
        <f t="shared" ref="R59:R68" si="21">IF(P$12=0,0,P59/P$12)</f>
        <v>0.933138042233711</v>
      </c>
      <c r="S59" s="21"/>
      <c r="T59" s="21">
        <f>SUM(OSRRefT22x_0)</f>
        <v>222488.50999999998</v>
      </c>
      <c r="U59" s="21"/>
      <c r="V59" s="35">
        <f t="shared" ref="V59:V68" si="22">IF(T$12=0,0,T59/T$12)</f>
        <v>0.61908330314276816</v>
      </c>
      <c r="W59" s="4"/>
      <c r="X59" s="21">
        <f t="shared" ref="X59:X68" si="23">+P59-T59</f>
        <v>-69761.62</v>
      </c>
      <c r="Y59" s="4"/>
      <c r="Z59" s="35">
        <f t="shared" ref="Z59:Z68" si="24">IF(T59=0,0,X59/T59)</f>
        <v>-0.31355156273013829</v>
      </c>
    </row>
    <row r="60" spans="1:26" s="26" customFormat="1" outlineLevel="1" collapsed="1" x14ac:dyDescent="0.25">
      <c r="A60" s="27"/>
      <c r="B60" s="13" t="str">
        <f>CONCATENATE("     ","*Benefits                                         ")</f>
        <v xml:space="preserve">     *Benefits                                         </v>
      </c>
      <c r="C60" s="13"/>
      <c r="D60" s="1">
        <f>SUM(OSRRefD22_0x_0)</f>
        <v>4683.9400000000005</v>
      </c>
      <c r="E60" s="1"/>
      <c r="F60" s="5">
        <f t="shared" si="17"/>
        <v>0.24976870503079229</v>
      </c>
      <c r="G60" s="1"/>
      <c r="H60" s="1">
        <f>SUM(OSRRefH22_0x_0)</f>
        <v>1977.1100000000001</v>
      </c>
      <c r="I60" s="1"/>
      <c r="J60" s="5">
        <f t="shared" si="18"/>
        <v>2.6354199935271185E-2</v>
      </c>
      <c r="K60" s="1"/>
      <c r="L60" s="1">
        <f t="shared" si="19"/>
        <v>2706.8300000000004</v>
      </c>
      <c r="M60" s="1"/>
      <c r="N60" s="5">
        <f t="shared" si="20"/>
        <v>1.3690841683062653</v>
      </c>
      <c r="O60" s="13"/>
      <c r="P60" s="1">
        <f>SUM(OSRRefP22_0x_0)</f>
        <v>35811.009999999995</v>
      </c>
      <c r="Q60" s="1"/>
      <c r="R60" s="5">
        <f t="shared" si="21"/>
        <v>0.21879981817093141</v>
      </c>
      <c r="S60" s="1"/>
      <c r="T60" s="1">
        <f>SUM(OSRRefT22_0x_0)</f>
        <v>14648.349999999999</v>
      </c>
      <c r="U60" s="1"/>
      <c r="V60" s="5">
        <f t="shared" si="22"/>
        <v>4.0759628007717645E-2</v>
      </c>
      <c r="W60" s="1"/>
      <c r="X60" s="1">
        <f t="shared" si="23"/>
        <v>21162.659999999996</v>
      </c>
      <c r="Y60" s="1"/>
      <c r="Z60" s="5">
        <f t="shared" si="24"/>
        <v>1.4447128857516374</v>
      </c>
    </row>
    <row r="61" spans="1:26" s="24" customFormat="1" hidden="1" outlineLevel="2" x14ac:dyDescent="0.25">
      <c r="A61" s="25"/>
      <c r="B61" s="11" t="str">
        <f>CONCATENATE("          ", "6111", " - ", "F.I.C.A.")</f>
        <v xml:space="preserve">          6111 - F.I.C.A.</v>
      </c>
      <c r="C61" s="11"/>
      <c r="D61" s="6">
        <v>574.86</v>
      </c>
      <c r="E61" s="2"/>
      <c r="F61" s="7">
        <f t="shared" si="17"/>
        <v>3.0654115504041735E-2</v>
      </c>
      <c r="G61" s="2"/>
      <c r="H61" s="6">
        <v>299.56</v>
      </c>
      <c r="I61" s="2"/>
      <c r="J61" s="7">
        <f t="shared" si="18"/>
        <v>3.9930323212212957E-3</v>
      </c>
      <c r="K61" s="2"/>
      <c r="L61" s="6">
        <f t="shared" si="19"/>
        <v>275.3</v>
      </c>
      <c r="M61" s="2"/>
      <c r="N61" s="7">
        <f t="shared" si="20"/>
        <v>0.91901455468019766</v>
      </c>
      <c r="O61" s="11"/>
      <c r="P61" s="6">
        <v>5020.8999999999996</v>
      </c>
      <c r="Q61" s="2"/>
      <c r="R61" s="7">
        <f t="shared" si="21"/>
        <v>3.0676934469439136E-2</v>
      </c>
      <c r="S61" s="2"/>
      <c r="T61" s="6">
        <v>3122.58</v>
      </c>
      <c r="U61" s="2"/>
      <c r="V61" s="7">
        <f t="shared" si="22"/>
        <v>8.6887055009157322E-3</v>
      </c>
      <c r="W61" s="2"/>
      <c r="X61" s="6">
        <f t="shared" si="23"/>
        <v>1898.3199999999997</v>
      </c>
      <c r="Y61" s="2"/>
      <c r="Z61" s="7">
        <f t="shared" si="24"/>
        <v>0.60793318345726921</v>
      </c>
    </row>
    <row r="62" spans="1:26" s="24" customFormat="1" hidden="1" outlineLevel="2" x14ac:dyDescent="0.25">
      <c r="A62" s="25"/>
      <c r="B62" s="11" t="str">
        <f>CONCATENATE("          ", "6112", " - ", "COMPENSATION INSURANCE")</f>
        <v xml:space="preserve">          6112 - COMPENSATION INSURANCE</v>
      </c>
      <c r="C62" s="11"/>
      <c r="D62" s="6">
        <v>-19.62</v>
      </c>
      <c r="E62" s="2"/>
      <c r="F62" s="7">
        <f t="shared" si="17"/>
        <v>-1.0462264659035223E-3</v>
      </c>
      <c r="G62" s="2"/>
      <c r="H62" s="6">
        <v>181.77</v>
      </c>
      <c r="I62" s="2"/>
      <c r="J62" s="7">
        <f t="shared" si="18"/>
        <v>2.4229319169061119E-3</v>
      </c>
      <c r="K62" s="2"/>
      <c r="L62" s="6">
        <f t="shared" si="19"/>
        <v>-201.39000000000001</v>
      </c>
      <c r="M62" s="2"/>
      <c r="N62" s="7">
        <f t="shared" si="20"/>
        <v>-1.1079386037299885</v>
      </c>
      <c r="O62" s="11"/>
      <c r="P62" s="6">
        <v>1763.05</v>
      </c>
      <c r="Q62" s="2"/>
      <c r="R62" s="7">
        <f t="shared" si="21"/>
        <v>1.0771967041037398E-2</v>
      </c>
      <c r="S62" s="2"/>
      <c r="T62" s="6">
        <v>1183.94</v>
      </c>
      <c r="U62" s="2"/>
      <c r="V62" s="7">
        <f t="shared" si="22"/>
        <v>3.2943610702541402E-3</v>
      </c>
      <c r="W62" s="2"/>
      <c r="X62" s="6">
        <f t="shared" si="23"/>
        <v>579.1099999999999</v>
      </c>
      <c r="Y62" s="2"/>
      <c r="Z62" s="7">
        <f t="shared" si="24"/>
        <v>0.48913796307245289</v>
      </c>
    </row>
    <row r="63" spans="1:26" s="24" customFormat="1" hidden="1" outlineLevel="2" x14ac:dyDescent="0.25">
      <c r="A63" s="25"/>
      <c r="B63" s="11" t="str">
        <f>CONCATENATE("          ", "6113", " - ", "GROUP INSURANCE")</f>
        <v xml:space="preserve">          6113 - GROUP INSURANCE</v>
      </c>
      <c r="C63" s="11"/>
      <c r="D63" s="6">
        <v>2704.67</v>
      </c>
      <c r="E63" s="2"/>
      <c r="F63" s="7">
        <f t="shared" si="17"/>
        <v>0.14422514452269519</v>
      </c>
      <c r="G63" s="2"/>
      <c r="H63" s="6">
        <v>988.45</v>
      </c>
      <c r="I63" s="2"/>
      <c r="J63" s="7">
        <f t="shared" si="18"/>
        <v>1.3175700353555848E-2</v>
      </c>
      <c r="K63" s="2"/>
      <c r="L63" s="6">
        <f t="shared" si="19"/>
        <v>1716.22</v>
      </c>
      <c r="M63" s="2"/>
      <c r="N63" s="7">
        <f t="shared" si="20"/>
        <v>1.7362739642875209</v>
      </c>
      <c r="O63" s="11"/>
      <c r="P63" s="6">
        <v>18292.04</v>
      </c>
      <c r="Q63" s="2"/>
      <c r="R63" s="7">
        <f t="shared" si="21"/>
        <v>0.11176157907792618</v>
      </c>
      <c r="S63" s="2"/>
      <c r="T63" s="6">
        <v>6332.21</v>
      </c>
      <c r="U63" s="2"/>
      <c r="V63" s="7">
        <f t="shared" si="22"/>
        <v>1.7619631157553568E-2</v>
      </c>
      <c r="W63" s="2"/>
      <c r="X63" s="6">
        <f t="shared" si="23"/>
        <v>11959.830000000002</v>
      </c>
      <c r="Y63" s="2"/>
      <c r="Z63" s="7">
        <f t="shared" si="24"/>
        <v>1.8887292114443459</v>
      </c>
    </row>
    <row r="64" spans="1:26" s="24" customFormat="1" hidden="1" outlineLevel="2" x14ac:dyDescent="0.25">
      <c r="A64" s="25"/>
      <c r="B64" s="11" t="str">
        <f>CONCATENATE("          ", "6114", " - ", "STATE UNEMPLOYMENT INSURANCE")</f>
        <v xml:space="preserve">          6114 - STATE UNEMPLOYMENT INSURANCE</v>
      </c>
      <c r="C64" s="11"/>
      <c r="D64" s="6">
        <v>47.07</v>
      </c>
      <c r="E64" s="2"/>
      <c r="F64" s="7">
        <f t="shared" si="17"/>
        <v>2.5099836773740465E-3</v>
      </c>
      <c r="G64" s="2"/>
      <c r="H64" s="6">
        <v>24.87</v>
      </c>
      <c r="I64" s="2"/>
      <c r="J64" s="7">
        <f t="shared" si="18"/>
        <v>3.3150859203089073E-4</v>
      </c>
      <c r="K64" s="2"/>
      <c r="L64" s="6">
        <f t="shared" si="19"/>
        <v>22.2</v>
      </c>
      <c r="M64" s="2"/>
      <c r="N64" s="7">
        <f t="shared" si="20"/>
        <v>0.89264173703256933</v>
      </c>
      <c r="O64" s="11"/>
      <c r="P64" s="6">
        <v>221.44</v>
      </c>
      <c r="Q64" s="2"/>
      <c r="R64" s="7">
        <f t="shared" si="21"/>
        <v>1.3529646814142092E-3</v>
      </c>
      <c r="S64" s="2"/>
      <c r="T64" s="6">
        <v>194.72</v>
      </c>
      <c r="U64" s="2"/>
      <c r="V64" s="7">
        <f t="shared" si="22"/>
        <v>5.4181629778526463E-4</v>
      </c>
      <c r="W64" s="2"/>
      <c r="X64" s="6">
        <f t="shared" si="23"/>
        <v>26.72</v>
      </c>
      <c r="Y64" s="2"/>
      <c r="Z64" s="7">
        <f t="shared" si="24"/>
        <v>0.13722267871815941</v>
      </c>
    </row>
    <row r="65" spans="1:26" s="24" customFormat="1" hidden="1" outlineLevel="2" x14ac:dyDescent="0.25">
      <c r="A65" s="25"/>
      <c r="B65" s="11" t="str">
        <f>CONCATENATE("          ", "6115", " - ", "P.E.R.S.")</f>
        <v xml:space="preserve">          6115 - P.E.R.S.</v>
      </c>
      <c r="C65" s="11"/>
      <c r="D65" s="6">
        <v>543.17999999999995</v>
      </c>
      <c r="E65" s="2"/>
      <c r="F65" s="7">
        <f t="shared" si="17"/>
        <v>2.8964795705885584E-2</v>
      </c>
      <c r="G65" s="2"/>
      <c r="H65" s="6">
        <v>233.73</v>
      </c>
      <c r="I65" s="2"/>
      <c r="J65" s="7">
        <f t="shared" si="18"/>
        <v>3.1155409415110609E-3</v>
      </c>
      <c r="K65" s="2"/>
      <c r="L65" s="6">
        <f t="shared" si="19"/>
        <v>309.44999999999993</v>
      </c>
      <c r="M65" s="2"/>
      <c r="N65" s="7">
        <f t="shared" si="20"/>
        <v>1.3239635476832241</v>
      </c>
      <c r="O65" s="11"/>
      <c r="P65" s="6">
        <v>2788.32</v>
      </c>
      <c r="Q65" s="2"/>
      <c r="R65" s="7">
        <f t="shared" si="21"/>
        <v>1.7036210623558833E-2</v>
      </c>
      <c r="S65" s="2"/>
      <c r="T65" s="6">
        <v>1387.48</v>
      </c>
      <c r="U65" s="2"/>
      <c r="V65" s="7">
        <f t="shared" si="22"/>
        <v>3.8607193757759805E-3</v>
      </c>
      <c r="W65" s="2"/>
      <c r="X65" s="6">
        <f t="shared" si="23"/>
        <v>1400.8400000000001</v>
      </c>
      <c r="Y65" s="2"/>
      <c r="Z65" s="7">
        <f t="shared" si="24"/>
        <v>1.0096289676247587</v>
      </c>
    </row>
    <row r="66" spans="1:26" s="24" customFormat="1" hidden="1" outlineLevel="2" x14ac:dyDescent="0.25">
      <c r="A66" s="25"/>
      <c r="B66" s="11" t="str">
        <f>CONCATENATE("          ", "6118", " - ", "VACATION")</f>
        <v xml:space="preserve">          6118 - VACATION</v>
      </c>
      <c r="C66" s="11"/>
      <c r="D66" s="6">
        <v>438.81</v>
      </c>
      <c r="E66" s="2"/>
      <c r="F66" s="7">
        <f t="shared" si="17"/>
        <v>2.3399318832982907E-2</v>
      </c>
      <c r="G66" s="2"/>
      <c r="H66" s="6">
        <v>145.84</v>
      </c>
      <c r="I66" s="2"/>
      <c r="J66" s="7">
        <f t="shared" si="18"/>
        <v>1.9439973084754765E-3</v>
      </c>
      <c r="K66" s="2"/>
      <c r="L66" s="6">
        <f t="shared" si="19"/>
        <v>292.97000000000003</v>
      </c>
      <c r="M66" s="2"/>
      <c r="N66" s="7">
        <f t="shared" si="20"/>
        <v>2.0088453099286889</v>
      </c>
      <c r="O66" s="11"/>
      <c r="P66" s="6">
        <v>3584.5</v>
      </c>
      <c r="Q66" s="2"/>
      <c r="R66" s="7">
        <f t="shared" si="21"/>
        <v>2.1900749189528688E-2</v>
      </c>
      <c r="S66" s="2"/>
      <c r="T66" s="6">
        <v>1451</v>
      </c>
      <c r="U66" s="2"/>
      <c r="V66" s="7">
        <f t="shared" si="22"/>
        <v>4.0374663521282814E-3</v>
      </c>
      <c r="W66" s="2"/>
      <c r="X66" s="6">
        <f t="shared" si="23"/>
        <v>2133.5</v>
      </c>
      <c r="Y66" s="2"/>
      <c r="Z66" s="7">
        <f t="shared" si="24"/>
        <v>1.4703652653342523</v>
      </c>
    </row>
    <row r="67" spans="1:26" s="24" customFormat="1" hidden="1" outlineLevel="2" x14ac:dyDescent="0.25">
      <c r="A67" s="25"/>
      <c r="B67" s="11" t="str">
        <f>CONCATENATE("          ", "6119", " - ", "SICK LEAVE")</f>
        <v xml:space="preserve">          6119 - SICK LEAVE</v>
      </c>
      <c r="C67" s="11"/>
      <c r="D67" s="6">
        <v>331.39</v>
      </c>
      <c r="E67" s="2"/>
      <c r="F67" s="7">
        <f t="shared" si="17"/>
        <v>1.7671202269916832E-2</v>
      </c>
      <c r="G67" s="2"/>
      <c r="H67" s="6">
        <v>102.89</v>
      </c>
      <c r="I67" s="2"/>
      <c r="J67" s="7">
        <f t="shared" si="18"/>
        <v>1.3714885015705003E-3</v>
      </c>
      <c r="K67" s="2"/>
      <c r="L67" s="6">
        <f t="shared" si="19"/>
        <v>228.5</v>
      </c>
      <c r="M67" s="2"/>
      <c r="N67" s="7">
        <f t="shared" si="20"/>
        <v>2.2208183496938476</v>
      </c>
      <c r="O67" s="11"/>
      <c r="P67" s="6">
        <v>3011.59</v>
      </c>
      <c r="Q67" s="2"/>
      <c r="R67" s="7">
        <f t="shared" si="21"/>
        <v>1.8400356326319627E-2</v>
      </c>
      <c r="S67" s="2"/>
      <c r="T67" s="6">
        <v>486.92</v>
      </c>
      <c r="U67" s="2"/>
      <c r="V67" s="7">
        <f t="shared" si="22"/>
        <v>1.3548746493303259E-3</v>
      </c>
      <c r="W67" s="2"/>
      <c r="X67" s="6">
        <f t="shared" si="23"/>
        <v>2524.67</v>
      </c>
      <c r="Y67" s="2"/>
      <c r="Z67" s="7">
        <f t="shared" si="24"/>
        <v>5.1849790520003287</v>
      </c>
    </row>
    <row r="68" spans="1:26" s="24" customFormat="1" hidden="1" outlineLevel="2" x14ac:dyDescent="0.25">
      <c r="A68" s="25"/>
      <c r="B68" s="11" t="str">
        <f>CONCATENATE("          ", "6156", " - ", "EMPLOYEE MEALS")</f>
        <v xml:space="preserve">          6156 - EMPLOYEE MEALS</v>
      </c>
      <c r="C68" s="11"/>
      <c r="D68" s="6">
        <v>63.58</v>
      </c>
      <c r="E68" s="2"/>
      <c r="F68" s="7">
        <f t="shared" si="17"/>
        <v>3.3903709837994874E-3</v>
      </c>
      <c r="G68" s="2"/>
      <c r="H68" s="6"/>
      <c r="I68" s="2"/>
      <c r="J68" s="7">
        <f t="shared" si="18"/>
        <v>0</v>
      </c>
      <c r="K68" s="2"/>
      <c r="L68" s="6">
        <f t="shared" si="19"/>
        <v>63.58</v>
      </c>
      <c r="M68" s="2"/>
      <c r="N68" s="7">
        <f t="shared" si="20"/>
        <v>0</v>
      </c>
      <c r="O68" s="11"/>
      <c r="P68" s="6">
        <v>1129.17</v>
      </c>
      <c r="Q68" s="2"/>
      <c r="R68" s="7">
        <f t="shared" si="21"/>
        <v>6.8990567617073818E-3</v>
      </c>
      <c r="S68" s="2"/>
      <c r="T68" s="6">
        <v>489.5</v>
      </c>
      <c r="U68" s="2"/>
      <c r="V68" s="7">
        <f t="shared" si="22"/>
        <v>1.3620536039743582E-3</v>
      </c>
      <c r="W68" s="2"/>
      <c r="X68" s="6">
        <f t="shared" si="23"/>
        <v>639.67000000000007</v>
      </c>
      <c r="Y68" s="2"/>
      <c r="Z68" s="7">
        <f t="shared" si="24"/>
        <v>1.3067824310520941</v>
      </c>
    </row>
    <row r="69" spans="1:26" s="26" customFormat="1" outlineLevel="1" collapsed="1" x14ac:dyDescent="0.25">
      <c r="A69" s="27"/>
      <c r="B69" s="13" t="str">
        <f>CONCATENATE("     ","*Payroll                                          ")</f>
        <v xml:space="preserve">     *Payroll                                          </v>
      </c>
      <c r="C69" s="13"/>
      <c r="D69" s="1">
        <f>SUM(OSRRefD22_1x_0)</f>
        <v>10135.630000000001</v>
      </c>
      <c r="E69" s="1"/>
      <c r="F69" s="5">
        <f t="shared" ref="F69:F74" si="25">IF(D$12=0,0,D69/D$12)</f>
        <v>0.54047728616746782</v>
      </c>
      <c r="G69" s="1"/>
      <c r="H69" s="1">
        <f>SUM(OSRRefH22_1x_0)</f>
        <v>12412.369999999999</v>
      </c>
      <c r="I69" s="1"/>
      <c r="J69" s="5">
        <f t="shared" ref="J69:J74" si="26">IF(H$12=0,0,H69/H$12)</f>
        <v>0.16545264585711567</v>
      </c>
      <c r="K69" s="1"/>
      <c r="L69" s="1">
        <f t="shared" ref="L69:L74" si="27">+D69-H69</f>
        <v>-2276.739999999998</v>
      </c>
      <c r="M69" s="1"/>
      <c r="N69" s="5">
        <f t="shared" ref="N69:N74" si="28">IF(H69=0,0,L69/H69)</f>
        <v>-0.18342508320328818</v>
      </c>
      <c r="O69" s="13"/>
      <c r="P69" s="1">
        <f>SUM(OSRRefP22_1x_0)</f>
        <v>57976.63</v>
      </c>
      <c r="Q69" s="1"/>
      <c r="R69" s="5">
        <f t="shared" ref="R69:R74" si="29">IF(P$12=0,0,P69/P$12)</f>
        <v>0.35422838122028305</v>
      </c>
      <c r="S69" s="1"/>
      <c r="T69" s="1">
        <f>SUM(OSRRefT22_1x_0)</f>
        <v>78541.320000000007</v>
      </c>
      <c r="U69" s="1"/>
      <c r="V69" s="5">
        <f t="shared" ref="V69:V74" si="30">IF(T$12=0,0,T69/T$12)</f>
        <v>0.21854440851257068</v>
      </c>
      <c r="W69" s="1"/>
      <c r="X69" s="1">
        <f t="shared" ref="X69:X74" si="31">+P69-T69</f>
        <v>-20564.69000000001</v>
      </c>
      <c r="Y69" s="1"/>
      <c r="Z69" s="5">
        <f t="shared" ref="Z69:Z74" si="32">IF(T69=0,0,X69/T69)</f>
        <v>-0.26183275249257343</v>
      </c>
    </row>
    <row r="70" spans="1:26" s="24" customFormat="1" hidden="1" outlineLevel="2" x14ac:dyDescent="0.25">
      <c r="A70" s="25"/>
      <c r="B70" s="11" t="str">
        <f>CONCATENATE("          ", "6002", " - ", "STAFF SALARIES")</f>
        <v xml:space="preserve">          6002 - STAFF SALARIES</v>
      </c>
      <c r="C70" s="11"/>
      <c r="D70" s="6">
        <v>5462.16</v>
      </c>
      <c r="E70" s="2"/>
      <c r="F70" s="7">
        <f t="shared" si="25"/>
        <v>0.29126688853208887</v>
      </c>
      <c r="G70" s="2"/>
      <c r="H70" s="6">
        <v>2007.69</v>
      </c>
      <c r="I70" s="2"/>
      <c r="J70" s="7">
        <f t="shared" si="26"/>
        <v>2.6761820873924366E-2</v>
      </c>
      <c r="K70" s="2"/>
      <c r="L70" s="6">
        <f t="shared" si="27"/>
        <v>3454.47</v>
      </c>
      <c r="M70" s="2"/>
      <c r="N70" s="7">
        <f t="shared" si="28"/>
        <v>1.7206192191025504</v>
      </c>
      <c r="O70" s="11"/>
      <c r="P70" s="6">
        <v>33569.879999999997</v>
      </c>
      <c r="Q70" s="2"/>
      <c r="R70" s="7">
        <f t="shared" si="29"/>
        <v>0.20510685512695642</v>
      </c>
      <c r="S70" s="2"/>
      <c r="T70" s="6">
        <v>13664.19</v>
      </c>
      <c r="U70" s="2"/>
      <c r="V70" s="7">
        <f t="shared" si="30"/>
        <v>3.8021162890480867E-2</v>
      </c>
      <c r="W70" s="2"/>
      <c r="X70" s="6">
        <f t="shared" si="31"/>
        <v>19905.689999999995</v>
      </c>
      <c r="Y70" s="2"/>
      <c r="Z70" s="7">
        <f t="shared" si="32"/>
        <v>1.4567778990192608</v>
      </c>
    </row>
    <row r="71" spans="1:26" s="24" customFormat="1" hidden="1" outlineLevel="2" x14ac:dyDescent="0.25">
      <c r="A71" s="25"/>
      <c r="B71" s="11" t="str">
        <f>CONCATENATE("          ", "6004", " - ", "STAFF HOURLY")</f>
        <v xml:space="preserve">          6004 - STAFF HOURLY</v>
      </c>
      <c r="C71" s="11"/>
      <c r="D71" s="6">
        <v>365</v>
      </c>
      <c r="E71" s="2"/>
      <c r="F71" s="7">
        <f t="shared" si="25"/>
        <v>1.9463438331028829E-2</v>
      </c>
      <c r="G71" s="2"/>
      <c r="H71" s="6"/>
      <c r="I71" s="2"/>
      <c r="J71" s="7">
        <f t="shared" si="26"/>
        <v>0</v>
      </c>
      <c r="K71" s="2"/>
      <c r="L71" s="6">
        <f t="shared" si="27"/>
        <v>365</v>
      </c>
      <c r="M71" s="2"/>
      <c r="N71" s="7">
        <f t="shared" si="28"/>
        <v>0</v>
      </c>
      <c r="O71" s="11"/>
      <c r="P71" s="6">
        <v>3456.21</v>
      </c>
      <c r="Q71" s="2"/>
      <c r="R71" s="7">
        <f t="shared" si="29"/>
        <v>2.11169168241989E-2</v>
      </c>
      <c r="S71" s="2"/>
      <c r="T71" s="6"/>
      <c r="U71" s="2"/>
      <c r="V71" s="7">
        <f t="shared" si="30"/>
        <v>0</v>
      </c>
      <c r="W71" s="2"/>
      <c r="X71" s="6">
        <f t="shared" si="31"/>
        <v>3456.21</v>
      </c>
      <c r="Y71" s="2"/>
      <c r="Z71" s="7">
        <f t="shared" si="32"/>
        <v>0</v>
      </c>
    </row>
    <row r="72" spans="1:26" s="24" customFormat="1" hidden="1" outlineLevel="2" x14ac:dyDescent="0.25">
      <c r="A72" s="25"/>
      <c r="B72" s="11" t="str">
        <f>CONCATENATE("          ", "6005", " - ", "TEMPORARY WAGES-HOURLY")</f>
        <v xml:space="preserve">          6005 - TEMPORARY WAGES-HOURLY</v>
      </c>
      <c r="C72" s="11"/>
      <c r="D72" s="6">
        <v>1980.01</v>
      </c>
      <c r="E72" s="2"/>
      <c r="F72" s="7">
        <f t="shared" si="25"/>
        <v>0.10558302062964492</v>
      </c>
      <c r="G72" s="2"/>
      <c r="H72" s="6">
        <v>1690.01</v>
      </c>
      <c r="I72" s="2"/>
      <c r="J72" s="7">
        <f t="shared" si="26"/>
        <v>2.2527255151512892E-2</v>
      </c>
      <c r="K72" s="2"/>
      <c r="L72" s="6">
        <f t="shared" si="27"/>
        <v>290</v>
      </c>
      <c r="M72" s="2"/>
      <c r="N72" s="7">
        <f t="shared" si="28"/>
        <v>0.17159661777149249</v>
      </c>
      <c r="O72" s="11"/>
      <c r="P72" s="6">
        <v>9890.65</v>
      </c>
      <c r="Q72" s="2"/>
      <c r="R72" s="7">
        <f t="shared" si="29"/>
        <v>6.0430365454432117E-2</v>
      </c>
      <c r="S72" s="2"/>
      <c r="T72" s="6">
        <v>6047.03</v>
      </c>
      <c r="U72" s="2"/>
      <c r="V72" s="7">
        <f t="shared" si="30"/>
        <v>1.6826106240737614E-2</v>
      </c>
      <c r="W72" s="2"/>
      <c r="X72" s="6">
        <f t="shared" si="31"/>
        <v>3843.62</v>
      </c>
      <c r="Y72" s="2"/>
      <c r="Z72" s="7">
        <f t="shared" si="32"/>
        <v>0.63562112309679297</v>
      </c>
    </row>
    <row r="73" spans="1:26" s="24" customFormat="1" hidden="1" outlineLevel="2" x14ac:dyDescent="0.25">
      <c r="A73" s="25"/>
      <c r="B73" s="11" t="str">
        <f>CONCATENATE("          ", "6007", " - ", "STUDENT HOURLY")</f>
        <v xml:space="preserve">          6007 - STUDENT HOURLY</v>
      </c>
      <c r="C73" s="11"/>
      <c r="D73" s="6">
        <v>2126.86</v>
      </c>
      <c r="E73" s="2"/>
      <c r="F73" s="7">
        <f t="shared" si="25"/>
        <v>0.11341372177734789</v>
      </c>
      <c r="G73" s="2"/>
      <c r="H73" s="6">
        <v>8714.67</v>
      </c>
      <c r="I73" s="2"/>
      <c r="J73" s="7">
        <f t="shared" si="26"/>
        <v>0.11616356983167843</v>
      </c>
      <c r="K73" s="2"/>
      <c r="L73" s="6">
        <f t="shared" si="27"/>
        <v>-6587.8099999999995</v>
      </c>
      <c r="M73" s="2"/>
      <c r="N73" s="7">
        <f t="shared" si="28"/>
        <v>-0.75594486079220435</v>
      </c>
      <c r="O73" s="11"/>
      <c r="P73" s="6">
        <v>9140.86</v>
      </c>
      <c r="Q73" s="2"/>
      <c r="R73" s="7">
        <f t="shared" si="29"/>
        <v>5.5849262724674352E-2</v>
      </c>
      <c r="S73" s="2"/>
      <c r="T73" s="6">
        <v>58830.1</v>
      </c>
      <c r="U73" s="2"/>
      <c r="V73" s="7">
        <f t="shared" si="30"/>
        <v>0.16369713938135216</v>
      </c>
      <c r="W73" s="2"/>
      <c r="X73" s="6">
        <f t="shared" si="31"/>
        <v>-49689.24</v>
      </c>
      <c r="Y73" s="2"/>
      <c r="Z73" s="7">
        <f t="shared" si="32"/>
        <v>-0.844622735640429</v>
      </c>
    </row>
    <row r="74" spans="1:26" s="24" customFormat="1" hidden="1" outlineLevel="2" x14ac:dyDescent="0.25">
      <c r="A74" s="25"/>
      <c r="B74" s="11" t="str">
        <f>CONCATENATE("          ", "6008", " - ", "STUDENT HOURLY-FICA EXEMPT")</f>
        <v xml:space="preserve">          6008 - STUDENT HOURLY-FICA EXEMPT</v>
      </c>
      <c r="C74" s="11"/>
      <c r="D74" s="6">
        <v>201.6</v>
      </c>
      <c r="E74" s="2"/>
      <c r="F74" s="7">
        <f t="shared" si="25"/>
        <v>1.0750216897357293E-2</v>
      </c>
      <c r="G74" s="2"/>
      <c r="H74" s="6"/>
      <c r="I74" s="2"/>
      <c r="J74" s="7">
        <f t="shared" si="26"/>
        <v>0</v>
      </c>
      <c r="K74" s="2"/>
      <c r="L74" s="6">
        <f t="shared" si="27"/>
        <v>201.6</v>
      </c>
      <c r="M74" s="2"/>
      <c r="N74" s="7">
        <f t="shared" si="28"/>
        <v>0</v>
      </c>
      <c r="O74" s="11"/>
      <c r="P74" s="6">
        <v>1919.03</v>
      </c>
      <c r="Q74" s="2"/>
      <c r="R74" s="7">
        <f t="shared" si="29"/>
        <v>1.1724981090021269E-2</v>
      </c>
      <c r="S74" s="2"/>
      <c r="T74" s="6"/>
      <c r="U74" s="2"/>
      <c r="V74" s="7">
        <f t="shared" si="30"/>
        <v>0</v>
      </c>
      <c r="W74" s="2"/>
      <c r="X74" s="6">
        <f t="shared" si="31"/>
        <v>1919.03</v>
      </c>
      <c r="Y74" s="2"/>
      <c r="Z74" s="7">
        <f t="shared" si="32"/>
        <v>0</v>
      </c>
    </row>
    <row r="75" spans="1:26" s="26" customFormat="1" outlineLevel="1" collapsed="1" x14ac:dyDescent="0.25">
      <c r="A75" s="27"/>
      <c r="B75" s="13" t="str">
        <f>CONCATENATE("     ","Advertising/Promo                                 ")</f>
        <v xml:space="preserve">     Advertising/Promo                                 </v>
      </c>
      <c r="C75" s="13"/>
      <c r="D75" s="1">
        <f>SUM(OSRRefD22_2x_0)</f>
        <v>0</v>
      </c>
      <c r="E75" s="1"/>
      <c r="F75" s="5">
        <f t="shared" ref="F75:F97" si="33">IF(D$12=0,0,D75/D$12)</f>
        <v>0</v>
      </c>
      <c r="G75" s="1"/>
      <c r="H75" s="1">
        <f>SUM(OSRRefH22_2x_0)</f>
        <v>471.1</v>
      </c>
      <c r="I75" s="1"/>
      <c r="J75" s="5">
        <f t="shared" ref="J75:J97" si="34">IF(H$12=0,0,H75/H$12)</f>
        <v>6.2796018377865954E-3</v>
      </c>
      <c r="K75" s="1"/>
      <c r="L75" s="1">
        <f t="shared" ref="L75:L97" si="35">+D75-H75</f>
        <v>-471.1</v>
      </c>
      <c r="M75" s="1"/>
      <c r="N75" s="5">
        <f t="shared" ref="N75:N97" si="36">IF(H75=0,0,L75/H75)</f>
        <v>-1</v>
      </c>
      <c r="O75" s="13"/>
      <c r="P75" s="1">
        <f>SUM(OSRRefP22_2x_0)</f>
        <v>1024.2</v>
      </c>
      <c r="Q75" s="1"/>
      <c r="R75" s="5">
        <f t="shared" ref="R75:R97" si="37">IF(P$12=0,0,P75/P$12)</f>
        <v>6.2577060454499329E-3</v>
      </c>
      <c r="S75" s="1"/>
      <c r="T75" s="1">
        <f>SUM(OSRRefT22_2x_0)</f>
        <v>2816.48</v>
      </c>
      <c r="U75" s="1"/>
      <c r="V75" s="5">
        <f t="shared" ref="V75:V97" si="38">IF(T$12=0,0,T75/T$12)</f>
        <v>7.8369698355908075E-3</v>
      </c>
      <c r="W75" s="1"/>
      <c r="X75" s="1">
        <f t="shared" ref="X75:X97" si="39">+P75-T75</f>
        <v>-1792.28</v>
      </c>
      <c r="Y75" s="1"/>
      <c r="Z75" s="5">
        <f t="shared" ref="Z75:Z97" si="40">IF(T75=0,0,X75/T75)</f>
        <v>-0.63635459864795774</v>
      </c>
    </row>
    <row r="76" spans="1:26" s="24" customFormat="1" hidden="1" outlineLevel="2" x14ac:dyDescent="0.25">
      <c r="A76" s="25"/>
      <c r="B76" s="11" t="str">
        <f>CONCATENATE("          ", "6362", " - ", "ADVERTISING EXPENSE")</f>
        <v xml:space="preserve">          6362 - ADVERTISING EXPENSE</v>
      </c>
      <c r="C76" s="11"/>
      <c r="D76" s="6"/>
      <c r="E76" s="2"/>
      <c r="F76" s="7">
        <f t="shared" si="33"/>
        <v>0</v>
      </c>
      <c r="G76" s="2"/>
      <c r="H76" s="6">
        <v>471.1</v>
      </c>
      <c r="I76" s="2"/>
      <c r="J76" s="7">
        <f t="shared" si="34"/>
        <v>6.2796018377865954E-3</v>
      </c>
      <c r="K76" s="2"/>
      <c r="L76" s="6">
        <f t="shared" si="35"/>
        <v>-471.1</v>
      </c>
      <c r="M76" s="2"/>
      <c r="N76" s="7">
        <f t="shared" si="36"/>
        <v>-1</v>
      </c>
      <c r="O76" s="11"/>
      <c r="P76" s="6">
        <v>1024.2</v>
      </c>
      <c r="Q76" s="2"/>
      <c r="R76" s="7">
        <f t="shared" si="37"/>
        <v>6.2577060454499329E-3</v>
      </c>
      <c r="S76" s="2"/>
      <c r="T76" s="6">
        <v>2816.48</v>
      </c>
      <c r="U76" s="2"/>
      <c r="V76" s="7">
        <f t="shared" si="38"/>
        <v>7.8369698355908075E-3</v>
      </c>
      <c r="W76" s="2"/>
      <c r="X76" s="6">
        <f t="shared" si="39"/>
        <v>-1792.28</v>
      </c>
      <c r="Y76" s="2"/>
      <c r="Z76" s="7">
        <f t="shared" si="40"/>
        <v>-0.63635459864795774</v>
      </c>
    </row>
    <row r="77" spans="1:26" s="26" customFormat="1" outlineLevel="1" collapsed="1" x14ac:dyDescent="0.25">
      <c r="A77" s="27"/>
      <c r="B77" s="13" t="str">
        <f>CONCATENATE("     ","Bad Debts/Over/Short                              ")</f>
        <v xml:space="preserve">     Bad Debts/Over/Short                              </v>
      </c>
      <c r="C77" s="13"/>
      <c r="D77" s="1">
        <f>SUM(OSRRefD22_3x_0)</f>
        <v>-0.41</v>
      </c>
      <c r="E77" s="1"/>
      <c r="F77" s="5">
        <f t="shared" si="33"/>
        <v>-2.1863040317046082E-5</v>
      </c>
      <c r="G77" s="1"/>
      <c r="H77" s="1">
        <f>SUM(OSRRefH22_3x_0)</f>
        <v>-0.13</v>
      </c>
      <c r="I77" s="1"/>
      <c r="J77" s="5">
        <f t="shared" si="34"/>
        <v>-1.7328555273026054E-6</v>
      </c>
      <c r="K77" s="1"/>
      <c r="L77" s="1">
        <f t="shared" si="35"/>
        <v>-0.27999999999999997</v>
      </c>
      <c r="M77" s="1"/>
      <c r="N77" s="5">
        <f t="shared" si="36"/>
        <v>2.1538461538461537</v>
      </c>
      <c r="O77" s="13"/>
      <c r="P77" s="1">
        <f>SUM(OSRRefP22_3x_0)</f>
        <v>-1.8</v>
      </c>
      <c r="Q77" s="1"/>
      <c r="R77" s="5">
        <f t="shared" si="37"/>
        <v>-1.099772591467475E-5</v>
      </c>
      <c r="S77" s="1"/>
      <c r="T77" s="1">
        <f>SUM(OSRRefT22_3x_0)</f>
        <v>45.81</v>
      </c>
      <c r="U77" s="1"/>
      <c r="V77" s="5">
        <f t="shared" si="38"/>
        <v>1.2746818303997008E-4</v>
      </c>
      <c r="W77" s="1"/>
      <c r="X77" s="1">
        <f t="shared" si="39"/>
        <v>-47.61</v>
      </c>
      <c r="Y77" s="1"/>
      <c r="Z77" s="5">
        <f t="shared" si="40"/>
        <v>-1.0392927308447937</v>
      </c>
    </row>
    <row r="78" spans="1:26" s="24" customFormat="1" hidden="1" outlineLevel="2" x14ac:dyDescent="0.25">
      <c r="A78" s="25"/>
      <c r="B78" s="11" t="str">
        <f>CONCATENATE("          ", "6272", " - ", "CASH (OVER/SHORT)")</f>
        <v xml:space="preserve">          6272 - CASH (OVER/SHORT)</v>
      </c>
      <c r="C78" s="11"/>
      <c r="D78" s="6">
        <v>-0.41</v>
      </c>
      <c r="E78" s="2"/>
      <c r="F78" s="7">
        <f t="shared" si="33"/>
        <v>-2.1863040317046082E-5</v>
      </c>
      <c r="G78" s="2"/>
      <c r="H78" s="6">
        <v>-0.13</v>
      </c>
      <c r="I78" s="2"/>
      <c r="J78" s="7">
        <f t="shared" si="34"/>
        <v>-1.7328555273026054E-6</v>
      </c>
      <c r="K78" s="2"/>
      <c r="L78" s="6">
        <f t="shared" si="35"/>
        <v>-0.27999999999999997</v>
      </c>
      <c r="M78" s="2"/>
      <c r="N78" s="7">
        <f t="shared" si="36"/>
        <v>2.1538461538461537</v>
      </c>
      <c r="O78" s="11"/>
      <c r="P78" s="6">
        <v>-1.8</v>
      </c>
      <c r="Q78" s="2"/>
      <c r="R78" s="7">
        <f t="shared" si="37"/>
        <v>-1.099772591467475E-5</v>
      </c>
      <c r="S78" s="2"/>
      <c r="T78" s="6">
        <v>45.81</v>
      </c>
      <c r="U78" s="2"/>
      <c r="V78" s="7">
        <f t="shared" si="38"/>
        <v>1.2746818303997008E-4</v>
      </c>
      <c r="W78" s="2"/>
      <c r="X78" s="6">
        <f t="shared" si="39"/>
        <v>-47.61</v>
      </c>
      <c r="Y78" s="2"/>
      <c r="Z78" s="7">
        <f t="shared" si="40"/>
        <v>-1.0392927308447937</v>
      </c>
    </row>
    <row r="79" spans="1:26" s="26" customFormat="1" outlineLevel="1" collapsed="1" x14ac:dyDescent="0.25">
      <c r="A79" s="27"/>
      <c r="B79" s="13" t="str">
        <f>CONCATENATE("     ","Bank/card Fees                                    ")</f>
        <v xml:space="preserve">     Bank/card Fees                                    </v>
      </c>
      <c r="C79" s="13"/>
      <c r="D79" s="1">
        <f>SUM(OSRRefD22_4x_0)</f>
        <v>244.74</v>
      </c>
      <c r="E79" s="1"/>
      <c r="F79" s="5">
        <f t="shared" si="33"/>
        <v>1.3050635334619167E-2</v>
      </c>
      <c r="G79" s="1"/>
      <c r="H79" s="1">
        <f>SUM(OSRRefH22_4x_0)</f>
        <v>489.58</v>
      </c>
      <c r="I79" s="1"/>
      <c r="J79" s="5">
        <f t="shared" si="34"/>
        <v>6.5259339158216115E-3</v>
      </c>
      <c r="K79" s="1"/>
      <c r="L79" s="1">
        <f t="shared" si="35"/>
        <v>-244.83999999999997</v>
      </c>
      <c r="M79" s="1"/>
      <c r="N79" s="5">
        <f t="shared" si="36"/>
        <v>-0.50010212835491641</v>
      </c>
      <c r="O79" s="13"/>
      <c r="P79" s="1">
        <f>SUM(OSRRefP22_4x_0)</f>
        <v>2559.0100000000002</v>
      </c>
      <c r="Q79" s="1"/>
      <c r="R79" s="5">
        <f t="shared" si="37"/>
        <v>1.5635161440506574E-2</v>
      </c>
      <c r="S79" s="1"/>
      <c r="T79" s="1">
        <f>SUM(OSRRefT22_4x_0)</f>
        <v>5174.05</v>
      </c>
      <c r="U79" s="1"/>
      <c r="V79" s="5">
        <f t="shared" si="38"/>
        <v>1.4397003982928556E-2</v>
      </c>
      <c r="W79" s="1"/>
      <c r="X79" s="1">
        <f t="shared" si="39"/>
        <v>-2615.04</v>
      </c>
      <c r="Y79" s="1"/>
      <c r="Z79" s="5">
        <f t="shared" si="40"/>
        <v>-0.50541452054000247</v>
      </c>
    </row>
    <row r="80" spans="1:26" s="24" customFormat="1" hidden="1" outlineLevel="2" x14ac:dyDescent="0.25">
      <c r="A80" s="25"/>
      <c r="B80" s="11" t="str">
        <f>CONCATENATE("          ", "6381", " - ", "BANK/CREDIT CARD FEES")</f>
        <v xml:space="preserve">          6381 - BANK/CREDIT CARD FEES</v>
      </c>
      <c r="C80" s="11"/>
      <c r="D80" s="6">
        <v>244.74</v>
      </c>
      <c r="E80" s="2"/>
      <c r="F80" s="7">
        <f t="shared" si="33"/>
        <v>1.3050635334619167E-2</v>
      </c>
      <c r="G80" s="2"/>
      <c r="H80" s="6">
        <v>489.58</v>
      </c>
      <c r="I80" s="2"/>
      <c r="J80" s="7">
        <f t="shared" si="34"/>
        <v>6.5259339158216115E-3</v>
      </c>
      <c r="K80" s="2"/>
      <c r="L80" s="6">
        <f t="shared" si="35"/>
        <v>-244.83999999999997</v>
      </c>
      <c r="M80" s="2"/>
      <c r="N80" s="7">
        <f t="shared" si="36"/>
        <v>-0.50010212835491641</v>
      </c>
      <c r="O80" s="11"/>
      <c r="P80" s="6">
        <v>2559.0100000000002</v>
      </c>
      <c r="Q80" s="2"/>
      <c r="R80" s="7">
        <f t="shared" si="37"/>
        <v>1.5635161440506574E-2</v>
      </c>
      <c r="S80" s="2"/>
      <c r="T80" s="6">
        <v>5174.05</v>
      </c>
      <c r="U80" s="2"/>
      <c r="V80" s="7">
        <f t="shared" si="38"/>
        <v>1.4397003982928556E-2</v>
      </c>
      <c r="W80" s="2"/>
      <c r="X80" s="6">
        <f t="shared" si="39"/>
        <v>-2615.04</v>
      </c>
      <c r="Y80" s="2"/>
      <c r="Z80" s="7">
        <f t="shared" si="40"/>
        <v>-0.50541452054000247</v>
      </c>
    </row>
    <row r="81" spans="1:26" s="26" customFormat="1" outlineLevel="1" collapsed="1" x14ac:dyDescent="0.25">
      <c r="A81" s="27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SUM(OSRRefD22_5x_0)</f>
        <v>0</v>
      </c>
      <c r="E81" s="1"/>
      <c r="F81" s="5">
        <f t="shared" si="33"/>
        <v>0</v>
      </c>
      <c r="G81" s="1"/>
      <c r="H81" s="1">
        <f>SUM(OSRRefH22_5x_0)</f>
        <v>10777.77</v>
      </c>
      <c r="I81" s="1"/>
      <c r="J81" s="5">
        <f t="shared" si="34"/>
        <v>0.14366398704997077</v>
      </c>
      <c r="K81" s="1"/>
      <c r="L81" s="1">
        <f t="shared" si="35"/>
        <v>-10777.77</v>
      </c>
      <c r="M81" s="1"/>
      <c r="N81" s="5">
        <f t="shared" si="36"/>
        <v>-1</v>
      </c>
      <c r="O81" s="13"/>
      <c r="P81" s="1">
        <f>SUM(OSRRefP22_5x_0)</f>
        <v>0</v>
      </c>
      <c r="Q81" s="1"/>
      <c r="R81" s="5">
        <f t="shared" si="37"/>
        <v>0</v>
      </c>
      <c r="S81" s="1"/>
      <c r="T81" s="1">
        <f>SUM(OSRRefT22_5x_0)</f>
        <v>59207.13</v>
      </c>
      <c r="U81" s="1"/>
      <c r="V81" s="5">
        <f t="shared" si="38"/>
        <v>0.16474624064857679</v>
      </c>
      <c r="W81" s="1"/>
      <c r="X81" s="1">
        <f t="shared" si="39"/>
        <v>-59207.13</v>
      </c>
      <c r="Y81" s="1"/>
      <c r="Z81" s="5">
        <f t="shared" si="40"/>
        <v>-1</v>
      </c>
    </row>
    <row r="82" spans="1:26" s="24" customFormat="1" hidden="1" outlineLevel="2" x14ac:dyDescent="0.25">
      <c r="A82" s="25"/>
      <c r="B82" s="11" t="str">
        <f>CONCATENATE("          ", "6382", " - ", "DISCOUNTS/MARK DOWNS")</f>
        <v xml:space="preserve">          6382 - DISCOUNTS/MARK DOWNS</v>
      </c>
      <c r="C82" s="11"/>
      <c r="D82" s="6"/>
      <c r="E82" s="2"/>
      <c r="F82" s="7">
        <f t="shared" si="33"/>
        <v>0</v>
      </c>
      <c r="G82" s="2"/>
      <c r="H82" s="6">
        <v>10777.77</v>
      </c>
      <c r="I82" s="2"/>
      <c r="J82" s="7">
        <f t="shared" si="34"/>
        <v>0.14366398704997077</v>
      </c>
      <c r="K82" s="2"/>
      <c r="L82" s="6">
        <f t="shared" si="35"/>
        <v>-10777.77</v>
      </c>
      <c r="M82" s="2"/>
      <c r="N82" s="7">
        <f t="shared" si="36"/>
        <v>-1</v>
      </c>
      <c r="O82" s="11"/>
      <c r="P82" s="6">
        <v>0</v>
      </c>
      <c r="Q82" s="2"/>
      <c r="R82" s="7">
        <f t="shared" si="37"/>
        <v>0</v>
      </c>
      <c r="S82" s="2"/>
      <c r="T82" s="6">
        <v>59207.13</v>
      </c>
      <c r="U82" s="2"/>
      <c r="V82" s="7">
        <f t="shared" si="38"/>
        <v>0.16474624064857679</v>
      </c>
      <c r="W82" s="2"/>
      <c r="X82" s="6">
        <f t="shared" si="39"/>
        <v>-59207.13</v>
      </c>
      <c r="Y82" s="2"/>
      <c r="Z82" s="7">
        <f t="shared" si="40"/>
        <v>-1</v>
      </c>
    </row>
    <row r="83" spans="1:26" s="26" customFormat="1" outlineLevel="1" collapsed="1" x14ac:dyDescent="0.25">
      <c r="A83" s="27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SUM(OSRRefD22_6x_0)</f>
        <v>0</v>
      </c>
      <c r="E83" s="1"/>
      <c r="F83" s="5">
        <f t="shared" si="33"/>
        <v>0</v>
      </c>
      <c r="G83" s="1"/>
      <c r="H83" s="1">
        <f>SUM(OSRRefH22_6x_0)</f>
        <v>0</v>
      </c>
      <c r="I83" s="1"/>
      <c r="J83" s="5">
        <f t="shared" si="34"/>
        <v>0</v>
      </c>
      <c r="K83" s="1"/>
      <c r="L83" s="1">
        <f t="shared" si="35"/>
        <v>0</v>
      </c>
      <c r="M83" s="1"/>
      <c r="N83" s="5">
        <f t="shared" si="36"/>
        <v>0</v>
      </c>
      <c r="O83" s="13"/>
      <c r="P83" s="1">
        <f>SUM(OSRRefP22_6x_0)</f>
        <v>0</v>
      </c>
      <c r="Q83" s="1"/>
      <c r="R83" s="5">
        <f t="shared" si="37"/>
        <v>0</v>
      </c>
      <c r="S83" s="1"/>
      <c r="T83" s="1">
        <f>SUM(OSRRefT22_6x_0)</f>
        <v>120.93</v>
      </c>
      <c r="U83" s="1"/>
      <c r="V83" s="5">
        <f t="shared" si="38"/>
        <v>3.3649262988481952E-4</v>
      </c>
      <c r="W83" s="1"/>
      <c r="X83" s="1">
        <f t="shared" si="39"/>
        <v>-120.93</v>
      </c>
      <c r="Y83" s="1"/>
      <c r="Z83" s="5">
        <f t="shared" si="40"/>
        <v>-1</v>
      </c>
    </row>
    <row r="84" spans="1:26" s="24" customFormat="1" hidden="1" outlineLevel="2" x14ac:dyDescent="0.25">
      <c r="A84" s="25"/>
      <c r="B84" s="11" t="str">
        <f>CONCATENATE("          ", "6277", " - ", "EMPLOYEE APPRECIATION")</f>
        <v xml:space="preserve">          6277 - EMPLOYEE APPRECIATION</v>
      </c>
      <c r="C84" s="11"/>
      <c r="D84" s="6"/>
      <c r="E84" s="2"/>
      <c r="F84" s="7">
        <f t="shared" si="33"/>
        <v>0</v>
      </c>
      <c r="G84" s="2"/>
      <c r="H84" s="6"/>
      <c r="I84" s="2"/>
      <c r="J84" s="7">
        <f t="shared" si="34"/>
        <v>0</v>
      </c>
      <c r="K84" s="2"/>
      <c r="L84" s="6">
        <f t="shared" si="35"/>
        <v>0</v>
      </c>
      <c r="M84" s="2"/>
      <c r="N84" s="7">
        <f t="shared" si="36"/>
        <v>0</v>
      </c>
      <c r="O84" s="11"/>
      <c r="P84" s="6"/>
      <c r="Q84" s="2"/>
      <c r="R84" s="7">
        <f t="shared" si="37"/>
        <v>0</v>
      </c>
      <c r="S84" s="2"/>
      <c r="T84" s="6">
        <v>120.93</v>
      </c>
      <c r="U84" s="2"/>
      <c r="V84" s="7">
        <f t="shared" si="38"/>
        <v>3.3649262988481952E-4</v>
      </c>
      <c r="W84" s="2"/>
      <c r="X84" s="6">
        <f t="shared" si="39"/>
        <v>-120.93</v>
      </c>
      <c r="Y84" s="2"/>
      <c r="Z84" s="7">
        <f t="shared" si="40"/>
        <v>-1</v>
      </c>
    </row>
    <row r="85" spans="1:26" s="26" customFormat="1" outlineLevel="1" collapsed="1" x14ac:dyDescent="0.25">
      <c r="A85" s="27"/>
      <c r="B85" s="13" t="str">
        <f>CONCATENATE("     ","General                                           ")</f>
        <v xml:space="preserve">     General                                           </v>
      </c>
      <c r="C85" s="13"/>
      <c r="D85" s="1">
        <f>SUM(OSRRefD22_7x_0)</f>
        <v>0</v>
      </c>
      <c r="E85" s="1"/>
      <c r="F85" s="5">
        <f t="shared" si="33"/>
        <v>0</v>
      </c>
      <c r="G85" s="1"/>
      <c r="H85" s="1">
        <f>SUM(OSRRefH22_7x_0)</f>
        <v>0</v>
      </c>
      <c r="I85" s="1"/>
      <c r="J85" s="5">
        <f t="shared" si="34"/>
        <v>0</v>
      </c>
      <c r="K85" s="1"/>
      <c r="L85" s="1">
        <f t="shared" si="35"/>
        <v>0</v>
      </c>
      <c r="M85" s="1"/>
      <c r="N85" s="5">
        <f t="shared" si="36"/>
        <v>0</v>
      </c>
      <c r="O85" s="13"/>
      <c r="P85" s="1">
        <f>SUM(OSRRefP22_7x_0)</f>
        <v>1285.46</v>
      </c>
      <c r="Q85" s="1"/>
      <c r="R85" s="5">
        <f t="shared" si="37"/>
        <v>7.8539648634876683E-3</v>
      </c>
      <c r="S85" s="1"/>
      <c r="T85" s="1">
        <f>SUM(OSRRefT22_7x_0)</f>
        <v>1271.44</v>
      </c>
      <c r="U85" s="1"/>
      <c r="V85" s="5">
        <f t="shared" si="38"/>
        <v>3.5378333692281062E-3</v>
      </c>
      <c r="W85" s="1"/>
      <c r="X85" s="1">
        <f t="shared" si="39"/>
        <v>14.019999999999982</v>
      </c>
      <c r="Y85" s="1"/>
      <c r="Z85" s="5">
        <f t="shared" si="40"/>
        <v>1.1026867174227633E-2</v>
      </c>
    </row>
    <row r="86" spans="1:26" s="24" customFormat="1" hidden="1" outlineLevel="2" x14ac:dyDescent="0.25">
      <c r="A86" s="25"/>
      <c r="B86" s="11" t="str">
        <f>CONCATENATE("          ", "6279", " - ", "GENERAL EXPENSE")</f>
        <v xml:space="preserve">          6279 - GENERAL EXPENSE</v>
      </c>
      <c r="C86" s="11"/>
      <c r="D86" s="6"/>
      <c r="E86" s="2"/>
      <c r="F86" s="7">
        <f t="shared" si="33"/>
        <v>0</v>
      </c>
      <c r="G86" s="2"/>
      <c r="H86" s="6"/>
      <c r="I86" s="2"/>
      <c r="J86" s="7">
        <f t="shared" si="34"/>
        <v>0</v>
      </c>
      <c r="K86" s="2"/>
      <c r="L86" s="6">
        <f t="shared" si="35"/>
        <v>0</v>
      </c>
      <c r="M86" s="2"/>
      <c r="N86" s="7">
        <f t="shared" si="36"/>
        <v>0</v>
      </c>
      <c r="O86" s="11"/>
      <c r="P86" s="6">
        <v>1285.46</v>
      </c>
      <c r="Q86" s="2"/>
      <c r="R86" s="7">
        <f t="shared" si="37"/>
        <v>7.8539648634876683E-3</v>
      </c>
      <c r="S86" s="2"/>
      <c r="T86" s="6">
        <v>1271.44</v>
      </c>
      <c r="U86" s="2"/>
      <c r="V86" s="7">
        <f t="shared" si="38"/>
        <v>3.5378333692281062E-3</v>
      </c>
      <c r="W86" s="2"/>
      <c r="X86" s="6">
        <f t="shared" si="39"/>
        <v>14.019999999999982</v>
      </c>
      <c r="Y86" s="2"/>
      <c r="Z86" s="7">
        <f t="shared" si="40"/>
        <v>1.1026867174227633E-2</v>
      </c>
    </row>
    <row r="87" spans="1:26" s="26" customFormat="1" outlineLevel="1" collapsed="1" x14ac:dyDescent="0.25">
      <c r="A87" s="27"/>
      <c r="B87" s="13" t="str">
        <f>CONCATENATE("     ","Insurance                                         ")</f>
        <v xml:space="preserve">     Insurance                                         </v>
      </c>
      <c r="C87" s="13"/>
      <c r="D87" s="1">
        <f>SUM(OSRRefD22_8x_0)</f>
        <v>161.18</v>
      </c>
      <c r="E87" s="1"/>
      <c r="F87" s="5">
        <f t="shared" si="33"/>
        <v>8.5948410690280183E-3</v>
      </c>
      <c r="G87" s="1"/>
      <c r="H87" s="1">
        <f>SUM(OSRRefH22_8x_0)</f>
        <v>161.18</v>
      </c>
      <c r="I87" s="1"/>
      <c r="J87" s="5">
        <f t="shared" si="34"/>
        <v>2.1484742606971839E-3</v>
      </c>
      <c r="K87" s="1"/>
      <c r="L87" s="1">
        <f t="shared" si="35"/>
        <v>0</v>
      </c>
      <c r="M87" s="1"/>
      <c r="N87" s="5">
        <f t="shared" si="36"/>
        <v>0</v>
      </c>
      <c r="O87" s="13"/>
      <c r="P87" s="1">
        <f>SUM(OSRRefP22_8x_0)</f>
        <v>1128.26</v>
      </c>
      <c r="Q87" s="1"/>
      <c r="R87" s="5">
        <f t="shared" si="37"/>
        <v>6.8934968002727403E-3</v>
      </c>
      <c r="S87" s="1"/>
      <c r="T87" s="1">
        <f>SUM(OSRRefT22_8x_0)</f>
        <v>1128.26</v>
      </c>
      <c r="U87" s="1"/>
      <c r="V87" s="5">
        <f t="shared" si="38"/>
        <v>3.1394292118899067E-3</v>
      </c>
      <c r="W87" s="1"/>
      <c r="X87" s="1">
        <f t="shared" si="39"/>
        <v>0</v>
      </c>
      <c r="Y87" s="1"/>
      <c r="Z87" s="5">
        <f t="shared" si="40"/>
        <v>0</v>
      </c>
    </row>
    <row r="88" spans="1:26" s="24" customFormat="1" hidden="1" outlineLevel="2" x14ac:dyDescent="0.25">
      <c r="A88" s="25"/>
      <c r="B88" s="11" t="str">
        <f>CONCATENATE("          ", "6314", " - ", "LIABILITY INSURANCE")</f>
        <v xml:space="preserve">          6314 - LIABILITY INSURANCE</v>
      </c>
      <c r="C88" s="11"/>
      <c r="D88" s="6">
        <v>161.18</v>
      </c>
      <c r="E88" s="2"/>
      <c r="F88" s="7">
        <f t="shared" si="33"/>
        <v>8.5948410690280183E-3</v>
      </c>
      <c r="G88" s="2"/>
      <c r="H88" s="6">
        <v>161.18</v>
      </c>
      <c r="I88" s="2"/>
      <c r="J88" s="7">
        <f t="shared" si="34"/>
        <v>2.1484742606971839E-3</v>
      </c>
      <c r="K88" s="2"/>
      <c r="L88" s="6">
        <f t="shared" si="35"/>
        <v>0</v>
      </c>
      <c r="M88" s="2"/>
      <c r="N88" s="7">
        <f t="shared" si="36"/>
        <v>0</v>
      </c>
      <c r="O88" s="11"/>
      <c r="P88" s="6">
        <v>1128.26</v>
      </c>
      <c r="Q88" s="2"/>
      <c r="R88" s="7">
        <f t="shared" si="37"/>
        <v>6.8934968002727403E-3</v>
      </c>
      <c r="S88" s="2"/>
      <c r="T88" s="6">
        <v>1128.26</v>
      </c>
      <c r="U88" s="2"/>
      <c r="V88" s="7">
        <f t="shared" si="38"/>
        <v>3.1394292118899067E-3</v>
      </c>
      <c r="W88" s="2"/>
      <c r="X88" s="6">
        <f t="shared" si="39"/>
        <v>0</v>
      </c>
      <c r="Y88" s="2"/>
      <c r="Z88" s="7">
        <f t="shared" si="40"/>
        <v>0</v>
      </c>
    </row>
    <row r="89" spans="1:26" s="26" customFormat="1" outlineLevel="1" collapsed="1" x14ac:dyDescent="0.25">
      <c r="A89" s="27"/>
      <c r="B89" s="13" t="str">
        <f>CONCATENATE("     ","Inventory Adjustment                              ")</f>
        <v xml:space="preserve">     Inventory Adjustment                              </v>
      </c>
      <c r="C89" s="13"/>
      <c r="D89" s="1">
        <f>SUM(OSRRefD22_9x_0)</f>
        <v>100</v>
      </c>
      <c r="E89" s="1"/>
      <c r="F89" s="5">
        <f t="shared" si="33"/>
        <v>5.3324488578161177E-3</v>
      </c>
      <c r="G89" s="1"/>
      <c r="H89" s="1">
        <f>SUM(OSRRefH22_9x_0)</f>
        <v>300</v>
      </c>
      <c r="I89" s="1"/>
      <c r="J89" s="5">
        <f t="shared" si="34"/>
        <v>3.9988973706983197E-3</v>
      </c>
      <c r="K89" s="1"/>
      <c r="L89" s="1">
        <f t="shared" si="35"/>
        <v>-200</v>
      </c>
      <c r="M89" s="1"/>
      <c r="N89" s="5">
        <f t="shared" si="36"/>
        <v>-0.66666666666666663</v>
      </c>
      <c r="O89" s="13"/>
      <c r="P89" s="1">
        <f>SUM(OSRRefP22_9x_0)</f>
        <v>700</v>
      </c>
      <c r="Q89" s="1"/>
      <c r="R89" s="5">
        <f t="shared" si="37"/>
        <v>4.276893411262403E-3</v>
      </c>
      <c r="S89" s="1"/>
      <c r="T89" s="1">
        <f>SUM(OSRRefT22_9x_0)</f>
        <v>2100</v>
      </c>
      <c r="U89" s="1"/>
      <c r="V89" s="5">
        <f t="shared" si="38"/>
        <v>5.843335175375183E-3</v>
      </c>
      <c r="W89" s="1"/>
      <c r="X89" s="1">
        <f t="shared" si="39"/>
        <v>-1400</v>
      </c>
      <c r="Y89" s="1"/>
      <c r="Z89" s="5">
        <f t="shared" si="40"/>
        <v>-0.66666666666666663</v>
      </c>
    </row>
    <row r="90" spans="1:26" s="24" customFormat="1" hidden="1" outlineLevel="2" x14ac:dyDescent="0.25">
      <c r="A90" s="25"/>
      <c r="B90" s="11" t="str">
        <f>CONCATENATE("          ", "6408", " - ", "INVENTORY ADJUSTMENT")</f>
        <v xml:space="preserve">          6408 - INVENTORY ADJUSTMENT</v>
      </c>
      <c r="C90" s="11"/>
      <c r="D90" s="6">
        <v>100</v>
      </c>
      <c r="E90" s="2"/>
      <c r="F90" s="7">
        <f t="shared" si="33"/>
        <v>5.3324488578161177E-3</v>
      </c>
      <c r="G90" s="2"/>
      <c r="H90" s="6">
        <v>300</v>
      </c>
      <c r="I90" s="2"/>
      <c r="J90" s="7">
        <f t="shared" si="34"/>
        <v>3.9988973706983197E-3</v>
      </c>
      <c r="K90" s="2"/>
      <c r="L90" s="6">
        <f t="shared" si="35"/>
        <v>-200</v>
      </c>
      <c r="M90" s="2"/>
      <c r="N90" s="7">
        <f t="shared" si="36"/>
        <v>-0.66666666666666663</v>
      </c>
      <c r="O90" s="11"/>
      <c r="P90" s="6">
        <v>700</v>
      </c>
      <c r="Q90" s="2"/>
      <c r="R90" s="7">
        <f t="shared" si="37"/>
        <v>4.276893411262403E-3</v>
      </c>
      <c r="S90" s="2"/>
      <c r="T90" s="6">
        <v>2100</v>
      </c>
      <c r="U90" s="2"/>
      <c r="V90" s="7">
        <f t="shared" si="38"/>
        <v>5.843335175375183E-3</v>
      </c>
      <c r="W90" s="2"/>
      <c r="X90" s="6">
        <f t="shared" si="39"/>
        <v>-1400</v>
      </c>
      <c r="Y90" s="2"/>
      <c r="Z90" s="7">
        <f t="shared" si="40"/>
        <v>-0.66666666666666663</v>
      </c>
    </row>
    <row r="91" spans="1:26" s="26" customFormat="1" outlineLevel="1" collapsed="1" x14ac:dyDescent="0.25">
      <c r="A91" s="27"/>
      <c r="B91" s="13" t="str">
        <f>CONCATENATE("     ","Professional Services                             ")</f>
        <v xml:space="preserve">     Professional Services                             </v>
      </c>
      <c r="C91" s="13"/>
      <c r="D91" s="1">
        <f>SUM(OSRRefD22_10x_0)</f>
        <v>0</v>
      </c>
      <c r="E91" s="1"/>
      <c r="F91" s="5">
        <f t="shared" si="33"/>
        <v>0</v>
      </c>
      <c r="G91" s="1"/>
      <c r="H91" s="1">
        <f>SUM(OSRRefH22_10x_0)</f>
        <v>0</v>
      </c>
      <c r="I91" s="1"/>
      <c r="J91" s="5">
        <f t="shared" si="34"/>
        <v>0</v>
      </c>
      <c r="K91" s="1"/>
      <c r="L91" s="1">
        <f t="shared" si="35"/>
        <v>0</v>
      </c>
      <c r="M91" s="1"/>
      <c r="N91" s="5">
        <f t="shared" si="36"/>
        <v>0</v>
      </c>
      <c r="O91" s="13"/>
      <c r="P91" s="1">
        <f>SUM(OSRRefP22_10x_0)</f>
        <v>0</v>
      </c>
      <c r="Q91" s="1"/>
      <c r="R91" s="5">
        <f t="shared" si="37"/>
        <v>0</v>
      </c>
      <c r="S91" s="1"/>
      <c r="T91" s="1">
        <f>SUM(OSRRefT22_10x_0)</f>
        <v>750</v>
      </c>
      <c r="U91" s="1"/>
      <c r="V91" s="5">
        <f t="shared" si="38"/>
        <v>2.0869054197768513E-3</v>
      </c>
      <c r="W91" s="1"/>
      <c r="X91" s="1">
        <f t="shared" si="39"/>
        <v>-750</v>
      </c>
      <c r="Y91" s="1"/>
      <c r="Z91" s="5">
        <f t="shared" si="40"/>
        <v>-1</v>
      </c>
    </row>
    <row r="92" spans="1:26" s="24" customFormat="1" hidden="1" outlineLevel="2" x14ac:dyDescent="0.25">
      <c r="A92" s="25"/>
      <c r="B92" s="11" t="str">
        <f>CONCATENATE("          ", "6336", " - ", "PROFESSIONAL SERVICES")</f>
        <v xml:space="preserve">          6336 - PROFESSIONAL SERVICES</v>
      </c>
      <c r="C92" s="11"/>
      <c r="D92" s="6"/>
      <c r="E92" s="2"/>
      <c r="F92" s="7">
        <f t="shared" si="33"/>
        <v>0</v>
      </c>
      <c r="G92" s="2"/>
      <c r="H92" s="6"/>
      <c r="I92" s="2"/>
      <c r="J92" s="7">
        <f t="shared" si="34"/>
        <v>0</v>
      </c>
      <c r="K92" s="2"/>
      <c r="L92" s="6">
        <f t="shared" si="35"/>
        <v>0</v>
      </c>
      <c r="M92" s="2"/>
      <c r="N92" s="7">
        <f t="shared" si="36"/>
        <v>0</v>
      </c>
      <c r="O92" s="11"/>
      <c r="P92" s="6"/>
      <c r="Q92" s="2"/>
      <c r="R92" s="7">
        <f t="shared" si="37"/>
        <v>0</v>
      </c>
      <c r="S92" s="2"/>
      <c r="T92" s="6">
        <v>750</v>
      </c>
      <c r="U92" s="2"/>
      <c r="V92" s="7">
        <f t="shared" si="38"/>
        <v>2.0869054197768513E-3</v>
      </c>
      <c r="W92" s="2"/>
      <c r="X92" s="6">
        <f t="shared" si="39"/>
        <v>-750</v>
      </c>
      <c r="Y92" s="2"/>
      <c r="Z92" s="7">
        <f t="shared" si="40"/>
        <v>-1</v>
      </c>
    </row>
    <row r="93" spans="1:26" s="26" customFormat="1" outlineLevel="1" collapsed="1" x14ac:dyDescent="0.25">
      <c r="A93" s="27"/>
      <c r="B93" s="13" t="str">
        <f>CONCATENATE("     ","Rent                                              ")</f>
        <v xml:space="preserve">     Rent                                              </v>
      </c>
      <c r="C93" s="13"/>
      <c r="D93" s="1">
        <f>SUM(OSRRefD22_11x_0)</f>
        <v>6900</v>
      </c>
      <c r="E93" s="1"/>
      <c r="F93" s="5">
        <f t="shared" si="33"/>
        <v>0.36793897118931213</v>
      </c>
      <c r="G93" s="1"/>
      <c r="H93" s="1">
        <f>SUM(OSRRefH22_11x_0)</f>
        <v>6900</v>
      </c>
      <c r="I93" s="1"/>
      <c r="J93" s="5">
        <f t="shared" si="34"/>
        <v>9.1974639526061358E-2</v>
      </c>
      <c r="K93" s="1"/>
      <c r="L93" s="1">
        <f t="shared" si="35"/>
        <v>0</v>
      </c>
      <c r="M93" s="1"/>
      <c r="N93" s="5">
        <f t="shared" si="36"/>
        <v>0</v>
      </c>
      <c r="O93" s="13"/>
      <c r="P93" s="1">
        <f>SUM(OSRRefP22_11x_0)</f>
        <v>48300</v>
      </c>
      <c r="Q93" s="1"/>
      <c r="R93" s="5">
        <f t="shared" si="37"/>
        <v>0.29510564537710576</v>
      </c>
      <c r="S93" s="1"/>
      <c r="T93" s="1">
        <f>SUM(OSRRefT22_11x_0)</f>
        <v>48300</v>
      </c>
      <c r="U93" s="1"/>
      <c r="V93" s="5">
        <f t="shared" si="38"/>
        <v>0.13439670903362921</v>
      </c>
      <c r="W93" s="1"/>
      <c r="X93" s="1">
        <f t="shared" si="39"/>
        <v>0</v>
      </c>
      <c r="Y93" s="1"/>
      <c r="Z93" s="5">
        <f t="shared" si="40"/>
        <v>0</v>
      </c>
    </row>
    <row r="94" spans="1:26" s="24" customFormat="1" hidden="1" outlineLevel="2" x14ac:dyDescent="0.25">
      <c r="A94" s="25"/>
      <c r="B94" s="11" t="str">
        <f>CONCATENATE("          ", "6273", " - ", "RENT")</f>
        <v xml:space="preserve">          6273 - RENT</v>
      </c>
      <c r="C94" s="11"/>
      <c r="D94" s="6">
        <v>6900</v>
      </c>
      <c r="E94" s="2"/>
      <c r="F94" s="7">
        <f t="shared" si="33"/>
        <v>0.36793897118931213</v>
      </c>
      <c r="G94" s="2"/>
      <c r="H94" s="6">
        <v>6900</v>
      </c>
      <c r="I94" s="2"/>
      <c r="J94" s="7">
        <f t="shared" si="34"/>
        <v>9.1974639526061358E-2</v>
      </c>
      <c r="K94" s="2"/>
      <c r="L94" s="6">
        <f t="shared" si="35"/>
        <v>0</v>
      </c>
      <c r="M94" s="2"/>
      <c r="N94" s="7">
        <f t="shared" si="36"/>
        <v>0</v>
      </c>
      <c r="O94" s="11"/>
      <c r="P94" s="6">
        <v>48300</v>
      </c>
      <c r="Q94" s="2"/>
      <c r="R94" s="7">
        <f t="shared" si="37"/>
        <v>0.29510564537710576</v>
      </c>
      <c r="S94" s="2"/>
      <c r="T94" s="6">
        <v>48300</v>
      </c>
      <c r="U94" s="2"/>
      <c r="V94" s="7">
        <f t="shared" si="38"/>
        <v>0.13439670903362921</v>
      </c>
      <c r="W94" s="2"/>
      <c r="X94" s="6">
        <f t="shared" si="39"/>
        <v>0</v>
      </c>
      <c r="Y94" s="2"/>
      <c r="Z94" s="7">
        <f t="shared" si="40"/>
        <v>0</v>
      </c>
    </row>
    <row r="95" spans="1:26" s="26" customFormat="1" outlineLevel="1" collapsed="1" x14ac:dyDescent="0.25">
      <c r="A95" s="27"/>
      <c r="B95" s="13" t="str">
        <f>CONCATENATE("     ","Repair and Maintenance                            ")</f>
        <v xml:space="preserve">     Repair and Maintenance                            </v>
      </c>
      <c r="C95" s="13"/>
      <c r="D95" s="1">
        <f>SUM(OSRRefD22_12x_0)</f>
        <v>0</v>
      </c>
      <c r="E95" s="1"/>
      <c r="F95" s="5">
        <f t="shared" si="33"/>
        <v>0</v>
      </c>
      <c r="G95" s="1"/>
      <c r="H95" s="1">
        <f>SUM(OSRRefH22_12x_0)</f>
        <v>0</v>
      </c>
      <c r="I95" s="1"/>
      <c r="J95" s="5">
        <f t="shared" si="34"/>
        <v>0</v>
      </c>
      <c r="K95" s="1"/>
      <c r="L95" s="1">
        <f t="shared" si="35"/>
        <v>0</v>
      </c>
      <c r="M95" s="1"/>
      <c r="N95" s="5">
        <f t="shared" si="36"/>
        <v>0</v>
      </c>
      <c r="O95" s="13"/>
      <c r="P95" s="1">
        <f>SUM(OSRRefP22_12x_0)</f>
        <v>96.44</v>
      </c>
      <c r="Q95" s="1"/>
      <c r="R95" s="5">
        <f t="shared" si="37"/>
        <v>5.8923371511735161E-4</v>
      </c>
      <c r="S95" s="1"/>
      <c r="T95" s="1">
        <f>SUM(OSRRefT22_12x_0)</f>
        <v>275.75</v>
      </c>
      <c r="U95" s="1"/>
      <c r="V95" s="5">
        <f t="shared" si="38"/>
        <v>7.6728555933795555E-4</v>
      </c>
      <c r="W95" s="1"/>
      <c r="X95" s="1">
        <f t="shared" si="39"/>
        <v>-179.31</v>
      </c>
      <c r="Y95" s="1"/>
      <c r="Z95" s="5">
        <f t="shared" si="40"/>
        <v>-0.65026291931097013</v>
      </c>
    </row>
    <row r="96" spans="1:26" s="24" customFormat="1" hidden="1" outlineLevel="2" x14ac:dyDescent="0.25">
      <c r="A96" s="25"/>
      <c r="B96" s="11" t="str">
        <f>CONCATENATE("          ", "6373", " - ", "MAINTENANCE CONTRACTS")</f>
        <v xml:space="preserve">          6373 - MAINTENANCE CONTRACTS</v>
      </c>
      <c r="C96" s="11"/>
      <c r="D96" s="6"/>
      <c r="E96" s="2"/>
      <c r="F96" s="7">
        <f t="shared" si="33"/>
        <v>0</v>
      </c>
      <c r="G96" s="2"/>
      <c r="H96" s="6"/>
      <c r="I96" s="2"/>
      <c r="J96" s="7">
        <f t="shared" si="34"/>
        <v>0</v>
      </c>
      <c r="K96" s="2"/>
      <c r="L96" s="6">
        <f t="shared" si="35"/>
        <v>0</v>
      </c>
      <c r="M96" s="2"/>
      <c r="N96" s="7">
        <f t="shared" si="36"/>
        <v>0</v>
      </c>
      <c r="O96" s="11"/>
      <c r="P96" s="6">
        <v>96.44</v>
      </c>
      <c r="Q96" s="2"/>
      <c r="R96" s="7">
        <f t="shared" si="37"/>
        <v>5.8923371511735161E-4</v>
      </c>
      <c r="S96" s="2"/>
      <c r="T96" s="6">
        <v>93.22</v>
      </c>
      <c r="U96" s="2"/>
      <c r="V96" s="7">
        <f t="shared" si="38"/>
        <v>2.5938843097546407E-4</v>
      </c>
      <c r="W96" s="2"/>
      <c r="X96" s="6">
        <f t="shared" si="39"/>
        <v>3.2199999999999989</v>
      </c>
      <c r="Y96" s="2"/>
      <c r="Z96" s="7">
        <f t="shared" si="40"/>
        <v>3.4541943788886496E-2</v>
      </c>
    </row>
    <row r="97" spans="1:26" s="24" customFormat="1" hidden="1" outlineLevel="2" x14ac:dyDescent="0.25">
      <c r="A97" s="25"/>
      <c r="B97" s="11" t="str">
        <f>CONCATENATE("          ", "6375", " - ", "OUTSIDE REPAIRS &amp; MAINTENANCE")</f>
        <v xml:space="preserve">          6375 - OUTSIDE REPAIRS &amp; MAINTENANCE</v>
      </c>
      <c r="C97" s="11"/>
      <c r="D97" s="6"/>
      <c r="E97" s="2"/>
      <c r="F97" s="7">
        <f t="shared" si="33"/>
        <v>0</v>
      </c>
      <c r="G97" s="2"/>
      <c r="H97" s="6"/>
      <c r="I97" s="2"/>
      <c r="J97" s="7">
        <f t="shared" si="34"/>
        <v>0</v>
      </c>
      <c r="K97" s="2"/>
      <c r="L97" s="6">
        <f t="shared" si="35"/>
        <v>0</v>
      </c>
      <c r="M97" s="2"/>
      <c r="N97" s="7">
        <f t="shared" si="36"/>
        <v>0</v>
      </c>
      <c r="O97" s="11"/>
      <c r="P97" s="6"/>
      <c r="Q97" s="2"/>
      <c r="R97" s="7">
        <f t="shared" si="37"/>
        <v>0</v>
      </c>
      <c r="S97" s="2"/>
      <c r="T97" s="6">
        <v>182.53</v>
      </c>
      <c r="U97" s="2"/>
      <c r="V97" s="7">
        <f t="shared" si="38"/>
        <v>5.0789712836249153E-4</v>
      </c>
      <c r="W97" s="2"/>
      <c r="X97" s="6">
        <f t="shared" si="39"/>
        <v>-182.53</v>
      </c>
      <c r="Y97" s="2"/>
      <c r="Z97" s="7">
        <f t="shared" si="40"/>
        <v>-1</v>
      </c>
    </row>
    <row r="98" spans="1:26" s="26" customFormat="1" outlineLevel="1" collapsed="1" x14ac:dyDescent="0.25">
      <c r="A98" s="27"/>
      <c r="B98" s="13" t="str">
        <f>CONCATENATE("     ","Services                                          ")</f>
        <v xml:space="preserve">     Services                                          </v>
      </c>
      <c r="C98" s="13"/>
      <c r="D98" s="1">
        <f>SUM(OSRRefD22_13x_0)</f>
        <v>81.84</v>
      </c>
      <c r="E98" s="1"/>
      <c r="F98" s="5">
        <f t="shared" ref="F98:F101" si="41">IF(D$12=0,0,D98/D$12)</f>
        <v>4.3640761452367113E-3</v>
      </c>
      <c r="G98" s="1"/>
      <c r="H98" s="1">
        <f>SUM(OSRRefH22_13x_0)</f>
        <v>189.45</v>
      </c>
      <c r="I98" s="1"/>
      <c r="J98" s="5">
        <f t="shared" ref="J98:J101" si="42">IF(H$12=0,0,H98/H$12)</f>
        <v>2.5253036895959888E-3</v>
      </c>
      <c r="K98" s="1"/>
      <c r="L98" s="1">
        <f t="shared" ref="L98:L101" si="43">+D98-H98</f>
        <v>-107.60999999999999</v>
      </c>
      <c r="M98" s="1"/>
      <c r="N98" s="5">
        <f t="shared" ref="N98:N101" si="44">IF(H98=0,0,L98/H98)</f>
        <v>-0.56801266825019792</v>
      </c>
      <c r="O98" s="13"/>
      <c r="P98" s="1">
        <f>SUM(OSRRefP22_13x_0)</f>
        <v>274.65999999999997</v>
      </c>
      <c r="Q98" s="1"/>
      <c r="R98" s="5">
        <f t="shared" ref="R98:R101" si="45">IF(P$12=0,0,P98/P$12)</f>
        <v>1.6781307776247592E-3</v>
      </c>
      <c r="S98" s="1"/>
      <c r="T98" s="1">
        <f>SUM(OSRRefT22_13x_0)</f>
        <v>2191.73</v>
      </c>
      <c r="U98" s="1"/>
      <c r="V98" s="5">
        <f t="shared" ref="V98:V101" si="46">IF(T$12=0,0,T98/T$12)</f>
        <v>6.0985776209166905E-3</v>
      </c>
      <c r="W98" s="1"/>
      <c r="X98" s="1">
        <f t="shared" ref="X98:X101" si="47">+P98-T98</f>
        <v>-1917.0700000000002</v>
      </c>
      <c r="Y98" s="1"/>
      <c r="Z98" s="5">
        <f t="shared" ref="Z98:Z101" si="48">IF(T98=0,0,X98/T98)</f>
        <v>-0.87468346922294271</v>
      </c>
    </row>
    <row r="99" spans="1:26" s="24" customFormat="1" hidden="1" outlineLevel="2" x14ac:dyDescent="0.25">
      <c r="A99" s="25"/>
      <c r="B99" s="11" t="str">
        <f>CONCATENATE("          ", "6283", " - ", "PLANT SERVICE")</f>
        <v xml:space="preserve">          6283 - PLANT SERVICE</v>
      </c>
      <c r="C99" s="11"/>
      <c r="D99" s="6"/>
      <c r="E99" s="2"/>
      <c r="F99" s="7">
        <f t="shared" si="41"/>
        <v>0</v>
      </c>
      <c r="G99" s="2"/>
      <c r="H99" s="6"/>
      <c r="I99" s="2"/>
      <c r="J99" s="7">
        <f t="shared" si="42"/>
        <v>0</v>
      </c>
      <c r="K99" s="2"/>
      <c r="L99" s="6">
        <f t="shared" si="43"/>
        <v>0</v>
      </c>
      <c r="M99" s="2"/>
      <c r="N99" s="7">
        <f t="shared" si="44"/>
        <v>0</v>
      </c>
      <c r="O99" s="11"/>
      <c r="P99" s="6">
        <v>41.31</v>
      </c>
      <c r="Q99" s="2"/>
      <c r="R99" s="7">
        <f t="shared" si="45"/>
        <v>2.5239780974178552E-4</v>
      </c>
      <c r="S99" s="2"/>
      <c r="T99" s="6">
        <v>178.65</v>
      </c>
      <c r="U99" s="2"/>
      <c r="V99" s="7">
        <f t="shared" si="46"/>
        <v>4.9710087099084596E-4</v>
      </c>
      <c r="W99" s="2"/>
      <c r="X99" s="6">
        <f t="shared" si="47"/>
        <v>-137.34</v>
      </c>
      <c r="Y99" s="2"/>
      <c r="Z99" s="7">
        <f t="shared" si="48"/>
        <v>-0.7687657430730479</v>
      </c>
    </row>
    <row r="100" spans="1:26" s="24" customFormat="1" hidden="1" outlineLevel="2" x14ac:dyDescent="0.25">
      <c r="A100" s="25"/>
      <c r="B100" s="11" t="str">
        <f>CONCATENATE("          ", "6284", " - ", "TRASH REMOVAL EXPENSE")</f>
        <v xml:space="preserve">          6284 - TRASH REMOVAL EXPENSE</v>
      </c>
      <c r="C100" s="11"/>
      <c r="D100" s="6">
        <v>142.57</v>
      </c>
      <c r="E100" s="2"/>
      <c r="F100" s="7">
        <f t="shared" si="41"/>
        <v>7.6024723365884384E-3</v>
      </c>
      <c r="G100" s="2"/>
      <c r="H100" s="6">
        <v>134.82</v>
      </c>
      <c r="I100" s="2"/>
      <c r="J100" s="7">
        <f t="shared" si="42"/>
        <v>1.7971044783918247E-3</v>
      </c>
      <c r="K100" s="2"/>
      <c r="L100" s="6">
        <f t="shared" si="43"/>
        <v>7.75</v>
      </c>
      <c r="M100" s="2"/>
      <c r="N100" s="7">
        <f t="shared" si="44"/>
        <v>5.7484052811155616E-2</v>
      </c>
      <c r="O100" s="11"/>
      <c r="P100" s="6">
        <v>1013.01</v>
      </c>
      <c r="Q100" s="2"/>
      <c r="R100" s="7">
        <f t="shared" si="45"/>
        <v>6.1893368493470382E-3</v>
      </c>
      <c r="S100" s="2"/>
      <c r="T100" s="6">
        <v>943.74</v>
      </c>
      <c r="U100" s="2"/>
      <c r="V100" s="7">
        <f t="shared" si="46"/>
        <v>2.6259948278136071E-3</v>
      </c>
      <c r="W100" s="2"/>
      <c r="X100" s="6">
        <f t="shared" si="47"/>
        <v>69.269999999999982</v>
      </c>
      <c r="Y100" s="2"/>
      <c r="Z100" s="7">
        <f t="shared" si="48"/>
        <v>7.3399453239239604E-2</v>
      </c>
    </row>
    <row r="101" spans="1:26" s="24" customFormat="1" hidden="1" outlineLevel="2" x14ac:dyDescent="0.25">
      <c r="A101" s="25"/>
      <c r="B101" s="11" t="str">
        <f>CONCATENATE("          ", "6285", " - ", "JANITORIAL SERVICES")</f>
        <v xml:space="preserve">          6285 - JANITORIAL SERVICES</v>
      </c>
      <c r="C101" s="11"/>
      <c r="D101" s="6">
        <v>-60.73</v>
      </c>
      <c r="E101" s="2"/>
      <c r="F101" s="7">
        <f t="shared" si="41"/>
        <v>-3.238396191351728E-3</v>
      </c>
      <c r="G101" s="2"/>
      <c r="H101" s="6">
        <v>54.63</v>
      </c>
      <c r="I101" s="2"/>
      <c r="J101" s="7">
        <f t="shared" si="42"/>
        <v>7.2819921120416409E-4</v>
      </c>
      <c r="K101" s="2"/>
      <c r="L101" s="6">
        <f t="shared" si="43"/>
        <v>-115.36</v>
      </c>
      <c r="M101" s="2"/>
      <c r="N101" s="7">
        <f t="shared" si="44"/>
        <v>-2.1116602599304408</v>
      </c>
      <c r="O101" s="11"/>
      <c r="P101" s="6">
        <v>-779.66</v>
      </c>
      <c r="Q101" s="2"/>
      <c r="R101" s="7">
        <f t="shared" si="45"/>
        <v>-4.763603881464064E-3</v>
      </c>
      <c r="S101" s="2"/>
      <c r="T101" s="6">
        <v>1069.3399999999999</v>
      </c>
      <c r="U101" s="2"/>
      <c r="V101" s="7">
        <f t="shared" si="46"/>
        <v>2.9754819221122371E-3</v>
      </c>
      <c r="W101" s="2"/>
      <c r="X101" s="6">
        <f t="shared" si="47"/>
        <v>-1849</v>
      </c>
      <c r="Y101" s="2"/>
      <c r="Z101" s="7">
        <f t="shared" si="48"/>
        <v>-1.7291039332672491</v>
      </c>
    </row>
    <row r="102" spans="1:26" s="26" customFormat="1" outlineLevel="1" collapsed="1" x14ac:dyDescent="0.25">
      <c r="A102" s="27"/>
      <c r="B102" s="13" t="str">
        <f>CONCATENATE("     ","Subscriptions &amp; Dues                              ")</f>
        <v xml:space="preserve">     Subscriptions &amp; Dues                              </v>
      </c>
      <c r="C102" s="13"/>
      <c r="D102" s="1">
        <f>SUM(OSRRefD22_14x_0)</f>
        <v>75</v>
      </c>
      <c r="E102" s="1"/>
      <c r="F102" s="5">
        <f t="shared" ref="F102:F104" si="49">IF(D$12=0,0,D102/D$12)</f>
        <v>3.9993366433620885E-3</v>
      </c>
      <c r="G102" s="1"/>
      <c r="H102" s="1">
        <f>SUM(OSRRefH22_14x_0)</f>
        <v>75</v>
      </c>
      <c r="I102" s="1"/>
      <c r="J102" s="5">
        <f t="shared" ref="J102:J104" si="50">IF(H$12=0,0,H102/H$12)</f>
        <v>9.9972434267457991E-4</v>
      </c>
      <c r="K102" s="1"/>
      <c r="L102" s="1">
        <f t="shared" ref="L102:L104" si="51">+D102-H102</f>
        <v>0</v>
      </c>
      <c r="M102" s="1"/>
      <c r="N102" s="5">
        <f t="shared" ref="N102:N104" si="52">IF(H102=0,0,L102/H102)</f>
        <v>0</v>
      </c>
      <c r="O102" s="13"/>
      <c r="P102" s="1">
        <f>SUM(OSRRefP22_14x_0)</f>
        <v>164.27</v>
      </c>
      <c r="Q102" s="1"/>
      <c r="R102" s="5">
        <f t="shared" ref="R102:R104" si="53">IF(P$12=0,0,P102/P$12)</f>
        <v>1.0036646866686785E-3</v>
      </c>
      <c r="S102" s="1"/>
      <c r="T102" s="1">
        <f>SUM(OSRRefT22_14x_0)</f>
        <v>163.41999999999999</v>
      </c>
      <c r="U102" s="1"/>
      <c r="V102" s="5">
        <f t="shared" ref="V102:V104" si="54">IF(T$12=0,0,T102/T$12)</f>
        <v>4.5472277826657728E-4</v>
      </c>
      <c r="W102" s="1"/>
      <c r="X102" s="1">
        <f t="shared" ref="X102:X104" si="55">+P102-T102</f>
        <v>0.85000000000002274</v>
      </c>
      <c r="Y102" s="1"/>
      <c r="Z102" s="5">
        <f t="shared" ref="Z102:Z104" si="56">IF(T102=0,0,X102/T102)</f>
        <v>5.2013217476442469E-3</v>
      </c>
    </row>
    <row r="103" spans="1:26" s="24" customFormat="1" hidden="1" outlineLevel="2" x14ac:dyDescent="0.25">
      <c r="A103" s="25"/>
      <c r="B103" s="11" t="str">
        <f>CONCATENATE("          ", "6258", " - ", "MEMBERSHIP DUES")</f>
        <v xml:space="preserve">          6258 - MEMBERSHIP DUES</v>
      </c>
      <c r="C103" s="11"/>
      <c r="D103" s="6"/>
      <c r="E103" s="2"/>
      <c r="F103" s="7">
        <f t="shared" si="49"/>
        <v>0</v>
      </c>
      <c r="G103" s="2"/>
      <c r="H103" s="6"/>
      <c r="I103" s="2"/>
      <c r="J103" s="7">
        <f t="shared" si="50"/>
        <v>0</v>
      </c>
      <c r="K103" s="2"/>
      <c r="L103" s="6">
        <f t="shared" si="51"/>
        <v>0</v>
      </c>
      <c r="M103" s="2"/>
      <c r="N103" s="7">
        <f t="shared" si="52"/>
        <v>0</v>
      </c>
      <c r="O103" s="11"/>
      <c r="P103" s="6">
        <v>-60.73</v>
      </c>
      <c r="Q103" s="2"/>
      <c r="R103" s="7">
        <f t="shared" si="53"/>
        <v>-3.7105105266566529E-4</v>
      </c>
      <c r="S103" s="2"/>
      <c r="T103" s="6"/>
      <c r="U103" s="2"/>
      <c r="V103" s="7">
        <f t="shared" si="54"/>
        <v>0</v>
      </c>
      <c r="W103" s="2"/>
      <c r="X103" s="6">
        <f t="shared" si="55"/>
        <v>-60.73</v>
      </c>
      <c r="Y103" s="2"/>
      <c r="Z103" s="7">
        <f t="shared" si="56"/>
        <v>0</v>
      </c>
    </row>
    <row r="104" spans="1:26" s="24" customFormat="1" hidden="1" outlineLevel="2" x14ac:dyDescent="0.25">
      <c r="A104" s="25"/>
      <c r="B104" s="11" t="str">
        <f>CONCATENATE("          ", "6275", " - ", "SUBSCRIPTIONS")</f>
        <v xml:space="preserve">          6275 - SUBSCRIPTIONS</v>
      </c>
      <c r="C104" s="11"/>
      <c r="D104" s="6">
        <v>75</v>
      </c>
      <c r="E104" s="2"/>
      <c r="F104" s="7">
        <f t="shared" si="49"/>
        <v>3.9993366433620885E-3</v>
      </c>
      <c r="G104" s="2"/>
      <c r="H104" s="6">
        <v>75</v>
      </c>
      <c r="I104" s="2"/>
      <c r="J104" s="7">
        <f t="shared" si="50"/>
        <v>9.9972434267457991E-4</v>
      </c>
      <c r="K104" s="2"/>
      <c r="L104" s="6">
        <f t="shared" si="51"/>
        <v>0</v>
      </c>
      <c r="M104" s="2"/>
      <c r="N104" s="7">
        <f t="shared" si="52"/>
        <v>0</v>
      </c>
      <c r="O104" s="11"/>
      <c r="P104" s="6">
        <v>225</v>
      </c>
      <c r="Q104" s="2"/>
      <c r="R104" s="7">
        <f t="shared" si="53"/>
        <v>1.3747157393343436E-3</v>
      </c>
      <c r="S104" s="2"/>
      <c r="T104" s="6">
        <v>163.41999999999999</v>
      </c>
      <c r="U104" s="2"/>
      <c r="V104" s="7">
        <f t="shared" si="54"/>
        <v>4.5472277826657728E-4</v>
      </c>
      <c r="W104" s="2"/>
      <c r="X104" s="6">
        <f t="shared" si="55"/>
        <v>61.580000000000013</v>
      </c>
      <c r="Y104" s="2"/>
      <c r="Z104" s="7">
        <f t="shared" si="56"/>
        <v>0.37682046261167557</v>
      </c>
    </row>
    <row r="105" spans="1:26" s="26" customFormat="1" outlineLevel="1" collapsed="1" x14ac:dyDescent="0.25">
      <c r="A105" s="27"/>
      <c r="B105" s="13" t="str">
        <f>CONCATENATE("     ","Supplies                                          ")</f>
        <v xml:space="preserve">     Supplies                                          </v>
      </c>
      <c r="C105" s="13"/>
      <c r="D105" s="1">
        <f>SUM(OSRRefD22_15x_0)</f>
        <v>0</v>
      </c>
      <c r="E105" s="1"/>
      <c r="F105" s="5">
        <f t="shared" ref="F105:F111" si="57">IF(D$12=0,0,D105/D$12)</f>
        <v>0</v>
      </c>
      <c r="G105" s="1"/>
      <c r="H105" s="1">
        <f>SUM(OSRRefH22_15x_0)</f>
        <v>552.6099999999999</v>
      </c>
      <c r="I105" s="1"/>
      <c r="J105" s="5">
        <f t="shared" ref="J105:J111" si="58">IF(H$12=0,0,H105/H$12)</f>
        <v>7.3661022534053273E-3</v>
      </c>
      <c r="K105" s="1"/>
      <c r="L105" s="1">
        <f t="shared" ref="L105:L111" si="59">+D105-H105</f>
        <v>-552.6099999999999</v>
      </c>
      <c r="M105" s="1"/>
      <c r="N105" s="5">
        <f t="shared" ref="N105:N111" si="60">IF(H105=0,0,L105/H105)</f>
        <v>-1</v>
      </c>
      <c r="O105" s="13"/>
      <c r="P105" s="1">
        <f>SUM(OSRRefP22_15x_0)</f>
        <v>553.20000000000005</v>
      </c>
      <c r="Q105" s="1"/>
      <c r="R105" s="5">
        <f t="shared" ref="R105:R111" si="61">IF(P$12=0,0,P105/P$12)</f>
        <v>3.3799677644433734E-3</v>
      </c>
      <c r="S105" s="1"/>
      <c r="T105" s="1">
        <f>SUM(OSRRefT22_15x_0)</f>
        <v>2656.2000000000003</v>
      </c>
      <c r="U105" s="1"/>
      <c r="V105" s="5">
        <f t="shared" ref="V105:V111" si="62">IF(T$12=0,0,T105/T$12)</f>
        <v>7.3909842346816966E-3</v>
      </c>
      <c r="W105" s="1"/>
      <c r="X105" s="1">
        <f t="shared" ref="X105:X111" si="63">+P105-T105</f>
        <v>-2103</v>
      </c>
      <c r="Y105" s="1"/>
      <c r="Z105" s="5">
        <f t="shared" ref="Z105:Z111" si="64">IF(T105=0,0,X105/T105)</f>
        <v>-0.79173255025976952</v>
      </c>
    </row>
    <row r="106" spans="1:26" s="24" customFormat="1" hidden="1" outlineLevel="2" x14ac:dyDescent="0.25">
      <c r="A106" s="25"/>
      <c r="B106" s="11" t="str">
        <f>CONCATENATE("          ", "6234", " - ", "EXPENDABLE SUPPLIES &amp; EQUIPMEN")</f>
        <v xml:space="preserve">          6234 - EXPENDABLE SUPPLIES &amp; EQUIPMEN</v>
      </c>
      <c r="C106" s="11"/>
      <c r="D106" s="6"/>
      <c r="E106" s="2"/>
      <c r="F106" s="7">
        <f t="shared" si="57"/>
        <v>0</v>
      </c>
      <c r="G106" s="2"/>
      <c r="H106" s="6">
        <v>303.86</v>
      </c>
      <c r="I106" s="2"/>
      <c r="J106" s="7">
        <f t="shared" si="58"/>
        <v>4.0503498502013052E-3</v>
      </c>
      <c r="K106" s="2"/>
      <c r="L106" s="6">
        <f t="shared" si="59"/>
        <v>-303.86</v>
      </c>
      <c r="M106" s="2"/>
      <c r="N106" s="7">
        <f t="shared" si="60"/>
        <v>-1</v>
      </c>
      <c r="O106" s="11"/>
      <c r="P106" s="6"/>
      <c r="Q106" s="2"/>
      <c r="R106" s="7">
        <f t="shared" si="61"/>
        <v>0</v>
      </c>
      <c r="S106" s="2"/>
      <c r="T106" s="6">
        <v>303.86</v>
      </c>
      <c r="U106" s="2"/>
      <c r="V106" s="7">
        <f t="shared" si="62"/>
        <v>8.4550277447119197E-4</v>
      </c>
      <c r="W106" s="2"/>
      <c r="X106" s="6">
        <f t="shared" si="63"/>
        <v>-303.86</v>
      </c>
      <c r="Y106" s="2"/>
      <c r="Z106" s="7">
        <f t="shared" si="64"/>
        <v>-1</v>
      </c>
    </row>
    <row r="107" spans="1:26" s="24" customFormat="1" hidden="1" outlineLevel="2" x14ac:dyDescent="0.25">
      <c r="A107" s="25"/>
      <c r="B107" s="11" t="str">
        <f>CONCATENATE("          ", "6235", " - ", "COVID-19 EXPENSES")</f>
        <v xml:space="preserve">          6235 - COVID-19 EXPENSES</v>
      </c>
      <c r="C107" s="11"/>
      <c r="D107" s="6"/>
      <c r="E107" s="2"/>
      <c r="F107" s="7">
        <f t="shared" si="57"/>
        <v>0</v>
      </c>
      <c r="G107" s="2"/>
      <c r="H107" s="6"/>
      <c r="I107" s="2"/>
      <c r="J107" s="7">
        <f t="shared" si="58"/>
        <v>0</v>
      </c>
      <c r="K107" s="2"/>
      <c r="L107" s="6">
        <f t="shared" si="59"/>
        <v>0</v>
      </c>
      <c r="M107" s="2"/>
      <c r="N107" s="7">
        <f t="shared" si="60"/>
        <v>0</v>
      </c>
      <c r="O107" s="11"/>
      <c r="P107" s="6">
        <v>265.7</v>
      </c>
      <c r="Q107" s="2"/>
      <c r="R107" s="7">
        <f t="shared" si="61"/>
        <v>1.6233865419606004E-3</v>
      </c>
      <c r="S107" s="2"/>
      <c r="T107" s="6"/>
      <c r="U107" s="2"/>
      <c r="V107" s="7">
        <f t="shared" si="62"/>
        <v>0</v>
      </c>
      <c r="W107" s="2"/>
      <c r="X107" s="6">
        <f t="shared" si="63"/>
        <v>265.7</v>
      </c>
      <c r="Y107" s="2"/>
      <c r="Z107" s="7">
        <f t="shared" si="64"/>
        <v>0</v>
      </c>
    </row>
    <row r="108" spans="1:26" s="24" customFormat="1" hidden="1" outlineLevel="2" x14ac:dyDescent="0.25">
      <c r="A108" s="25"/>
      <c r="B108" s="11" t="str">
        <f>CONCATENATE("          ", "6237", " - ", "JANITORIAL SUPPLIES")</f>
        <v xml:space="preserve">          6237 - JANITORIAL SUPPLIES</v>
      </c>
      <c r="C108" s="11"/>
      <c r="D108" s="6"/>
      <c r="E108" s="2"/>
      <c r="F108" s="7">
        <f t="shared" si="57"/>
        <v>0</v>
      </c>
      <c r="G108" s="2"/>
      <c r="H108" s="6"/>
      <c r="I108" s="2"/>
      <c r="J108" s="7">
        <f t="shared" si="58"/>
        <v>0</v>
      </c>
      <c r="K108" s="2"/>
      <c r="L108" s="6">
        <f t="shared" si="59"/>
        <v>0</v>
      </c>
      <c r="M108" s="2"/>
      <c r="N108" s="7">
        <f t="shared" si="60"/>
        <v>0</v>
      </c>
      <c r="O108" s="11"/>
      <c r="P108" s="6">
        <v>191.74</v>
      </c>
      <c r="Q108" s="2"/>
      <c r="R108" s="7">
        <f t="shared" si="61"/>
        <v>1.1715022038220758E-3</v>
      </c>
      <c r="S108" s="2"/>
      <c r="T108" s="6">
        <v>287.72000000000003</v>
      </c>
      <c r="U108" s="2"/>
      <c r="V108" s="7">
        <f t="shared" si="62"/>
        <v>8.0059256983759425E-4</v>
      </c>
      <c r="W108" s="2"/>
      <c r="X108" s="6">
        <f t="shared" si="63"/>
        <v>-95.980000000000018</v>
      </c>
      <c r="Y108" s="2"/>
      <c r="Z108" s="7">
        <f t="shared" si="64"/>
        <v>-0.33358821076046158</v>
      </c>
    </row>
    <row r="109" spans="1:26" s="24" customFormat="1" hidden="1" outlineLevel="2" x14ac:dyDescent="0.25">
      <c r="A109" s="25"/>
      <c r="B109" s="11" t="str">
        <f>CONCATENATE("          ", "6241", " - ", "OFFICE EXPENSE")</f>
        <v xml:space="preserve">          6241 - OFFICE EXPENSE</v>
      </c>
      <c r="C109" s="11"/>
      <c r="D109" s="6"/>
      <c r="E109" s="2"/>
      <c r="F109" s="7">
        <f t="shared" si="57"/>
        <v>0</v>
      </c>
      <c r="G109" s="2"/>
      <c r="H109" s="6">
        <v>226.7</v>
      </c>
      <c r="I109" s="2"/>
      <c r="J109" s="7">
        <f t="shared" si="58"/>
        <v>3.021833446457697E-3</v>
      </c>
      <c r="K109" s="2"/>
      <c r="L109" s="6">
        <f t="shared" si="59"/>
        <v>-226.7</v>
      </c>
      <c r="M109" s="2"/>
      <c r="N109" s="7">
        <f t="shared" si="60"/>
        <v>-1</v>
      </c>
      <c r="O109" s="11"/>
      <c r="P109" s="6">
        <v>95.76</v>
      </c>
      <c r="Q109" s="2"/>
      <c r="R109" s="7">
        <f t="shared" si="61"/>
        <v>5.8507901866069675E-4</v>
      </c>
      <c r="S109" s="2"/>
      <c r="T109" s="6">
        <v>2022.45</v>
      </c>
      <c r="U109" s="2"/>
      <c r="V109" s="7">
        <f t="shared" si="62"/>
        <v>5.627549154970257E-3</v>
      </c>
      <c r="W109" s="2"/>
      <c r="X109" s="6">
        <f t="shared" si="63"/>
        <v>-1926.69</v>
      </c>
      <c r="Y109" s="2"/>
      <c r="Z109" s="7">
        <f t="shared" si="64"/>
        <v>-0.95265148705777647</v>
      </c>
    </row>
    <row r="110" spans="1:26" s="24" customFormat="1" hidden="1" outlineLevel="2" x14ac:dyDescent="0.25">
      <c r="A110" s="25"/>
      <c r="B110" s="11" t="str">
        <f>CONCATENATE("          ", "6245", " - ", "PRINTING")</f>
        <v xml:space="preserve">          6245 - PRINTING</v>
      </c>
      <c r="C110" s="11"/>
      <c r="D110" s="6"/>
      <c r="E110" s="2"/>
      <c r="F110" s="7">
        <f t="shared" si="57"/>
        <v>0</v>
      </c>
      <c r="G110" s="2"/>
      <c r="H110" s="6">
        <v>22.05</v>
      </c>
      <c r="I110" s="2"/>
      <c r="J110" s="7">
        <f t="shared" si="58"/>
        <v>2.9391895674632653E-4</v>
      </c>
      <c r="K110" s="2"/>
      <c r="L110" s="6">
        <f t="shared" si="59"/>
        <v>-22.05</v>
      </c>
      <c r="M110" s="2"/>
      <c r="N110" s="7">
        <f t="shared" si="60"/>
        <v>-1</v>
      </c>
      <c r="O110" s="11"/>
      <c r="P110" s="6"/>
      <c r="Q110" s="2"/>
      <c r="R110" s="7">
        <f t="shared" si="61"/>
        <v>0</v>
      </c>
      <c r="S110" s="2"/>
      <c r="T110" s="6">
        <v>22.05</v>
      </c>
      <c r="U110" s="2"/>
      <c r="V110" s="7">
        <f t="shared" si="62"/>
        <v>6.1355019341439418E-5</v>
      </c>
      <c r="W110" s="2"/>
      <c r="X110" s="6">
        <f t="shared" si="63"/>
        <v>-22.05</v>
      </c>
      <c r="Y110" s="2"/>
      <c r="Z110" s="7">
        <f t="shared" si="64"/>
        <v>-1</v>
      </c>
    </row>
    <row r="111" spans="1:26" s="24" customFormat="1" hidden="1" outlineLevel="2" x14ac:dyDescent="0.25">
      <c r="A111" s="25"/>
      <c r="B111" s="11" t="str">
        <f>CONCATENATE("          ", "6247", " - ", "STORE SUPPLIES")</f>
        <v xml:space="preserve">          6247 - STORE SUPPLIES</v>
      </c>
      <c r="C111" s="11"/>
      <c r="D111" s="6"/>
      <c r="E111" s="2"/>
      <c r="F111" s="7">
        <f t="shared" si="57"/>
        <v>0</v>
      </c>
      <c r="G111" s="2"/>
      <c r="H111" s="6"/>
      <c r="I111" s="2"/>
      <c r="J111" s="7">
        <f t="shared" si="58"/>
        <v>0</v>
      </c>
      <c r="K111" s="2"/>
      <c r="L111" s="6">
        <f t="shared" si="59"/>
        <v>0</v>
      </c>
      <c r="M111" s="2"/>
      <c r="N111" s="7">
        <f t="shared" si="60"/>
        <v>0</v>
      </c>
      <c r="O111" s="11"/>
      <c r="P111" s="6"/>
      <c r="Q111" s="2"/>
      <c r="R111" s="7">
        <f t="shared" si="61"/>
        <v>0</v>
      </c>
      <c r="S111" s="2"/>
      <c r="T111" s="6">
        <v>20.12</v>
      </c>
      <c r="U111" s="2"/>
      <c r="V111" s="7">
        <f t="shared" si="62"/>
        <v>5.5984716061213665E-5</v>
      </c>
      <c r="W111" s="2"/>
      <c r="X111" s="6">
        <f t="shared" si="63"/>
        <v>-20.12</v>
      </c>
      <c r="Y111" s="2"/>
      <c r="Z111" s="7">
        <f t="shared" si="64"/>
        <v>-1</v>
      </c>
    </row>
    <row r="112" spans="1:26" s="26" customFormat="1" outlineLevel="1" collapsed="1" x14ac:dyDescent="0.25">
      <c r="A112" s="27"/>
      <c r="B112" s="13" t="str">
        <f>CONCATENATE("     ","Telephone/Data Lines                              ")</f>
        <v xml:space="preserve">     Telephone/Data Lines                              </v>
      </c>
      <c r="C112" s="13"/>
      <c r="D112" s="1">
        <f>SUM(OSRRefD22_16x_0)</f>
        <v>231.48</v>
      </c>
      <c r="E112" s="1"/>
      <c r="F112" s="5">
        <f t="shared" ref="F112:F117" si="65">IF(D$12=0,0,D112/D$12)</f>
        <v>1.2343552616072749E-2</v>
      </c>
      <c r="G112" s="1"/>
      <c r="H112" s="1">
        <f>SUM(OSRRefH22_16x_0)</f>
        <v>228.32</v>
      </c>
      <c r="I112" s="1"/>
      <c r="J112" s="5">
        <f t="shared" ref="J112:J117" si="66">IF(H$12=0,0,H112/H$12)</f>
        <v>3.043427492259468E-3</v>
      </c>
      <c r="K112" s="1"/>
      <c r="L112" s="1">
        <f t="shared" ref="L112:L117" si="67">+D112-H112</f>
        <v>3.1599999999999966</v>
      </c>
      <c r="M112" s="1"/>
      <c r="N112" s="5">
        <f t="shared" ref="N112:N117" si="68">IF(H112=0,0,L112/H112)</f>
        <v>1.3840224246671324E-2</v>
      </c>
      <c r="O112" s="13"/>
      <c r="P112" s="1">
        <f>SUM(OSRRefP22_16x_0)</f>
        <v>2297.1999999999998</v>
      </c>
      <c r="Q112" s="1"/>
      <c r="R112" s="5">
        <f t="shared" ref="R112:R117" si="69">IF(P$12=0,0,P112/P$12)</f>
        <v>1.403554220621713E-2</v>
      </c>
      <c r="S112" s="1"/>
      <c r="T112" s="1">
        <f>SUM(OSRRefT22_16x_0)</f>
        <v>1974.1</v>
      </c>
      <c r="U112" s="1"/>
      <c r="V112" s="5">
        <f t="shared" ref="V112:V117" si="70">IF(T$12=0,0,T112/T$12)</f>
        <v>5.4930133189086423E-3</v>
      </c>
      <c r="W112" s="1"/>
      <c r="X112" s="1">
        <f t="shared" ref="X112:X117" si="71">+P112-T112</f>
        <v>323.09999999999991</v>
      </c>
      <c r="Y112" s="1"/>
      <c r="Z112" s="5">
        <f t="shared" ref="Z112:Z117" si="72">IF(T112=0,0,X112/T112)</f>
        <v>0.16366952028772602</v>
      </c>
    </row>
    <row r="113" spans="1:26" s="24" customFormat="1" hidden="1" outlineLevel="2" x14ac:dyDescent="0.25">
      <c r="A113" s="25"/>
      <c r="B113" s="11" t="str">
        <f>CONCATENATE("          ", "6309", " - ", "TELEPHONE")</f>
        <v xml:space="preserve">          6309 - TELEPHONE</v>
      </c>
      <c r="C113" s="11"/>
      <c r="D113" s="6">
        <v>231.48</v>
      </c>
      <c r="E113" s="2"/>
      <c r="F113" s="7">
        <f t="shared" si="65"/>
        <v>1.2343552616072749E-2</v>
      </c>
      <c r="G113" s="2"/>
      <c r="H113" s="6">
        <v>228.32</v>
      </c>
      <c r="I113" s="2"/>
      <c r="J113" s="7">
        <f t="shared" si="66"/>
        <v>3.043427492259468E-3</v>
      </c>
      <c r="K113" s="2"/>
      <c r="L113" s="6">
        <f t="shared" si="67"/>
        <v>3.1599999999999966</v>
      </c>
      <c r="M113" s="2"/>
      <c r="N113" s="7">
        <f t="shared" si="68"/>
        <v>1.3840224246671324E-2</v>
      </c>
      <c r="O113" s="11"/>
      <c r="P113" s="6">
        <v>2297.1999999999998</v>
      </c>
      <c r="Q113" s="2"/>
      <c r="R113" s="7">
        <f t="shared" si="69"/>
        <v>1.403554220621713E-2</v>
      </c>
      <c r="S113" s="2"/>
      <c r="T113" s="6">
        <v>1974.1</v>
      </c>
      <c r="U113" s="2"/>
      <c r="V113" s="7">
        <f t="shared" si="70"/>
        <v>5.4930133189086423E-3</v>
      </c>
      <c r="W113" s="2"/>
      <c r="X113" s="6">
        <f t="shared" si="71"/>
        <v>323.09999999999991</v>
      </c>
      <c r="Y113" s="2"/>
      <c r="Z113" s="7">
        <f t="shared" si="72"/>
        <v>0.16366952028772602</v>
      </c>
    </row>
    <row r="114" spans="1:26" s="26" customFormat="1" outlineLevel="1" collapsed="1" x14ac:dyDescent="0.25">
      <c r="A114" s="27"/>
      <c r="B114" s="13" t="str">
        <f>CONCATENATE("     ","Travel                                            ")</f>
        <v xml:space="preserve">     Travel                                            </v>
      </c>
      <c r="C114" s="13"/>
      <c r="D114" s="1">
        <f>SUM(OSRRefD22_17x_0)</f>
        <v>59.46</v>
      </c>
      <c r="E114" s="1"/>
      <c r="F114" s="5">
        <f t="shared" si="65"/>
        <v>3.1706740908574635E-3</v>
      </c>
      <c r="G114" s="1"/>
      <c r="H114" s="1">
        <f>SUM(OSRRefH22_17x_0)</f>
        <v>72.25</v>
      </c>
      <c r="I114" s="1"/>
      <c r="J114" s="5">
        <f t="shared" si="66"/>
        <v>9.6306778344317867E-4</v>
      </c>
      <c r="K114" s="1"/>
      <c r="L114" s="1">
        <f t="shared" si="67"/>
        <v>-12.79</v>
      </c>
      <c r="M114" s="1"/>
      <c r="N114" s="5">
        <f t="shared" si="68"/>
        <v>-0.17702422145328719</v>
      </c>
      <c r="O114" s="13"/>
      <c r="P114" s="1">
        <f>SUM(OSRRefP22_17x_0)</f>
        <v>381.34</v>
      </c>
      <c r="Q114" s="1"/>
      <c r="R114" s="5">
        <f t="shared" si="69"/>
        <v>2.3299293335011491E-3</v>
      </c>
      <c r="S114" s="1"/>
      <c r="T114" s="1">
        <f>SUM(OSRRefT22_17x_0)</f>
        <v>662.72</v>
      </c>
      <c r="U114" s="1"/>
      <c r="V114" s="5">
        <f t="shared" si="70"/>
        <v>1.8440452797260198E-3</v>
      </c>
      <c r="W114" s="1"/>
      <c r="X114" s="1">
        <f t="shared" si="71"/>
        <v>-281.38000000000005</v>
      </c>
      <c r="Y114" s="1"/>
      <c r="Z114" s="5">
        <f t="shared" si="72"/>
        <v>-0.42458353452438441</v>
      </c>
    </row>
    <row r="115" spans="1:26" s="24" customFormat="1" hidden="1" outlineLevel="2" x14ac:dyDescent="0.25">
      <c r="A115" s="25"/>
      <c r="B115" s="11" t="str">
        <f>CONCATENATE("          ", "6294", " - ", "TRAVEL OPERATIONAL")</f>
        <v xml:space="preserve">          6294 - TRAVEL OPERATIONAL</v>
      </c>
      <c r="C115" s="11"/>
      <c r="D115" s="6">
        <v>59.46</v>
      </c>
      <c r="E115" s="2"/>
      <c r="F115" s="7">
        <f t="shared" si="65"/>
        <v>3.1706740908574635E-3</v>
      </c>
      <c r="G115" s="2"/>
      <c r="H115" s="6">
        <v>72.25</v>
      </c>
      <c r="I115" s="2"/>
      <c r="J115" s="7">
        <f t="shared" si="66"/>
        <v>9.6306778344317867E-4</v>
      </c>
      <c r="K115" s="2"/>
      <c r="L115" s="6">
        <f t="shared" si="67"/>
        <v>-12.79</v>
      </c>
      <c r="M115" s="2"/>
      <c r="N115" s="7">
        <f t="shared" si="68"/>
        <v>-0.17702422145328719</v>
      </c>
      <c r="O115" s="11"/>
      <c r="P115" s="6">
        <v>381.34</v>
      </c>
      <c r="Q115" s="2"/>
      <c r="R115" s="7">
        <f t="shared" si="69"/>
        <v>2.3299293335011491E-3</v>
      </c>
      <c r="S115" s="2"/>
      <c r="T115" s="6">
        <v>662.72</v>
      </c>
      <c r="U115" s="2"/>
      <c r="V115" s="7">
        <f t="shared" si="70"/>
        <v>1.8440452797260198E-3</v>
      </c>
      <c r="W115" s="2"/>
      <c r="X115" s="6">
        <f t="shared" si="71"/>
        <v>-281.38000000000005</v>
      </c>
      <c r="Y115" s="2"/>
      <c r="Z115" s="7">
        <f t="shared" si="72"/>
        <v>-0.42458353452438441</v>
      </c>
    </row>
    <row r="116" spans="1:26" s="26" customFormat="1" outlineLevel="1" collapsed="1" x14ac:dyDescent="0.25">
      <c r="A116" s="27"/>
      <c r="B116" s="13" t="str">
        <f>CONCATENATE("     ","Utilities                                         ")</f>
        <v xml:space="preserve">     Utilities                                         </v>
      </c>
      <c r="C116" s="13"/>
      <c r="D116" s="1">
        <f>SUM(OSRRefD22_18x_0)</f>
        <v>32.61</v>
      </c>
      <c r="E116" s="1"/>
      <c r="F116" s="5">
        <f t="shared" si="65"/>
        <v>1.738911572533836E-3</v>
      </c>
      <c r="G116" s="1"/>
      <c r="H116" s="1">
        <f>SUM(OSRRefH22_18x_0)</f>
        <v>163.13999999999999</v>
      </c>
      <c r="I116" s="1"/>
      <c r="J116" s="5">
        <f t="shared" si="66"/>
        <v>2.1746003901857462E-3</v>
      </c>
      <c r="K116" s="1"/>
      <c r="L116" s="1">
        <f t="shared" si="67"/>
        <v>-130.52999999999997</v>
      </c>
      <c r="M116" s="1"/>
      <c r="N116" s="5">
        <f t="shared" si="68"/>
        <v>-0.80011033468186821</v>
      </c>
      <c r="O116" s="13"/>
      <c r="P116" s="1">
        <f>SUM(OSRRefP22_18x_0)</f>
        <v>177.01</v>
      </c>
      <c r="Q116" s="1"/>
      <c r="R116" s="5">
        <f t="shared" si="69"/>
        <v>1.081504146753654E-3</v>
      </c>
      <c r="S116" s="1"/>
      <c r="T116" s="1">
        <f>SUM(OSRRefT22_18x_0)</f>
        <v>460.82</v>
      </c>
      <c r="U116" s="1"/>
      <c r="V116" s="5">
        <f t="shared" si="70"/>
        <v>1.2822503407220914E-3</v>
      </c>
      <c r="W116" s="1"/>
      <c r="X116" s="1">
        <f t="shared" si="71"/>
        <v>-283.81</v>
      </c>
      <c r="Y116" s="1"/>
      <c r="Z116" s="5">
        <f t="shared" si="72"/>
        <v>-0.61588038713597504</v>
      </c>
    </row>
    <row r="117" spans="1:26" s="24" customFormat="1" hidden="1" outlineLevel="2" x14ac:dyDescent="0.25">
      <c r="A117" s="25"/>
      <c r="B117" s="11" t="str">
        <f>CONCATENATE("          ", "6274", " - ", "UTILITIES")</f>
        <v xml:space="preserve">          6274 - UTILITIES</v>
      </c>
      <c r="C117" s="11"/>
      <c r="D117" s="6">
        <v>32.61</v>
      </c>
      <c r="E117" s="2"/>
      <c r="F117" s="7">
        <f t="shared" si="65"/>
        <v>1.738911572533836E-3</v>
      </c>
      <c r="G117" s="2"/>
      <c r="H117" s="6">
        <v>163.13999999999999</v>
      </c>
      <c r="I117" s="2"/>
      <c r="J117" s="7">
        <f t="shared" si="66"/>
        <v>2.1746003901857462E-3</v>
      </c>
      <c r="K117" s="2"/>
      <c r="L117" s="6">
        <f t="shared" si="67"/>
        <v>-130.52999999999997</v>
      </c>
      <c r="M117" s="2"/>
      <c r="N117" s="7">
        <f t="shared" si="68"/>
        <v>-0.80011033468186821</v>
      </c>
      <c r="O117" s="11"/>
      <c r="P117" s="6">
        <v>177.01</v>
      </c>
      <c r="Q117" s="2"/>
      <c r="R117" s="7">
        <f t="shared" si="69"/>
        <v>1.081504146753654E-3</v>
      </c>
      <c r="S117" s="2"/>
      <c r="T117" s="6">
        <v>460.82</v>
      </c>
      <c r="U117" s="2"/>
      <c r="V117" s="7">
        <f t="shared" si="70"/>
        <v>1.2822503407220914E-3</v>
      </c>
      <c r="W117" s="2"/>
      <c r="X117" s="6">
        <f t="shared" si="71"/>
        <v>-283.81</v>
      </c>
      <c r="Y117" s="2"/>
      <c r="Z117" s="7">
        <f t="shared" si="72"/>
        <v>-0.61588038713597504</v>
      </c>
    </row>
    <row r="118" spans="1:26" s="61" customFormat="1" x14ac:dyDescent="0.25">
      <c r="A118" s="37"/>
      <c r="B118" s="37"/>
      <c r="C118" s="37"/>
      <c r="D118" s="1"/>
      <c r="E118" s="1"/>
      <c r="F118" s="5"/>
      <c r="G118" s="1"/>
      <c r="H118" s="1"/>
      <c r="I118" s="1"/>
      <c r="J118" s="5"/>
      <c r="K118" s="1"/>
      <c r="L118" s="1"/>
      <c r="M118" s="1"/>
      <c r="N118" s="5"/>
      <c r="O118" s="37"/>
      <c r="P118" s="1"/>
      <c r="Q118" s="1"/>
      <c r="R118" s="5"/>
      <c r="S118" s="1"/>
      <c r="T118" s="1"/>
      <c r="U118" s="1"/>
      <c r="V118" s="5"/>
      <c r="W118" s="1"/>
      <c r="X118" s="1"/>
      <c r="Y118" s="1"/>
      <c r="Z118" s="5"/>
    </row>
    <row r="119" spans="1:26" s="23" customFormat="1" x14ac:dyDescent="0.25">
      <c r="A119" s="10"/>
      <c r="B119" s="29" t="s">
        <v>0</v>
      </c>
      <c r="C119" s="10"/>
      <c r="D119" s="4">
        <f>SUM(0)</f>
        <v>0</v>
      </c>
      <c r="E119" s="4"/>
      <c r="F119" s="12">
        <f>IF(D$12=0,0,D119/D$12)</f>
        <v>0</v>
      </c>
      <c r="G119" s="4"/>
      <c r="H119" s="4">
        <f>SUM(0)</f>
        <v>0</v>
      </c>
      <c r="I119" s="4"/>
      <c r="J119" s="12">
        <f>IF(H$12=0,0,H119/H$12)</f>
        <v>0</v>
      </c>
      <c r="K119" s="4"/>
      <c r="L119" s="4">
        <f>+D119-H119</f>
        <v>0</v>
      </c>
      <c r="M119" s="4"/>
      <c r="N119" s="12">
        <f>IF(H119=0,0,L119/H119)</f>
        <v>0</v>
      </c>
      <c r="O119" s="10"/>
      <c r="P119" s="4">
        <f>SUM(0)</f>
        <v>0</v>
      </c>
      <c r="Q119" s="4"/>
      <c r="R119" s="12">
        <f>IF(P$12=0,0,P119/P$12)</f>
        <v>0</v>
      </c>
      <c r="S119" s="4"/>
      <c r="T119" s="4">
        <f>SUM(0)</f>
        <v>0</v>
      </c>
      <c r="U119" s="4"/>
      <c r="V119" s="12">
        <f>IF(T$12=0,0,T119/T$12)</f>
        <v>0</v>
      </c>
      <c r="W119" s="4"/>
      <c r="X119" s="4">
        <f>+P119-T119</f>
        <v>0</v>
      </c>
      <c r="Y119" s="4"/>
      <c r="Z119" s="12">
        <f>IF(T119=0,0,X119/T119)</f>
        <v>0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10"/>
      <c r="B121" s="28" t="s">
        <v>3</v>
      </c>
      <c r="C121" s="28"/>
      <c r="D121" s="20">
        <f>+D57-D59+D119</f>
        <v>-13291.360000000004</v>
      </c>
      <c r="E121" s="14"/>
      <c r="F121" s="22">
        <f>IF(D$12=0,0,D121/D$12)</f>
        <v>-0.70875497450822855</v>
      </c>
      <c r="G121" s="14"/>
      <c r="H121" s="20">
        <f>+H57-H59+H119</f>
        <v>16141.989999999991</v>
      </c>
      <c r="I121" s="14"/>
      <c r="J121" s="22">
        <f>IF(H$12=0,0,H121/H$12)</f>
        <v>0.21516720456279512</v>
      </c>
      <c r="K121" s="15"/>
      <c r="L121" s="20">
        <f>+D121-H121</f>
        <v>-29433.349999999995</v>
      </c>
      <c r="M121" s="15"/>
      <c r="N121" s="22">
        <f>IF(H121=0,0,L121/H121)</f>
        <v>-1.8234028146467698</v>
      </c>
      <c r="O121" s="29"/>
      <c r="P121" s="20">
        <f>+P57-P59+P119</f>
        <v>-61935.689999999915</v>
      </c>
      <c r="Q121" s="14"/>
      <c r="R121" s="22">
        <f>IF(P$12=0,0,P121/P$12)</f>
        <v>-0.37841763497570047</v>
      </c>
      <c r="S121" s="14"/>
      <c r="T121" s="20">
        <f>+T57-T59+T119</f>
        <v>-8236.5199999999022</v>
      </c>
      <c r="U121" s="14"/>
      <c r="V121" s="22">
        <f>IF(T$12=0,0,T121/T$12)</f>
        <v>-2.2918450970800301E-2</v>
      </c>
      <c r="W121" s="15"/>
      <c r="X121" s="20">
        <f>+P121-T121</f>
        <v>-53699.170000000013</v>
      </c>
      <c r="Y121" s="15"/>
      <c r="Z121" s="22">
        <f>IF(T121=0,0,X121/T121)</f>
        <v>6.5196430045699705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51"/>
      <c r="B123" s="10" t="s">
        <v>13</v>
      </c>
      <c r="C123" s="10"/>
      <c r="D123" s="4">
        <v>2897.74</v>
      </c>
      <c r="E123" s="4"/>
      <c r="F123" s="12">
        <f>IF(D$12=0,0,D123/D$12)</f>
        <v>0.15452050353248076</v>
      </c>
      <c r="G123" s="4"/>
      <c r="H123" s="4">
        <v>6765.23</v>
      </c>
      <c r="I123" s="4"/>
      <c r="J123" s="12">
        <f>IF(H$12=0,0,H123/H$12)</f>
        <v>9.0178201530564647E-2</v>
      </c>
      <c r="K123" s="4"/>
      <c r="L123" s="4">
        <f>+D123-H123</f>
        <v>-3867.49</v>
      </c>
      <c r="M123" s="4"/>
      <c r="N123" s="12">
        <f>IF(H123=0,0,L123/H123)</f>
        <v>-0.57167162092050083</v>
      </c>
      <c r="O123" s="10"/>
      <c r="P123" s="4">
        <v>29710.47</v>
      </c>
      <c r="Q123" s="4"/>
      <c r="R123" s="12">
        <f>IF(P$12=0,0,P123/P$12)</f>
        <v>0.18152644769787041</v>
      </c>
      <c r="S123" s="4"/>
      <c r="T123" s="4">
        <v>37478.639999999999</v>
      </c>
      <c r="U123" s="4"/>
      <c r="V123" s="12">
        <f>IF(T$12=0,0,T123/T$12)</f>
        <v>0.1042858359224873</v>
      </c>
      <c r="W123" s="4"/>
      <c r="X123" s="4">
        <f>+P123-T123</f>
        <v>-7768.1699999999983</v>
      </c>
      <c r="Y123" s="4"/>
      <c r="Z123" s="12">
        <f>IF(T123=0,0,X123/T123)</f>
        <v>-0.2072692605708211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8" t="s">
        <v>4</v>
      </c>
      <c r="C125" s="28"/>
      <c r="D125" s="30">
        <f>+D121-D123</f>
        <v>-16189.100000000004</v>
      </c>
      <c r="E125" s="14"/>
      <c r="F125" s="36">
        <f>IF(D$12=0,0,D125/D$12)</f>
        <v>-0.86327547804070937</v>
      </c>
      <c r="G125" s="14"/>
      <c r="H125" s="30">
        <f>+H121-H123</f>
        <v>9376.7599999999911</v>
      </c>
      <c r="I125" s="14"/>
      <c r="J125" s="36">
        <f>IF(H$12=0,0,H125/H$12)</f>
        <v>0.12498900303223047</v>
      </c>
      <c r="K125" s="15"/>
      <c r="L125" s="30">
        <f>D125-H125</f>
        <v>-25565.859999999993</v>
      </c>
      <c r="M125" s="15"/>
      <c r="N125" s="36">
        <f>IF(H125=0,0,L125/H125)</f>
        <v>-2.7265132092535178</v>
      </c>
      <c r="O125" s="29"/>
      <c r="P125" s="30">
        <f>+P121-P123</f>
        <v>-91646.159999999916</v>
      </c>
      <c r="Q125" s="14"/>
      <c r="R125" s="36">
        <f>IF(P$12=0,0,P125/P$12)</f>
        <v>-0.55994408267357088</v>
      </c>
      <c r="S125" s="14"/>
      <c r="T125" s="30">
        <f>+T121-T123</f>
        <v>-45715.159999999902</v>
      </c>
      <c r="U125" s="14"/>
      <c r="V125" s="36">
        <f>IF(T$12=0,0,T125/T$12)</f>
        <v>-0.12720428689328761</v>
      </c>
      <c r="W125" s="15"/>
      <c r="X125" s="30">
        <f>P125-T125</f>
        <v>-45931.000000000015</v>
      </c>
      <c r="Y125" s="15"/>
      <c r="Z125" s="36">
        <f>IF(T125=0,0,X125/T125)</f>
        <v>1.0047214097030419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8" t="s">
        <v>5</v>
      </c>
      <c r="C128" s="28"/>
      <c r="D128" s="32">
        <f>SUM(D125:D127)</f>
        <v>-16189.100000000004</v>
      </c>
      <c r="E128" s="14"/>
      <c r="F128" s="31">
        <f>IF(D$12=0,0,D128/D$12)</f>
        <v>-0.86327547804070937</v>
      </c>
      <c r="G128" s="14"/>
      <c r="H128" s="32">
        <f>SUM(H125:H127)</f>
        <v>9376.7599999999911</v>
      </c>
      <c r="I128" s="14"/>
      <c r="J128" s="31">
        <f>IF(H$12=0,0,H128/H$12)</f>
        <v>0.12498900303223047</v>
      </c>
      <c r="K128" s="15"/>
      <c r="L128" s="32">
        <f>+D128-H128</f>
        <v>-25565.859999999993</v>
      </c>
      <c r="M128" s="15"/>
      <c r="N128" s="31">
        <f>IF(H128=0,0,L128/H128)</f>
        <v>-2.7265132092535178</v>
      </c>
      <c r="O128" s="29"/>
      <c r="P128" s="32">
        <f>SUM(P125:P127)</f>
        <v>-91646.159999999916</v>
      </c>
      <c r="Q128" s="14"/>
      <c r="R128" s="31">
        <f>IF(P$12=0,0,P128/P$12)</f>
        <v>-0.55994408267357088</v>
      </c>
      <c r="S128" s="14"/>
      <c r="T128" s="32">
        <f>SUM(T125:T127)</f>
        <v>-45715.159999999902</v>
      </c>
      <c r="U128" s="14"/>
      <c r="V128" s="31">
        <f>IF(T$12=0,0,T128/T$12)</f>
        <v>-0.12720428689328761</v>
      </c>
      <c r="W128" s="15"/>
      <c r="X128" s="32">
        <f>+P128-T128</f>
        <v>-45931.000000000015</v>
      </c>
      <c r="Y128" s="15"/>
      <c r="Z128" s="31">
        <f>IF(T128=0,0,X128/T128)</f>
        <v>1.0047214097030419</v>
      </c>
    </row>
    <row r="129" spans="1:24" ht="15.75" thickTop="1" x14ac:dyDescent="0.25">
      <c r="A129" s="9"/>
      <c r="C129" s="9"/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A130" s="9"/>
      <c r="B130" s="62">
        <v>44238.496366006948</v>
      </c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  <row r="131" spans="1:24" x14ac:dyDescent="0.25">
      <c r="A131" s="9"/>
      <c r="B131" s="59" t="s">
        <v>313</v>
      </c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4" x14ac:dyDescent="0.25">
      <c r="A132" s="9"/>
      <c r="B132" s="56"/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4" x14ac:dyDescent="0.25"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303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29576.499999999996</v>
      </c>
      <c r="E12" s="4"/>
      <c r="F12" s="12"/>
      <c r="G12" s="4"/>
      <c r="H12" s="4">
        <f>SUM(OSRRefH13x_0)</f>
        <v>92505.27</v>
      </c>
      <c r="I12" s="4"/>
      <c r="J12" s="12"/>
      <c r="K12" s="4"/>
      <c r="L12" s="4">
        <f t="shared" ref="L12:L29" si="0">+D12-H12</f>
        <v>-62928.770000000004</v>
      </c>
      <c r="M12" s="4"/>
      <c r="N12" s="12">
        <f t="shared" ref="N12:N29" si="1">IF(H12=0,0,L12/H12)</f>
        <v>-0.68027226989338019</v>
      </c>
      <c r="O12" s="10"/>
      <c r="P12" s="4">
        <f>SUM(OSRRefP13x_0)</f>
        <v>104406.22</v>
      </c>
      <c r="Q12" s="4"/>
      <c r="R12" s="12"/>
      <c r="S12" s="4"/>
      <c r="T12" s="4">
        <f>SUM(OSRRefT13x_0)</f>
        <v>400149.87000000005</v>
      </c>
      <c r="U12" s="4"/>
      <c r="V12" s="12"/>
      <c r="W12" s="4"/>
      <c r="X12" s="4">
        <f t="shared" ref="X12:X29" si="2">+P12-T12</f>
        <v>-295743.65000000002</v>
      </c>
      <c r="Y12" s="4"/>
      <c r="Z12" s="12">
        <f t="shared" ref="Z12:Z29" si="3">IF(T12=0,0,X12/T12)</f>
        <v>-0.73908220937320301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-0.63</f>
        <v>-0.63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-0.63</v>
      </c>
      <c r="M13" s="2"/>
      <c r="N13" s="19">
        <f t="shared" si="1"/>
        <v>0</v>
      </c>
      <c r="O13" s="11"/>
      <c r="P13" s="2">
        <f>-9.28</f>
        <v>-9.2799999999999994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-9.2799999999999994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--27561.7</f>
        <v>27561.7</v>
      </c>
      <c r="E14" s="2"/>
      <c r="F14" s="19"/>
      <c r="G14" s="2"/>
      <c r="H14" s="2">
        <f>--67657.65</f>
        <v>67657.649999999994</v>
      </c>
      <c r="I14" s="2"/>
      <c r="J14" s="19"/>
      <c r="K14" s="2"/>
      <c r="L14" s="2">
        <f t="shared" si="0"/>
        <v>-40095.949999999997</v>
      </c>
      <c r="M14" s="2"/>
      <c r="N14" s="19">
        <f t="shared" si="1"/>
        <v>-0.59262995389287099</v>
      </c>
      <c r="O14" s="11"/>
      <c r="P14" s="2">
        <f>--88505.97</f>
        <v>88505.97</v>
      </c>
      <c r="Q14" s="2"/>
      <c r="R14" s="19"/>
      <c r="S14" s="2"/>
      <c r="T14" s="2">
        <f>--164722.53</f>
        <v>164722.53</v>
      </c>
      <c r="U14" s="2"/>
      <c r="V14" s="19"/>
      <c r="W14" s="2"/>
      <c r="X14" s="2">
        <f t="shared" si="2"/>
        <v>-76216.56</v>
      </c>
      <c r="Y14" s="2"/>
      <c r="Z14" s="19">
        <f t="shared" si="3"/>
        <v>-0.46269663293782581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--1691.73</f>
        <v>1691.73</v>
      </c>
      <c r="E15" s="2"/>
      <c r="F15" s="19"/>
      <c r="G15" s="2"/>
      <c r="H15" s="2">
        <f>--5786.57</f>
        <v>5786.57</v>
      </c>
      <c r="I15" s="2"/>
      <c r="J15" s="19"/>
      <c r="K15" s="2"/>
      <c r="L15" s="2">
        <f t="shared" si="0"/>
        <v>-4094.8399999999997</v>
      </c>
      <c r="M15" s="2"/>
      <c r="N15" s="19">
        <f t="shared" si="1"/>
        <v>-0.70764546181935062</v>
      </c>
      <c r="O15" s="11"/>
      <c r="P15" s="2">
        <f>--14545.58</f>
        <v>14545.58</v>
      </c>
      <c r="Q15" s="2"/>
      <c r="R15" s="19"/>
      <c r="S15" s="2"/>
      <c r="T15" s="2">
        <f>--53893.51</f>
        <v>53893.51</v>
      </c>
      <c r="U15" s="2"/>
      <c r="V15" s="19"/>
      <c r="W15" s="2"/>
      <c r="X15" s="2">
        <f t="shared" si="2"/>
        <v>-39347.93</v>
      </c>
      <c r="Y15" s="2"/>
      <c r="Z15" s="19">
        <f t="shared" si="3"/>
        <v>-0.73010516479628063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--18.35</f>
        <v>18.350000000000001</v>
      </c>
      <c r="E16" s="2"/>
      <c r="F16" s="19"/>
      <c r="G16" s="2"/>
      <c r="H16" s="2">
        <f>--85</f>
        <v>85</v>
      </c>
      <c r="I16" s="2"/>
      <c r="J16" s="19"/>
      <c r="K16" s="2"/>
      <c r="L16" s="2">
        <f t="shared" si="0"/>
        <v>-66.650000000000006</v>
      </c>
      <c r="M16" s="2"/>
      <c r="N16" s="19">
        <f t="shared" si="1"/>
        <v>-0.78411764705882359</v>
      </c>
      <c r="O16" s="11"/>
      <c r="P16" s="2">
        <f>--34.31</f>
        <v>34.31</v>
      </c>
      <c r="Q16" s="2"/>
      <c r="R16" s="19"/>
      <c r="S16" s="2"/>
      <c r="T16" s="2">
        <f>--189.06</f>
        <v>189.06</v>
      </c>
      <c r="U16" s="2"/>
      <c r="V16" s="19"/>
      <c r="W16" s="2"/>
      <c r="X16" s="2">
        <f t="shared" si="2"/>
        <v>-154.75</v>
      </c>
      <c r="Y16" s="2"/>
      <c r="Z16" s="19">
        <f t="shared" si="3"/>
        <v>-0.81852322014175394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 t="shared" ref="D17:D19" si="4">0</f>
        <v>0</v>
      </c>
      <c r="E17" s="2"/>
      <c r="F17" s="19"/>
      <c r="G17" s="2"/>
      <c r="H17" s="2">
        <f>--183.1</f>
        <v>183.1</v>
      </c>
      <c r="I17" s="2"/>
      <c r="J17" s="19"/>
      <c r="K17" s="2"/>
      <c r="L17" s="2">
        <f t="shared" si="0"/>
        <v>-183.1</v>
      </c>
      <c r="M17" s="2"/>
      <c r="N17" s="19">
        <f t="shared" si="1"/>
        <v>-1</v>
      </c>
      <c r="O17" s="11"/>
      <c r="P17" s="2">
        <f t="shared" ref="P17:P19" si="5">0</f>
        <v>0</v>
      </c>
      <c r="Q17" s="2"/>
      <c r="R17" s="19"/>
      <c r="S17" s="2"/>
      <c r="T17" s="2">
        <f>--1977.04</f>
        <v>1977.04</v>
      </c>
      <c r="U17" s="2"/>
      <c r="V17" s="19"/>
      <c r="W17" s="2"/>
      <c r="X17" s="2">
        <f t="shared" si="2"/>
        <v>-1977.04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"4092", " - ", "TAXABLE SALES-GRAD MERCH")</f>
        <v xml:space="preserve">          4092 - TAXABLE SALES-GRAD MERCH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--7699.32</f>
        <v>7699.32</v>
      </c>
      <c r="U18" s="2"/>
      <c r="V18" s="19"/>
      <c r="W18" s="2"/>
      <c r="X18" s="2">
        <f t="shared" si="2"/>
        <v>-7699.32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"4095", " - ", "TAXABLE SALES-CUSTOMER SERVICE")</f>
        <v xml:space="preserve">          4095 - TAXABLE SALES-CUSTOMER SERVICE</v>
      </c>
      <c r="C19" s="11"/>
      <c r="D19" s="2">
        <f t="shared" si="4"/>
        <v>0</v>
      </c>
      <c r="E19" s="2"/>
      <c r="F19" s="19"/>
      <c r="G19" s="2"/>
      <c r="H19" s="2">
        <f>--10.94</f>
        <v>10.94</v>
      </c>
      <c r="I19" s="2"/>
      <c r="J19" s="19"/>
      <c r="K19" s="2"/>
      <c r="L19" s="2">
        <f t="shared" si="0"/>
        <v>-10.94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--279.56</f>
        <v>279.56</v>
      </c>
      <c r="U19" s="2"/>
      <c r="V19" s="19"/>
      <c r="W19" s="2"/>
      <c r="X19" s="2">
        <f t="shared" si="2"/>
        <v>-279.56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--708.6</f>
        <v>708.6</v>
      </c>
      <c r="E20" s="2"/>
      <c r="F20" s="19"/>
      <c r="G20" s="2"/>
      <c r="H20" s="2">
        <f>--698.4</f>
        <v>698.4</v>
      </c>
      <c r="I20" s="2"/>
      <c r="J20" s="19"/>
      <c r="K20" s="2"/>
      <c r="L20" s="2">
        <f t="shared" si="0"/>
        <v>10.200000000000045</v>
      </c>
      <c r="M20" s="2"/>
      <c r="N20" s="19">
        <f t="shared" si="1"/>
        <v>1.460481099656364E-2</v>
      </c>
      <c r="O20" s="11"/>
      <c r="P20" s="2">
        <f>--1228.25</f>
        <v>1228.25</v>
      </c>
      <c r="Q20" s="2"/>
      <c r="R20" s="19"/>
      <c r="S20" s="2"/>
      <c r="T20" s="2">
        <f>--851.15</f>
        <v>851.15</v>
      </c>
      <c r="U20" s="2"/>
      <c r="V20" s="19"/>
      <c r="W20" s="2"/>
      <c r="X20" s="2">
        <f t="shared" si="2"/>
        <v>377.1</v>
      </c>
      <c r="Y20" s="2"/>
      <c r="Z20" s="19">
        <f t="shared" si="3"/>
        <v>0.44304764142630565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0</f>
        <v>0</v>
      </c>
      <c r="E21" s="2"/>
      <c r="F21" s="19"/>
      <c r="G21" s="2"/>
      <c r="H21" s="2">
        <f>--1402.33</f>
        <v>1402.33</v>
      </c>
      <c r="I21" s="2"/>
      <c r="J21" s="19"/>
      <c r="K21" s="2"/>
      <c r="L21" s="2">
        <f t="shared" si="0"/>
        <v>-1402.33</v>
      </c>
      <c r="M21" s="2"/>
      <c r="N21" s="19">
        <f t="shared" si="1"/>
        <v>-1</v>
      </c>
      <c r="O21" s="11"/>
      <c r="P21" s="2">
        <f>--1110.59</f>
        <v>1110.5899999999999</v>
      </c>
      <c r="Q21" s="2"/>
      <c r="R21" s="19"/>
      <c r="S21" s="2"/>
      <c r="T21" s="2">
        <f>--8159.22</f>
        <v>8159.22</v>
      </c>
      <c r="U21" s="2"/>
      <c r="V21" s="19"/>
      <c r="W21" s="2"/>
      <c r="X21" s="2">
        <f t="shared" si="2"/>
        <v>-7048.63</v>
      </c>
      <c r="Y21" s="2"/>
      <c r="Z21" s="19">
        <f t="shared" si="3"/>
        <v>-0.86388527334720722</v>
      </c>
    </row>
    <row r="22" spans="1:26" s="24" customFormat="1" hidden="1" outlineLevel="1" x14ac:dyDescent="0.25">
      <c r="A22" s="44"/>
      <c r="B22" s="11" t="str">
        <f>CONCATENATE("          ", "4146", " - ", "NON-TAXABLE SALES-COIN OP MACH")</f>
        <v xml:space="preserve">          4146 - NON-TAXABLE SALES-COIN OP MACH</v>
      </c>
      <c r="C22" s="11"/>
      <c r="D22" s="2">
        <f>--12.7</f>
        <v>12.7</v>
      </c>
      <c r="E22" s="2"/>
      <c r="F22" s="19"/>
      <c r="G22" s="2"/>
      <c r="H22" s="2">
        <f>--17086.55</f>
        <v>17086.55</v>
      </c>
      <c r="I22" s="2"/>
      <c r="J22" s="19"/>
      <c r="K22" s="2"/>
      <c r="L22" s="2">
        <f t="shared" si="0"/>
        <v>-17073.849999999999</v>
      </c>
      <c r="M22" s="2"/>
      <c r="N22" s="19">
        <f t="shared" si="1"/>
        <v>-0.99925672531903742</v>
      </c>
      <c r="O22" s="11"/>
      <c r="P22" s="2">
        <f>--140.6</f>
        <v>140.6</v>
      </c>
      <c r="Q22" s="2"/>
      <c r="R22" s="19"/>
      <c r="S22" s="2"/>
      <c r="T22" s="2">
        <f>--163554.5</f>
        <v>163554.5</v>
      </c>
      <c r="U22" s="2"/>
      <c r="V22" s="19"/>
      <c r="W22" s="2"/>
      <c r="X22" s="2">
        <f t="shared" si="2"/>
        <v>-163413.9</v>
      </c>
      <c r="Y22" s="2"/>
      <c r="Z22" s="19">
        <f t="shared" si="3"/>
        <v>-0.99914034771284188</v>
      </c>
    </row>
    <row r="23" spans="1:26" s="24" customFormat="1" hidden="1" outlineLevel="1" x14ac:dyDescent="0.25">
      <c r="A23" s="44"/>
      <c r="B23" s="11" t="str">
        <f>CONCATENATE("          ", "4147", " - ", "NON-TAXABLE SALES-MISC")</f>
        <v xml:space="preserve">          4147 - NON-TAXABLE SALES-MISC</v>
      </c>
      <c r="C23" s="11"/>
      <c r="D23" s="2">
        <f>--11</f>
        <v>11</v>
      </c>
      <c r="E23" s="2"/>
      <c r="F23" s="19"/>
      <c r="G23" s="2"/>
      <c r="H23" s="2">
        <f>--11.5</f>
        <v>11.5</v>
      </c>
      <c r="I23" s="2"/>
      <c r="J23" s="19"/>
      <c r="K23" s="2"/>
      <c r="L23" s="2">
        <f t="shared" si="0"/>
        <v>-0.5</v>
      </c>
      <c r="M23" s="2"/>
      <c r="N23" s="19">
        <f t="shared" si="1"/>
        <v>-4.3478260869565216E-2</v>
      </c>
      <c r="O23" s="11"/>
      <c r="P23" s="2">
        <f>--115.5</f>
        <v>115.5</v>
      </c>
      <c r="Q23" s="2"/>
      <c r="R23" s="19"/>
      <c r="S23" s="2"/>
      <c r="T23" s="2">
        <f>--318.9</f>
        <v>318.89999999999998</v>
      </c>
      <c r="U23" s="2"/>
      <c r="V23" s="19"/>
      <c r="W23" s="2"/>
      <c r="X23" s="2">
        <f t="shared" si="2"/>
        <v>-203.39999999999998</v>
      </c>
      <c r="Y23" s="2"/>
      <c r="Z23" s="19">
        <f t="shared" si="3"/>
        <v>-0.63781749764816553</v>
      </c>
    </row>
    <row r="24" spans="1:26" s="24" customFormat="1" hidden="1" outlineLevel="1" x14ac:dyDescent="0.25">
      <c r="A24" s="44"/>
      <c r="B24" s="11" t="str">
        <f>CONCATENATE("          ", "4241", " - ", "SALES RETURN TAXABLE-LOGO GIFT")</f>
        <v xml:space="preserve">          4241 - SALES RETURN TAXABLE-LOGO GIFT</v>
      </c>
      <c r="C24" s="11"/>
      <c r="D24" s="2">
        <f>-415.75</f>
        <v>-415.75</v>
      </c>
      <c r="E24" s="2"/>
      <c r="F24" s="19"/>
      <c r="G24" s="2"/>
      <c r="H24" s="2">
        <f>-323.35</f>
        <v>-323.35000000000002</v>
      </c>
      <c r="I24" s="2"/>
      <c r="J24" s="19"/>
      <c r="K24" s="2"/>
      <c r="L24" s="2">
        <f t="shared" si="0"/>
        <v>-92.399999999999977</v>
      </c>
      <c r="M24" s="2"/>
      <c r="N24" s="19">
        <f t="shared" si="1"/>
        <v>0.28575846605845051</v>
      </c>
      <c r="O24" s="11"/>
      <c r="P24" s="2">
        <f>-1254.1</f>
        <v>-1254.0999999999999</v>
      </c>
      <c r="Q24" s="2"/>
      <c r="R24" s="19"/>
      <c r="S24" s="2"/>
      <c r="T24" s="2">
        <f>-958.1</f>
        <v>-958.1</v>
      </c>
      <c r="U24" s="2"/>
      <c r="V24" s="19"/>
      <c r="W24" s="2"/>
      <c r="X24" s="2">
        <f t="shared" si="2"/>
        <v>-295.99999999999989</v>
      </c>
      <c r="Y24" s="2"/>
      <c r="Z24" s="19">
        <f t="shared" si="3"/>
        <v>0.30894478655672675</v>
      </c>
    </row>
    <row r="25" spans="1:26" s="24" customFormat="1" hidden="1" outlineLevel="1" x14ac:dyDescent="0.25">
      <c r="A25" s="44"/>
      <c r="B25" s="11" t="str">
        <f>CONCATENATE("          ", "4242", " - ", "SALES RETURN TAXABLE-EVERYDAY")</f>
        <v xml:space="preserve">          4242 - SALES RETURN TAXABLE-EVERYDAY</v>
      </c>
      <c r="C25" s="11"/>
      <c r="D25" s="2">
        <f t="shared" ref="D25:D26" si="6">0</f>
        <v>0</v>
      </c>
      <c r="E25" s="2"/>
      <c r="F25" s="19"/>
      <c r="G25" s="2"/>
      <c r="H25" s="2">
        <f>-54</f>
        <v>-54</v>
      </c>
      <c r="I25" s="2"/>
      <c r="J25" s="19"/>
      <c r="K25" s="2"/>
      <c r="L25" s="2">
        <f t="shared" si="0"/>
        <v>54</v>
      </c>
      <c r="M25" s="2"/>
      <c r="N25" s="19">
        <f t="shared" si="1"/>
        <v>-1</v>
      </c>
      <c r="O25" s="11"/>
      <c r="P25" s="2">
        <f t="shared" ref="P25:P26" si="7">0</f>
        <v>0</v>
      </c>
      <c r="Q25" s="2"/>
      <c r="R25" s="19"/>
      <c r="S25" s="2"/>
      <c r="T25" s="2">
        <f>-70.2</f>
        <v>-70.2</v>
      </c>
      <c r="U25" s="2"/>
      <c r="V25" s="19"/>
      <c r="W25" s="2"/>
      <c r="X25" s="2">
        <f t="shared" si="2"/>
        <v>70.2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"4292", " - ", "SALES RETURN TAXABLE-GRAD MERC")</f>
        <v xml:space="preserve">          4292 - SALES RETURN TAXABLE-GRAD MERC</v>
      </c>
      <c r="C26" s="11"/>
      <c r="D26" s="2">
        <f t="shared" si="6"/>
        <v>0</v>
      </c>
      <c r="E26" s="2"/>
      <c r="F26" s="19"/>
      <c r="G26" s="2"/>
      <c r="H26" s="2">
        <f t="shared" ref="H26:H27" si="8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7"/>
        <v>0</v>
      </c>
      <c r="Q26" s="2"/>
      <c r="R26" s="19"/>
      <c r="S26" s="2"/>
      <c r="T26" s="2">
        <f>-419.05</f>
        <v>-419.05</v>
      </c>
      <c r="U26" s="2"/>
      <c r="V26" s="19"/>
      <c r="W26" s="2"/>
      <c r="X26" s="2">
        <f t="shared" si="2"/>
        <v>419.05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"4341", " - ", "SALES RETURN NON TAXABLE-LOGO")</f>
        <v xml:space="preserve">          4341 - SALES RETURN NON TAXABLE-LOGO</v>
      </c>
      <c r="C27" s="11"/>
      <c r="D27" s="2">
        <f>-11.2</f>
        <v>-11.2</v>
      </c>
      <c r="E27" s="2"/>
      <c r="F27" s="19"/>
      <c r="G27" s="2"/>
      <c r="H27" s="2">
        <f t="shared" si="8"/>
        <v>0</v>
      </c>
      <c r="I27" s="2"/>
      <c r="J27" s="19"/>
      <c r="K27" s="2"/>
      <c r="L27" s="2">
        <f t="shared" si="0"/>
        <v>-11.2</v>
      </c>
      <c r="M27" s="2"/>
      <c r="N27" s="19">
        <f t="shared" si="1"/>
        <v>0</v>
      </c>
      <c r="O27" s="11"/>
      <c r="P27" s="2">
        <f>-11.2</f>
        <v>-11.2</v>
      </c>
      <c r="Q27" s="2"/>
      <c r="R27" s="19"/>
      <c r="S27" s="2"/>
      <c r="T27" s="2">
        <f>0</f>
        <v>0</v>
      </c>
      <c r="U27" s="2"/>
      <c r="V27" s="19"/>
      <c r="W27" s="2"/>
      <c r="X27" s="2">
        <f t="shared" si="2"/>
        <v>-11.2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"4342", " - ", "SALES RETURN NON TAXABLE-EVERY")</f>
        <v xml:space="preserve">          4342 - SALES RETURN NON TAXABLE-EVERY</v>
      </c>
      <c r="C28" s="11"/>
      <c r="D28" s="2">
        <f t="shared" ref="D28:D29" si="9">0</f>
        <v>0</v>
      </c>
      <c r="E28" s="2"/>
      <c r="F28" s="19"/>
      <c r="G28" s="2"/>
      <c r="H28" s="2">
        <f>-39.42</f>
        <v>-39.42</v>
      </c>
      <c r="I28" s="2"/>
      <c r="J28" s="19"/>
      <c r="K28" s="2"/>
      <c r="L28" s="2">
        <f t="shared" si="0"/>
        <v>39.42</v>
      </c>
      <c r="M28" s="2"/>
      <c r="N28" s="19">
        <f t="shared" si="1"/>
        <v>-1</v>
      </c>
      <c r="O28" s="11"/>
      <c r="P28" s="2">
        <f t="shared" ref="P28:P29" si="10">0</f>
        <v>0</v>
      </c>
      <c r="Q28" s="2"/>
      <c r="R28" s="19"/>
      <c r="S28" s="2"/>
      <c r="T28" s="2">
        <f>-39.42</f>
        <v>-39.42</v>
      </c>
      <c r="U28" s="2"/>
      <c r="V28" s="19"/>
      <c r="W28" s="2"/>
      <c r="X28" s="2">
        <f t="shared" si="2"/>
        <v>39.42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"4346", " - ", "SALES RETURN NON TAXABLE-COIN-")</f>
        <v xml:space="preserve">          4346 - SALES RETURN NON TAXABLE-COIN-</v>
      </c>
      <c r="C29" s="11"/>
      <c r="D29" s="2">
        <f t="shared" si="9"/>
        <v>0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10"/>
        <v>0</v>
      </c>
      <c r="Q29" s="2"/>
      <c r="R29" s="19"/>
      <c r="S29" s="2"/>
      <c r="T29" s="2">
        <f>-8.15</f>
        <v>-8.15</v>
      </c>
      <c r="U29" s="2"/>
      <c r="V29" s="19"/>
      <c r="W29" s="2"/>
      <c r="X29" s="2">
        <f t="shared" si="2"/>
        <v>8.15</v>
      </c>
      <c r="Y29" s="2"/>
      <c r="Z29" s="19">
        <f t="shared" si="3"/>
        <v>-1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collapsed="1" x14ac:dyDescent="0.25">
      <c r="A31" s="10"/>
      <c r="B31" s="29" t="s">
        <v>8</v>
      </c>
      <c r="C31" s="10"/>
      <c r="D31" s="4">
        <f>SUM(OSRRefD16x_0)</f>
        <v>0</v>
      </c>
      <c r="E31" s="4"/>
      <c r="F31" s="12">
        <f t="shared" ref="F31:F36" si="11">IF(D$12=0,0,D31/D$12)</f>
        <v>0</v>
      </c>
      <c r="G31" s="4"/>
      <c r="H31" s="4">
        <f>SUM(OSRRefH16x_0)</f>
        <v>0.71999999999999886</v>
      </c>
      <c r="I31" s="4"/>
      <c r="J31" s="12">
        <f t="shared" ref="J31:J36" si="12">IF(H$12=0,0,H31/H$12)</f>
        <v>7.7833403437447283E-6</v>
      </c>
      <c r="K31" s="4"/>
      <c r="L31" s="4">
        <f t="shared" ref="L31:L36" si="13">+D31-H31</f>
        <v>-0.71999999999999886</v>
      </c>
      <c r="M31" s="4"/>
      <c r="N31" s="12">
        <f t="shared" ref="N31:N36" si="14">IF(H31=0,0,L31/H31)</f>
        <v>-1</v>
      </c>
      <c r="O31" s="10"/>
      <c r="P31" s="4">
        <f>SUM(OSRRefP16x_0)</f>
        <v>0</v>
      </c>
      <c r="Q31" s="4"/>
      <c r="R31" s="12">
        <f t="shared" ref="R31:R36" si="15">IF(P$12=0,0,P31/P$12)</f>
        <v>0</v>
      </c>
      <c r="S31" s="4"/>
      <c r="T31" s="4">
        <f>SUM(OSRRefT16x_0)</f>
        <v>3803.84</v>
      </c>
      <c r="U31" s="4"/>
      <c r="V31" s="12">
        <f t="shared" ref="V31:V36" si="16">IF(T$12=0,0,T31/T$12)</f>
        <v>9.5060383250905461E-3</v>
      </c>
      <c r="W31" s="4"/>
      <c r="X31" s="4">
        <f t="shared" ref="X31:X36" si="17">+P31-T31</f>
        <v>-3803.84</v>
      </c>
      <c r="Y31" s="4"/>
      <c r="Z31" s="12">
        <f t="shared" ref="Z31:Z36" si="18">IF(T31=0,0,X31/T31)</f>
        <v>-1</v>
      </c>
    </row>
    <row r="32" spans="1:26" s="24" customFormat="1" hidden="1" outlineLevel="1" x14ac:dyDescent="0.25">
      <c r="A32" s="44"/>
      <c r="B32" s="11" t="str">
        <f>CONCATENATE("          ", "5092", " - ", "PURCHASES @ COST-GRAD MERCH")</f>
        <v xml:space="preserve">          5092 - PURCHASES @ COST-GRAD MERCH</v>
      </c>
      <c r="C32" s="11"/>
      <c r="D32" s="2"/>
      <c r="E32" s="2"/>
      <c r="F32" s="19">
        <f t="shared" si="11"/>
        <v>0</v>
      </c>
      <c r="G32" s="2"/>
      <c r="H32" s="2">
        <v>122.72</v>
      </c>
      <c r="I32" s="2"/>
      <c r="J32" s="19">
        <f t="shared" si="12"/>
        <v>1.3266271208116035E-3</v>
      </c>
      <c r="K32" s="2"/>
      <c r="L32" s="2">
        <f t="shared" si="13"/>
        <v>-122.72</v>
      </c>
      <c r="M32" s="2"/>
      <c r="N32" s="19">
        <f t="shared" si="14"/>
        <v>-1</v>
      </c>
      <c r="O32" s="11"/>
      <c r="P32" s="2"/>
      <c r="Q32" s="2"/>
      <c r="R32" s="19">
        <f t="shared" si="15"/>
        <v>0</v>
      </c>
      <c r="S32" s="2"/>
      <c r="T32" s="2">
        <v>2107.21</v>
      </c>
      <c r="U32" s="2"/>
      <c r="V32" s="19">
        <f t="shared" si="16"/>
        <v>5.2660519419886346E-3</v>
      </c>
      <c r="W32" s="2"/>
      <c r="X32" s="2">
        <f t="shared" si="17"/>
        <v>-2107.21</v>
      </c>
      <c r="Y32" s="2"/>
      <c r="Z32" s="19">
        <f t="shared" si="18"/>
        <v>-1</v>
      </c>
    </row>
    <row r="33" spans="1:26" s="24" customFormat="1" hidden="1" outlineLevel="1" x14ac:dyDescent="0.25">
      <c r="A33" s="44"/>
      <c r="B33" s="11" t="str">
        <f>CONCATENATE("          ", "5095", " - ", "PURCHASES @ COST-CUSTOMER SERV")</f>
        <v xml:space="preserve">          5095 - PURCHASES @ COST-CUSTOMER SERV</v>
      </c>
      <c r="C33" s="11"/>
      <c r="D33" s="2"/>
      <c r="E33" s="2"/>
      <c r="F33" s="19">
        <f t="shared" si="11"/>
        <v>0</v>
      </c>
      <c r="G33" s="2"/>
      <c r="H33" s="2"/>
      <c r="I33" s="2"/>
      <c r="J33" s="19">
        <f t="shared" si="12"/>
        <v>0</v>
      </c>
      <c r="K33" s="2"/>
      <c r="L33" s="2">
        <f t="shared" si="13"/>
        <v>0</v>
      </c>
      <c r="M33" s="2"/>
      <c r="N33" s="19">
        <f t="shared" si="14"/>
        <v>0</v>
      </c>
      <c r="O33" s="11"/>
      <c r="P33" s="2"/>
      <c r="Q33" s="2"/>
      <c r="R33" s="19">
        <f t="shared" si="15"/>
        <v>0</v>
      </c>
      <c r="S33" s="2"/>
      <c r="T33" s="2">
        <v>11.85</v>
      </c>
      <c r="U33" s="2"/>
      <c r="V33" s="19">
        <f t="shared" si="16"/>
        <v>2.9613904410365042E-5</v>
      </c>
      <c r="W33" s="2"/>
      <c r="X33" s="2">
        <f t="shared" si="17"/>
        <v>-11.85</v>
      </c>
      <c r="Y33" s="2"/>
      <c r="Z33" s="19">
        <f t="shared" si="18"/>
        <v>-1</v>
      </c>
    </row>
    <row r="34" spans="1:26" s="24" customFormat="1" hidden="1" outlineLevel="1" x14ac:dyDescent="0.25">
      <c r="A34" s="44"/>
      <c r="B34" s="11" t="str">
        <f>CONCATENATE("          ", "5200", " - ", "PURCHASES OFFSET")</f>
        <v xml:space="preserve">          5200 - PURCHASES OFFSET</v>
      </c>
      <c r="C34" s="11"/>
      <c r="D34" s="2"/>
      <c r="E34" s="2"/>
      <c r="F34" s="19">
        <f t="shared" si="11"/>
        <v>0</v>
      </c>
      <c r="G34" s="2"/>
      <c r="H34" s="2">
        <v>-123</v>
      </c>
      <c r="I34" s="2"/>
      <c r="J34" s="19">
        <f t="shared" si="12"/>
        <v>-1.3296539753897263E-3</v>
      </c>
      <c r="K34" s="2"/>
      <c r="L34" s="2">
        <f t="shared" si="13"/>
        <v>123</v>
      </c>
      <c r="M34" s="2"/>
      <c r="N34" s="19">
        <f t="shared" si="14"/>
        <v>-1</v>
      </c>
      <c r="O34" s="11"/>
      <c r="P34" s="2"/>
      <c r="Q34" s="2"/>
      <c r="R34" s="19">
        <f t="shared" si="15"/>
        <v>0</v>
      </c>
      <c r="S34" s="2"/>
      <c r="T34" s="2">
        <v>-2226</v>
      </c>
      <c r="U34" s="2"/>
      <c r="V34" s="19">
        <f t="shared" si="16"/>
        <v>-5.5629157145546488E-3</v>
      </c>
      <c r="W34" s="2"/>
      <c r="X34" s="2">
        <f t="shared" si="17"/>
        <v>2226</v>
      </c>
      <c r="Y34" s="2"/>
      <c r="Z34" s="19">
        <f t="shared" si="18"/>
        <v>-1</v>
      </c>
    </row>
    <row r="35" spans="1:26" s="24" customFormat="1" hidden="1" outlineLevel="1" x14ac:dyDescent="0.25">
      <c r="A35" s="44"/>
      <c r="B35" s="11" t="str">
        <f>CONCATENATE("          ", "5300", " - ", "COG$ OFFSET")</f>
        <v xml:space="preserve">          5300 - COG$ OFFSET</v>
      </c>
      <c r="C35" s="11"/>
      <c r="D35" s="2"/>
      <c r="E35" s="2"/>
      <c r="F35" s="19">
        <f t="shared" si="11"/>
        <v>0</v>
      </c>
      <c r="G35" s="2"/>
      <c r="H35" s="2">
        <v>1</v>
      </c>
      <c r="I35" s="2"/>
      <c r="J35" s="19">
        <f t="shared" si="12"/>
        <v>1.0810194921867694E-5</v>
      </c>
      <c r="K35" s="2"/>
      <c r="L35" s="2">
        <f t="shared" si="13"/>
        <v>-1</v>
      </c>
      <c r="M35" s="2"/>
      <c r="N35" s="19">
        <f t="shared" si="14"/>
        <v>-1</v>
      </c>
      <c r="O35" s="11"/>
      <c r="P35" s="2"/>
      <c r="Q35" s="2"/>
      <c r="R35" s="19">
        <f t="shared" si="15"/>
        <v>0</v>
      </c>
      <c r="S35" s="2"/>
      <c r="T35" s="2">
        <v>3805</v>
      </c>
      <c r="U35" s="2"/>
      <c r="V35" s="19">
        <f t="shared" si="16"/>
        <v>9.5089372389399983E-3</v>
      </c>
      <c r="W35" s="2"/>
      <c r="X35" s="2">
        <f t="shared" si="17"/>
        <v>-3805</v>
      </c>
      <c r="Y35" s="2"/>
      <c r="Z35" s="19">
        <f t="shared" si="18"/>
        <v>-1</v>
      </c>
    </row>
    <row r="36" spans="1:26" s="24" customFormat="1" hidden="1" outlineLevel="1" x14ac:dyDescent="0.25">
      <c r="A36" s="44"/>
      <c r="B36" s="11" t="str">
        <f>CONCATENATE("          ", "5592", " - ", "FREIGHT-IN-GRAD MERCH")</f>
        <v xml:space="preserve">          5592 - FREIGHT-IN-GRAD MERCH</v>
      </c>
      <c r="C36" s="11"/>
      <c r="D36" s="2"/>
      <c r="E36" s="2"/>
      <c r="F36" s="19">
        <f t="shared" si="11"/>
        <v>0</v>
      </c>
      <c r="G36" s="2"/>
      <c r="H36" s="2"/>
      <c r="I36" s="2"/>
      <c r="J36" s="19">
        <f t="shared" si="12"/>
        <v>0</v>
      </c>
      <c r="K36" s="2"/>
      <c r="L36" s="2">
        <f t="shared" si="13"/>
        <v>0</v>
      </c>
      <c r="M36" s="2"/>
      <c r="N36" s="19">
        <f t="shared" si="14"/>
        <v>0</v>
      </c>
      <c r="O36" s="11"/>
      <c r="P36" s="2"/>
      <c r="Q36" s="2"/>
      <c r="R36" s="19">
        <f t="shared" si="15"/>
        <v>0</v>
      </c>
      <c r="S36" s="2"/>
      <c r="T36" s="2">
        <v>105.78</v>
      </c>
      <c r="U36" s="2"/>
      <c r="V36" s="19">
        <f t="shared" si="16"/>
        <v>2.6435095430619532E-4</v>
      </c>
      <c r="W36" s="2"/>
      <c r="X36" s="2">
        <f t="shared" si="17"/>
        <v>-105.78</v>
      </c>
      <c r="Y36" s="2"/>
      <c r="Z36" s="19">
        <f t="shared" si="18"/>
        <v>-1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25">
      <c r="A38" s="10"/>
      <c r="B38" s="28" t="s">
        <v>6</v>
      </c>
      <c r="C38" s="28"/>
      <c r="D38" s="20">
        <f>D12-D31</f>
        <v>29576.499999999996</v>
      </c>
      <c r="E38" s="14"/>
      <c r="F38" s="22">
        <f>IF(D$12=0,0,D38/D$12)</f>
        <v>1</v>
      </c>
      <c r="G38" s="14"/>
      <c r="H38" s="20">
        <f>H12-H31</f>
        <v>92504.55</v>
      </c>
      <c r="I38" s="14"/>
      <c r="J38" s="22">
        <f>IF(H$12=0,0,H38/H$12)</f>
        <v>0.99999221665965621</v>
      </c>
      <c r="K38" s="15"/>
      <c r="L38" s="20">
        <f>+D38-H38</f>
        <v>-62928.05</v>
      </c>
      <c r="M38" s="15"/>
      <c r="N38" s="22">
        <f>IF(H38=0,0,L38/H38)</f>
        <v>-0.68026978132426996</v>
      </c>
      <c r="O38" s="29"/>
      <c r="P38" s="20">
        <f>P12-P31</f>
        <v>104406.22</v>
      </c>
      <c r="Q38" s="14"/>
      <c r="R38" s="22">
        <f>IF(P$12=0,0,P38/P$12)</f>
        <v>1</v>
      </c>
      <c r="S38" s="14"/>
      <c r="T38" s="20">
        <f>T12-T31</f>
        <v>396346.03</v>
      </c>
      <c r="U38" s="14"/>
      <c r="V38" s="22">
        <f>IF(T$12=0,0,T38/T$12)</f>
        <v>0.99049396167490944</v>
      </c>
      <c r="W38" s="15"/>
      <c r="X38" s="20">
        <f>+P38-T38</f>
        <v>-291939.81000000006</v>
      </c>
      <c r="Y38" s="15"/>
      <c r="Z38" s="22">
        <f>IF(T38=0,0,X38/T38)</f>
        <v>-0.73657811079878877</v>
      </c>
    </row>
    <row r="39" spans="1:26" x14ac:dyDescent="0.25">
      <c r="A39" s="9"/>
      <c r="B39" s="10"/>
      <c r="C39" s="9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x14ac:dyDescent="0.25">
      <c r="A40" s="10"/>
      <c r="B40" s="29" t="s">
        <v>9</v>
      </c>
      <c r="C40" s="10"/>
      <c r="D40" s="21">
        <f>SUM(OSRRefD22x_0)</f>
        <v>18107.289999999994</v>
      </c>
      <c r="E40" s="21"/>
      <c r="F40" s="35">
        <f t="shared" ref="F40:F49" si="19">IF(D$12=0,0,D40/D$12)</f>
        <v>0.61221882237587255</v>
      </c>
      <c r="G40" s="21"/>
      <c r="H40" s="21">
        <f>SUM(OSRRefH22x_0)</f>
        <v>42449.7</v>
      </c>
      <c r="I40" s="21"/>
      <c r="J40" s="35">
        <f t="shared" ref="J40:J49" si="20">IF(H$12=0,0,H40/H$12)</f>
        <v>0.45888953137480704</v>
      </c>
      <c r="K40" s="4"/>
      <c r="L40" s="21">
        <f t="shared" ref="L40:L49" si="21">+D40-H40</f>
        <v>-24342.410000000003</v>
      </c>
      <c r="M40" s="4"/>
      <c r="N40" s="35">
        <f t="shared" ref="N40:N49" si="22">IF(H40=0,0,L40/H40)</f>
        <v>-0.57344127284762925</v>
      </c>
      <c r="O40" s="10"/>
      <c r="P40" s="21">
        <f>SUM(OSRRefP22x_0)</f>
        <v>210231.75000000003</v>
      </c>
      <c r="Q40" s="21"/>
      <c r="R40" s="35">
        <f t="shared" ref="R40:R49" si="23">IF(P$12=0,0,P40/P$12)</f>
        <v>2.0135941134541602</v>
      </c>
      <c r="S40" s="21"/>
      <c r="T40" s="21">
        <f>SUM(OSRRefT22x_0)</f>
        <v>317412.26000000007</v>
      </c>
      <c r="U40" s="21"/>
      <c r="V40" s="35">
        <f t="shared" ref="V40:V49" si="24">IF(T$12=0,0,T40/T$12)</f>
        <v>0.79323344525889772</v>
      </c>
      <c r="W40" s="4"/>
      <c r="X40" s="21">
        <f t="shared" ref="X40:X49" si="25">+P40-T40</f>
        <v>-107180.51000000004</v>
      </c>
      <c r="Y40" s="4"/>
      <c r="Z40" s="35">
        <f t="shared" ref="Z40:Z49" si="26">IF(T40=0,0,X40/T40)</f>
        <v>-0.33766972328037997</v>
      </c>
    </row>
    <row r="41" spans="1:26" s="26" customFormat="1" outlineLevel="1" collapsed="1" x14ac:dyDescent="0.25">
      <c r="A41" s="27"/>
      <c r="B41" s="13" t="str">
        <f>CONCATENATE("     ","*Benefits                                         ")</f>
        <v xml:space="preserve">     *Benefits                                         </v>
      </c>
      <c r="C41" s="13"/>
      <c r="D41" s="1">
        <f>SUM(OSRRefD22_0x_0)</f>
        <v>11976.35</v>
      </c>
      <c r="E41" s="1"/>
      <c r="F41" s="5">
        <f t="shared" si="19"/>
        <v>0.40492789883860503</v>
      </c>
      <c r="G41" s="1"/>
      <c r="H41" s="1">
        <f>SUM(OSRRefH22_0x_0)</f>
        <v>8275.4700000000012</v>
      </c>
      <c r="I41" s="1"/>
      <c r="J41" s="5">
        <f t="shared" si="20"/>
        <v>8.9459443770068453E-2</v>
      </c>
      <c r="K41" s="1"/>
      <c r="L41" s="1">
        <f t="shared" si="21"/>
        <v>3700.8799999999992</v>
      </c>
      <c r="M41" s="1"/>
      <c r="N41" s="5">
        <f t="shared" si="22"/>
        <v>0.4472108532808407</v>
      </c>
      <c r="O41" s="13"/>
      <c r="P41" s="1">
        <f>SUM(OSRRefP22_0x_0)</f>
        <v>66685.219999999987</v>
      </c>
      <c r="Q41" s="1"/>
      <c r="R41" s="5">
        <f t="shared" si="23"/>
        <v>0.63870926463959699</v>
      </c>
      <c r="S41" s="1"/>
      <c r="T41" s="1">
        <f>SUM(OSRRefT22_0x_0)</f>
        <v>56378.12000000001</v>
      </c>
      <c r="U41" s="1"/>
      <c r="V41" s="5">
        <f t="shared" si="24"/>
        <v>0.1408925110984042</v>
      </c>
      <c r="W41" s="1"/>
      <c r="X41" s="1">
        <f t="shared" si="25"/>
        <v>10307.099999999977</v>
      </c>
      <c r="Y41" s="1"/>
      <c r="Z41" s="5">
        <f t="shared" si="26"/>
        <v>0.18282092414574971</v>
      </c>
    </row>
    <row r="42" spans="1:26" s="24" customFormat="1" hidden="1" outlineLevel="2" x14ac:dyDescent="0.25">
      <c r="A42" s="25"/>
      <c r="B42" s="11" t="str">
        <f>CONCATENATE("          ", "6111", " - ", "F.I.C.A.")</f>
        <v xml:space="preserve">          6111 - F.I.C.A.</v>
      </c>
      <c r="C42" s="11"/>
      <c r="D42" s="6">
        <v>1213.6400000000001</v>
      </c>
      <c r="E42" s="2"/>
      <c r="F42" s="7">
        <f t="shared" si="19"/>
        <v>4.1033928963873353E-2</v>
      </c>
      <c r="G42" s="2"/>
      <c r="H42" s="6">
        <v>1152.92</v>
      </c>
      <c r="I42" s="2"/>
      <c r="J42" s="7">
        <f t="shared" si="20"/>
        <v>1.2463289929319703E-2</v>
      </c>
      <c r="K42" s="2"/>
      <c r="L42" s="6">
        <f t="shared" si="21"/>
        <v>60.720000000000027</v>
      </c>
      <c r="M42" s="2"/>
      <c r="N42" s="7">
        <f t="shared" si="22"/>
        <v>5.2666273462165653E-2</v>
      </c>
      <c r="O42" s="11"/>
      <c r="P42" s="6">
        <v>9040.41</v>
      </c>
      <c r="Q42" s="2"/>
      <c r="R42" s="7">
        <f t="shared" si="23"/>
        <v>8.6588806682207239E-2</v>
      </c>
      <c r="S42" s="2"/>
      <c r="T42" s="6">
        <v>9206.74</v>
      </c>
      <c r="U42" s="2"/>
      <c r="V42" s="7">
        <f t="shared" si="24"/>
        <v>2.3008229391652681E-2</v>
      </c>
      <c r="W42" s="2"/>
      <c r="X42" s="6">
        <f t="shared" si="25"/>
        <v>-166.32999999999993</v>
      </c>
      <c r="Y42" s="2"/>
      <c r="Z42" s="7">
        <f t="shared" si="26"/>
        <v>-1.8066112435020425E-2</v>
      </c>
    </row>
    <row r="43" spans="1:26" s="24" customFormat="1" hidden="1" outlineLevel="2" x14ac:dyDescent="0.25">
      <c r="A43" s="25"/>
      <c r="B43" s="11" t="str">
        <f>CONCATENATE("          ", "6112", " - ", "COMPENSATION INSURANCE")</f>
        <v xml:space="preserve">          6112 - COMPENSATION INSURANCE</v>
      </c>
      <c r="C43" s="11"/>
      <c r="D43" s="6">
        <v>61.08</v>
      </c>
      <c r="E43" s="2"/>
      <c r="F43" s="7">
        <f t="shared" si="19"/>
        <v>2.0651530776122939E-3</v>
      </c>
      <c r="G43" s="2"/>
      <c r="H43" s="6">
        <v>237.16</v>
      </c>
      <c r="I43" s="2"/>
      <c r="J43" s="7">
        <f t="shared" si="20"/>
        <v>2.5637458276701421E-3</v>
      </c>
      <c r="K43" s="2"/>
      <c r="L43" s="6">
        <f t="shared" si="21"/>
        <v>-176.07999999999998</v>
      </c>
      <c r="M43" s="2"/>
      <c r="N43" s="7">
        <f t="shared" si="22"/>
        <v>-0.7424523528419632</v>
      </c>
      <c r="O43" s="11"/>
      <c r="P43" s="6">
        <v>2405.0300000000002</v>
      </c>
      <c r="Q43" s="2"/>
      <c r="R43" s="7">
        <f t="shared" si="23"/>
        <v>2.303531341331963E-2</v>
      </c>
      <c r="S43" s="2"/>
      <c r="T43" s="6">
        <v>1452.57</v>
      </c>
      <c r="U43" s="2"/>
      <c r="V43" s="7">
        <f t="shared" si="24"/>
        <v>3.6300649054315567E-3</v>
      </c>
      <c r="W43" s="2"/>
      <c r="X43" s="6">
        <f t="shared" si="25"/>
        <v>952.46000000000026</v>
      </c>
      <c r="Y43" s="2"/>
      <c r="Z43" s="7">
        <f t="shared" si="26"/>
        <v>0.65570678177299568</v>
      </c>
    </row>
    <row r="44" spans="1:26" s="24" customFormat="1" hidden="1" outlineLevel="2" x14ac:dyDescent="0.25">
      <c r="A44" s="25"/>
      <c r="B44" s="11" t="str">
        <f>CONCATENATE("          ", "6113", " - ", "GROUP INSURANCE")</f>
        <v xml:space="preserve">          6113 - GROUP INSURANCE</v>
      </c>
      <c r="C44" s="11"/>
      <c r="D44" s="6">
        <v>6051.48</v>
      </c>
      <c r="E44" s="2"/>
      <c r="F44" s="7">
        <f t="shared" si="19"/>
        <v>0.20460433114127771</v>
      </c>
      <c r="G44" s="2"/>
      <c r="H44" s="6">
        <v>3218.03</v>
      </c>
      <c r="I44" s="2"/>
      <c r="J44" s="7">
        <f t="shared" si="20"/>
        <v>3.4787531564417898E-2</v>
      </c>
      <c r="K44" s="2"/>
      <c r="L44" s="6">
        <f t="shared" si="21"/>
        <v>2833.4499999999994</v>
      </c>
      <c r="M44" s="2"/>
      <c r="N44" s="7">
        <f t="shared" si="22"/>
        <v>0.88049210231104102</v>
      </c>
      <c r="O44" s="11"/>
      <c r="P44" s="6">
        <v>25792.809999999998</v>
      </c>
      <c r="Q44" s="2"/>
      <c r="R44" s="7">
        <f t="shared" si="23"/>
        <v>0.24704284859656828</v>
      </c>
      <c r="S44" s="2"/>
      <c r="T44" s="6">
        <v>20906.73</v>
      </c>
      <c r="U44" s="2"/>
      <c r="V44" s="7">
        <f t="shared" si="24"/>
        <v>5.2247249261882796E-2</v>
      </c>
      <c r="W44" s="2"/>
      <c r="X44" s="6">
        <f t="shared" si="25"/>
        <v>4886.0799999999981</v>
      </c>
      <c r="Y44" s="2"/>
      <c r="Z44" s="7">
        <f t="shared" si="26"/>
        <v>0.23370847569179867</v>
      </c>
    </row>
    <row r="45" spans="1:26" s="24" customFormat="1" hidden="1" outlineLevel="2" x14ac:dyDescent="0.25">
      <c r="A45" s="25"/>
      <c r="B45" s="11" t="str">
        <f>CONCATENATE("          ", "6114", " - ", "STATE UNEMPLOYMENT INSURANCE")</f>
        <v xml:space="preserve">          6114 - STATE UNEMPLOYMENT INSURANCE</v>
      </c>
      <c r="C45" s="11"/>
      <c r="D45" s="6">
        <v>86.81</v>
      </c>
      <c r="E45" s="2"/>
      <c r="F45" s="7">
        <f t="shared" si="19"/>
        <v>2.9351005020878066E-3</v>
      </c>
      <c r="G45" s="2"/>
      <c r="H45" s="6">
        <v>46.79</v>
      </c>
      <c r="I45" s="2"/>
      <c r="J45" s="7">
        <f t="shared" si="20"/>
        <v>5.0580902039418945E-4</v>
      </c>
      <c r="K45" s="2"/>
      <c r="L45" s="6">
        <f t="shared" si="21"/>
        <v>40.020000000000003</v>
      </c>
      <c r="M45" s="2"/>
      <c r="N45" s="7">
        <f t="shared" si="22"/>
        <v>0.85531096388117123</v>
      </c>
      <c r="O45" s="11"/>
      <c r="P45" s="6">
        <v>337.99</v>
      </c>
      <c r="Q45" s="2"/>
      <c r="R45" s="7">
        <f t="shared" si="23"/>
        <v>3.2372592360876582E-3</v>
      </c>
      <c r="S45" s="2"/>
      <c r="T45" s="6">
        <v>363.79</v>
      </c>
      <c r="U45" s="2"/>
      <c r="V45" s="7">
        <f t="shared" si="24"/>
        <v>9.0913437007989026E-4</v>
      </c>
      <c r="W45" s="2"/>
      <c r="X45" s="6">
        <f t="shared" si="25"/>
        <v>-25.800000000000011</v>
      </c>
      <c r="Y45" s="2"/>
      <c r="Z45" s="7">
        <f t="shared" si="26"/>
        <v>-7.0920036284669752E-2</v>
      </c>
    </row>
    <row r="46" spans="1:26" s="24" customFormat="1" hidden="1" outlineLevel="2" x14ac:dyDescent="0.25">
      <c r="A46" s="25"/>
      <c r="B46" s="11" t="str">
        <f>CONCATENATE("          ", "6115", " - ", "P.E.R.S.")</f>
        <v xml:space="preserve">          6115 - P.E.R.S.</v>
      </c>
      <c r="C46" s="11"/>
      <c r="D46" s="6">
        <v>2421.6799999999998</v>
      </c>
      <c r="E46" s="2"/>
      <c r="F46" s="7">
        <f t="shared" si="19"/>
        <v>8.1878518418338889E-2</v>
      </c>
      <c r="G46" s="2"/>
      <c r="H46" s="6">
        <v>1781.63</v>
      </c>
      <c r="I46" s="2"/>
      <c r="J46" s="7">
        <f t="shared" si="20"/>
        <v>1.9259767578647141E-2</v>
      </c>
      <c r="K46" s="2"/>
      <c r="L46" s="6">
        <f t="shared" si="21"/>
        <v>640.04999999999973</v>
      </c>
      <c r="M46" s="2"/>
      <c r="N46" s="7">
        <f t="shared" si="22"/>
        <v>0.35924967585862366</v>
      </c>
      <c r="O46" s="11"/>
      <c r="P46" s="6">
        <v>12485.89</v>
      </c>
      <c r="Q46" s="2"/>
      <c r="R46" s="7">
        <f t="shared" si="23"/>
        <v>0.11958952253994062</v>
      </c>
      <c r="S46" s="2"/>
      <c r="T46" s="6">
        <v>9737.16</v>
      </c>
      <c r="U46" s="2"/>
      <c r="V46" s="7">
        <f t="shared" si="24"/>
        <v>2.4333782739951904E-2</v>
      </c>
      <c r="W46" s="2"/>
      <c r="X46" s="6">
        <f t="shared" si="25"/>
        <v>2748.7299999999996</v>
      </c>
      <c r="Y46" s="2"/>
      <c r="Z46" s="7">
        <f t="shared" si="26"/>
        <v>0.28229278352209469</v>
      </c>
    </row>
    <row r="47" spans="1:26" s="24" customFormat="1" hidden="1" outlineLevel="2" x14ac:dyDescent="0.25">
      <c r="A47" s="25"/>
      <c r="B47" s="11" t="str">
        <f>CONCATENATE("          ", "6118", " - ", "VACATION")</f>
        <v xml:space="preserve">          6118 - VACATION</v>
      </c>
      <c r="C47" s="11"/>
      <c r="D47" s="6">
        <v>1216.0999999999999</v>
      </c>
      <c r="E47" s="2"/>
      <c r="F47" s="7">
        <f t="shared" si="19"/>
        <v>4.1117103105506064E-2</v>
      </c>
      <c r="G47" s="2"/>
      <c r="H47" s="6">
        <v>969.46</v>
      </c>
      <c r="I47" s="2"/>
      <c r="J47" s="7">
        <f t="shared" si="20"/>
        <v>1.0480051568953855E-2</v>
      </c>
      <c r="K47" s="2"/>
      <c r="L47" s="6">
        <f t="shared" si="21"/>
        <v>246.63999999999987</v>
      </c>
      <c r="M47" s="2"/>
      <c r="N47" s="7">
        <f t="shared" si="22"/>
        <v>0.25440967136343928</v>
      </c>
      <c r="O47" s="11"/>
      <c r="P47" s="6">
        <v>8883.5300000000007</v>
      </c>
      <c r="Q47" s="2"/>
      <c r="R47" s="7">
        <f t="shared" si="23"/>
        <v>8.508621421214177E-2</v>
      </c>
      <c r="S47" s="2"/>
      <c r="T47" s="6">
        <v>7990.51</v>
      </c>
      <c r="U47" s="2"/>
      <c r="V47" s="7">
        <f t="shared" si="24"/>
        <v>1.9968793192410631E-2</v>
      </c>
      <c r="W47" s="2"/>
      <c r="X47" s="6">
        <f t="shared" si="25"/>
        <v>893.02000000000044</v>
      </c>
      <c r="Y47" s="2"/>
      <c r="Z47" s="7">
        <f t="shared" si="26"/>
        <v>0.11176007538943077</v>
      </c>
    </row>
    <row r="48" spans="1:26" s="24" customFormat="1" hidden="1" outlineLevel="2" x14ac:dyDescent="0.25">
      <c r="A48" s="25"/>
      <c r="B48" s="11" t="str">
        <f>CONCATENATE("          ", "6119", " - ", "SICK LEAVE")</f>
        <v xml:space="preserve">          6119 - SICK LEAVE</v>
      </c>
      <c r="C48" s="11"/>
      <c r="D48" s="6">
        <v>738.5</v>
      </c>
      <c r="E48" s="2"/>
      <c r="F48" s="7">
        <f t="shared" si="19"/>
        <v>2.4969147803154533E-2</v>
      </c>
      <c r="G48" s="2"/>
      <c r="H48" s="6">
        <v>556.53</v>
      </c>
      <c r="I48" s="2"/>
      <c r="J48" s="7">
        <f t="shared" si="20"/>
        <v>6.0161977798670278E-3</v>
      </c>
      <c r="K48" s="2"/>
      <c r="L48" s="6">
        <f t="shared" si="21"/>
        <v>181.97000000000003</v>
      </c>
      <c r="M48" s="2"/>
      <c r="N48" s="7">
        <f t="shared" si="22"/>
        <v>0.3269724902520979</v>
      </c>
      <c r="O48" s="11"/>
      <c r="P48" s="6">
        <v>5432.77</v>
      </c>
      <c r="Q48" s="2"/>
      <c r="R48" s="7">
        <f t="shared" si="23"/>
        <v>5.2034926654752948E-2</v>
      </c>
      <c r="S48" s="2"/>
      <c r="T48" s="6">
        <v>4741.3900000000003</v>
      </c>
      <c r="U48" s="2"/>
      <c r="V48" s="7">
        <f t="shared" si="24"/>
        <v>1.1849035462638035E-2</v>
      </c>
      <c r="W48" s="2"/>
      <c r="X48" s="6">
        <f t="shared" si="25"/>
        <v>691.38000000000011</v>
      </c>
      <c r="Y48" s="2"/>
      <c r="Z48" s="7">
        <f t="shared" si="26"/>
        <v>0.14581799851942154</v>
      </c>
    </row>
    <row r="49" spans="1:26" s="24" customFormat="1" hidden="1" outlineLevel="2" x14ac:dyDescent="0.25">
      <c r="A49" s="25"/>
      <c r="B49" s="11" t="str">
        <f>CONCATENATE("          ", "6156", " - ", "EMPLOYEE MEALS")</f>
        <v xml:space="preserve">          6156 - EMPLOYEE MEALS</v>
      </c>
      <c r="C49" s="11"/>
      <c r="D49" s="6">
        <v>187.06</v>
      </c>
      <c r="E49" s="2"/>
      <c r="F49" s="7">
        <f t="shared" si="19"/>
        <v>6.3246158267543495E-3</v>
      </c>
      <c r="G49" s="2"/>
      <c r="H49" s="6">
        <v>312.95</v>
      </c>
      <c r="I49" s="2"/>
      <c r="J49" s="7">
        <f t="shared" si="20"/>
        <v>3.383050500798495E-3</v>
      </c>
      <c r="K49" s="2"/>
      <c r="L49" s="6">
        <f t="shared" si="21"/>
        <v>-125.88999999999999</v>
      </c>
      <c r="M49" s="2"/>
      <c r="N49" s="7">
        <f t="shared" si="22"/>
        <v>-0.40226873302444477</v>
      </c>
      <c r="O49" s="11"/>
      <c r="P49" s="6">
        <v>2306.79</v>
      </c>
      <c r="Q49" s="2"/>
      <c r="R49" s="7">
        <f t="shared" si="23"/>
        <v>2.2094373304578981E-2</v>
      </c>
      <c r="S49" s="2"/>
      <c r="T49" s="6">
        <v>1979.23</v>
      </c>
      <c r="U49" s="2"/>
      <c r="V49" s="7">
        <f t="shared" si="24"/>
        <v>4.9462217743566923E-3</v>
      </c>
      <c r="W49" s="2"/>
      <c r="X49" s="6">
        <f t="shared" si="25"/>
        <v>327.55999999999995</v>
      </c>
      <c r="Y49" s="2"/>
      <c r="Z49" s="7">
        <f t="shared" si="26"/>
        <v>0.16549870404147066</v>
      </c>
    </row>
    <row r="50" spans="1:26" s="26" customFormat="1" outlineLevel="1" collapsed="1" x14ac:dyDescent="0.25">
      <c r="A50" s="27"/>
      <c r="B50" s="13" t="str">
        <f>CONCATENATE("     ","*Payroll                                          ")</f>
        <v xml:space="preserve">     *Payroll                                          </v>
      </c>
      <c r="C50" s="13"/>
      <c r="D50" s="1">
        <f>SUM(OSRRefD22_1x_0)</f>
        <v>20840.240000000002</v>
      </c>
      <c r="E50" s="1"/>
      <c r="F50" s="5">
        <f t="shared" ref="F50:F54" si="27">IF(D$12=0,0,D50/D$12)</f>
        <v>0.70462157456088459</v>
      </c>
      <c r="G50" s="1"/>
      <c r="H50" s="1">
        <f>SUM(OSRRefH22_1x_0)</f>
        <v>22550.149999999998</v>
      </c>
      <c r="I50" s="1"/>
      <c r="J50" s="5">
        <f t="shared" ref="J50:J54" si="28">IF(H$12=0,0,H50/H$12)</f>
        <v>0.24377151701735475</v>
      </c>
      <c r="K50" s="1"/>
      <c r="L50" s="1">
        <f t="shared" ref="L50:L54" si="29">+D50-H50</f>
        <v>-1709.9099999999962</v>
      </c>
      <c r="M50" s="1"/>
      <c r="N50" s="5">
        <f t="shared" ref="N50:N54" si="30">IF(H50=0,0,L50/H50)</f>
        <v>-7.582699006436748E-2</v>
      </c>
      <c r="O50" s="13"/>
      <c r="P50" s="1">
        <f>SUM(OSRRefP22_1x_0)</f>
        <v>108103.56999999999</v>
      </c>
      <c r="Q50" s="1"/>
      <c r="R50" s="5">
        <f t="shared" ref="R50:R54" si="31">IF(P$12=0,0,P50/P$12)</f>
        <v>1.0354131200229257</v>
      </c>
      <c r="S50" s="1"/>
      <c r="T50" s="1">
        <f>SUM(OSRRefT22_1x_0)</f>
        <v>126397.31999999999</v>
      </c>
      <c r="U50" s="1"/>
      <c r="V50" s="5">
        <f t="shared" ref="V50:V54" si="32">IF(T$12=0,0,T50/T$12)</f>
        <v>0.31587494955327605</v>
      </c>
      <c r="W50" s="1"/>
      <c r="X50" s="1">
        <f t="shared" ref="X50:X54" si="33">+P50-T50</f>
        <v>-18293.75</v>
      </c>
      <c r="Y50" s="1"/>
      <c r="Z50" s="5">
        <f t="shared" ref="Z50:Z54" si="34">IF(T50=0,0,X50/T50)</f>
        <v>-0.14473210349713111</v>
      </c>
    </row>
    <row r="51" spans="1:26" s="24" customFormat="1" hidden="1" outlineLevel="2" x14ac:dyDescent="0.25">
      <c r="A51" s="25"/>
      <c r="B51" s="11" t="str">
        <f>CONCATENATE("          ", "6002", " - ", "STAFF SALARIES")</f>
        <v xml:space="preserve">          6002 - STAFF SALARIES</v>
      </c>
      <c r="C51" s="11"/>
      <c r="D51" s="6">
        <v>19715.72</v>
      </c>
      <c r="E51" s="2"/>
      <c r="F51" s="7">
        <f t="shared" si="27"/>
        <v>0.66660084864672975</v>
      </c>
      <c r="G51" s="2"/>
      <c r="H51" s="6">
        <v>14900.849999999999</v>
      </c>
      <c r="I51" s="2"/>
      <c r="J51" s="7">
        <f t="shared" si="28"/>
        <v>0.16108109300151222</v>
      </c>
      <c r="K51" s="2"/>
      <c r="L51" s="6">
        <f t="shared" si="29"/>
        <v>4814.8700000000026</v>
      </c>
      <c r="M51" s="2"/>
      <c r="N51" s="7">
        <f t="shared" si="30"/>
        <v>0.32312720415278345</v>
      </c>
      <c r="O51" s="11"/>
      <c r="P51" s="6">
        <v>102746.43</v>
      </c>
      <c r="Q51" s="2"/>
      <c r="R51" s="7">
        <f t="shared" si="31"/>
        <v>0.98410257549789648</v>
      </c>
      <c r="S51" s="2"/>
      <c r="T51" s="6">
        <v>84366.61</v>
      </c>
      <c r="U51" s="2"/>
      <c r="V51" s="7">
        <f t="shared" si="32"/>
        <v>0.2108375294486538</v>
      </c>
      <c r="W51" s="2"/>
      <c r="X51" s="6">
        <f t="shared" si="33"/>
        <v>18379.819999999992</v>
      </c>
      <c r="Y51" s="2"/>
      <c r="Z51" s="7">
        <f t="shared" si="34"/>
        <v>0.21785656671519682</v>
      </c>
    </row>
    <row r="52" spans="1:26" s="24" customFormat="1" hidden="1" outlineLevel="2" x14ac:dyDescent="0.25">
      <c r="A52" s="25"/>
      <c r="B52" s="11" t="str">
        <f>CONCATENATE("          ", "6005", " - ", "TEMPORARY WAGES-HOURLY")</f>
        <v xml:space="preserve">          6005 - TEMPORARY WAGES-HOURLY</v>
      </c>
      <c r="C52" s="11"/>
      <c r="D52" s="6"/>
      <c r="E52" s="2"/>
      <c r="F52" s="7">
        <f t="shared" si="27"/>
        <v>0</v>
      </c>
      <c r="G52" s="2"/>
      <c r="H52" s="6">
        <v>2285.92</v>
      </c>
      <c r="I52" s="2"/>
      <c r="J52" s="7">
        <f t="shared" si="28"/>
        <v>2.4711240775795801E-2</v>
      </c>
      <c r="K52" s="2"/>
      <c r="L52" s="6">
        <f t="shared" si="29"/>
        <v>-2285.92</v>
      </c>
      <c r="M52" s="2"/>
      <c r="N52" s="7">
        <f t="shared" si="30"/>
        <v>-1</v>
      </c>
      <c r="O52" s="11"/>
      <c r="P52" s="6">
        <v>383.25</v>
      </c>
      <c r="Q52" s="2"/>
      <c r="R52" s="7">
        <f t="shared" si="31"/>
        <v>3.6707583130583597E-3</v>
      </c>
      <c r="S52" s="2"/>
      <c r="T52" s="6">
        <v>14143.92</v>
      </c>
      <c r="U52" s="2"/>
      <c r="V52" s="7">
        <f t="shared" si="32"/>
        <v>3.5346556528932517E-2</v>
      </c>
      <c r="W52" s="2"/>
      <c r="X52" s="6">
        <f t="shared" si="33"/>
        <v>-13760.67</v>
      </c>
      <c r="Y52" s="2"/>
      <c r="Z52" s="7">
        <f t="shared" si="34"/>
        <v>-0.97290355149067587</v>
      </c>
    </row>
    <row r="53" spans="1:26" s="24" customFormat="1" hidden="1" outlineLevel="2" x14ac:dyDescent="0.25">
      <c r="A53" s="25"/>
      <c r="B53" s="11" t="str">
        <f>CONCATENATE("          ", "6006", " - ", "TEMPORARY PART TIME")</f>
        <v xml:space="preserve">          6006 - TEMPORARY PART TIME</v>
      </c>
      <c r="C53" s="11"/>
      <c r="D53" s="6"/>
      <c r="E53" s="2"/>
      <c r="F53" s="7">
        <f t="shared" si="27"/>
        <v>0</v>
      </c>
      <c r="G53" s="2"/>
      <c r="H53" s="6">
        <v>120.31</v>
      </c>
      <c r="I53" s="2"/>
      <c r="J53" s="7">
        <f t="shared" si="28"/>
        <v>1.3005745510499024E-3</v>
      </c>
      <c r="K53" s="2"/>
      <c r="L53" s="6">
        <f t="shared" si="29"/>
        <v>-120.31</v>
      </c>
      <c r="M53" s="2"/>
      <c r="N53" s="7">
        <f t="shared" si="30"/>
        <v>-1</v>
      </c>
      <c r="O53" s="11"/>
      <c r="P53" s="6"/>
      <c r="Q53" s="2"/>
      <c r="R53" s="7">
        <f t="shared" si="31"/>
        <v>0</v>
      </c>
      <c r="S53" s="2"/>
      <c r="T53" s="6">
        <v>177.68</v>
      </c>
      <c r="U53" s="2"/>
      <c r="V53" s="7">
        <f t="shared" si="32"/>
        <v>4.440336316990431E-4</v>
      </c>
      <c r="W53" s="2"/>
      <c r="X53" s="6">
        <f t="shared" si="33"/>
        <v>-177.68</v>
      </c>
      <c r="Y53" s="2"/>
      <c r="Z53" s="7">
        <f t="shared" si="34"/>
        <v>-1</v>
      </c>
    </row>
    <row r="54" spans="1:26" s="24" customFormat="1" hidden="1" outlineLevel="2" x14ac:dyDescent="0.25">
      <c r="A54" s="25"/>
      <c r="B54" s="11" t="str">
        <f>CONCATENATE("          ", "6007", " - ", "STUDENT HOURLY")</f>
        <v xml:space="preserve">          6007 - STUDENT HOURLY</v>
      </c>
      <c r="C54" s="11"/>
      <c r="D54" s="6">
        <v>1124.52</v>
      </c>
      <c r="E54" s="2"/>
      <c r="F54" s="7">
        <f t="shared" si="27"/>
        <v>3.802072591415482E-2</v>
      </c>
      <c r="G54" s="2"/>
      <c r="H54" s="6">
        <v>5243.07</v>
      </c>
      <c r="I54" s="2"/>
      <c r="J54" s="7">
        <f t="shared" si="28"/>
        <v>5.6678608688996851E-2</v>
      </c>
      <c r="K54" s="2"/>
      <c r="L54" s="6">
        <f t="shared" si="29"/>
        <v>-4118.5499999999993</v>
      </c>
      <c r="M54" s="2"/>
      <c r="N54" s="7">
        <f t="shared" si="30"/>
        <v>-0.78552260412315678</v>
      </c>
      <c r="O54" s="11"/>
      <c r="P54" s="6">
        <v>4973.8900000000003</v>
      </c>
      <c r="Q54" s="2"/>
      <c r="R54" s="7">
        <f t="shared" si="31"/>
        <v>4.7639786211970896E-2</v>
      </c>
      <c r="S54" s="2"/>
      <c r="T54" s="6">
        <v>27709.11</v>
      </c>
      <c r="U54" s="2"/>
      <c r="V54" s="7">
        <f t="shared" si="32"/>
        <v>6.9246829943990729E-2</v>
      </c>
      <c r="W54" s="2"/>
      <c r="X54" s="6">
        <f t="shared" si="33"/>
        <v>-22735.22</v>
      </c>
      <c r="Y54" s="2"/>
      <c r="Z54" s="7">
        <f t="shared" si="34"/>
        <v>-0.82049621947438944</v>
      </c>
    </row>
    <row r="55" spans="1:26" s="26" customFormat="1" outlineLevel="1" collapsed="1" x14ac:dyDescent="0.25">
      <c r="A55" s="27"/>
      <c r="B55" s="13" t="str">
        <f>CONCATENATE("     ","Advertising/Promo                                 ")</f>
        <v xml:space="preserve">     Advertising/Promo                                 </v>
      </c>
      <c r="C55" s="13"/>
      <c r="D55" s="1">
        <f>SUM(OSRRefD22_2x_0)</f>
        <v>0</v>
      </c>
      <c r="E55" s="1"/>
      <c r="F55" s="5">
        <f t="shared" ref="F55:F65" si="35">IF(D$12=0,0,D55/D$12)</f>
        <v>0</v>
      </c>
      <c r="G55" s="1"/>
      <c r="H55" s="1">
        <f>SUM(OSRRefH22_2x_0)</f>
        <v>353.5</v>
      </c>
      <c r="I55" s="1"/>
      <c r="J55" s="5">
        <f t="shared" ref="J55:J65" si="36">IF(H$12=0,0,H55/H$12)</f>
        <v>3.8214039048802299E-3</v>
      </c>
      <c r="K55" s="1"/>
      <c r="L55" s="1">
        <f t="shared" ref="L55:L65" si="37">+D55-H55</f>
        <v>-353.5</v>
      </c>
      <c r="M55" s="1"/>
      <c r="N55" s="5">
        <f t="shared" ref="N55:N65" si="38">IF(H55=0,0,L55/H55)</f>
        <v>-1</v>
      </c>
      <c r="O55" s="13"/>
      <c r="P55" s="1">
        <f>SUM(OSRRefP22_2x_0)</f>
        <v>0</v>
      </c>
      <c r="Q55" s="1"/>
      <c r="R55" s="5">
        <f t="shared" ref="R55:R65" si="39">IF(P$12=0,0,P55/P$12)</f>
        <v>0</v>
      </c>
      <c r="S55" s="1"/>
      <c r="T55" s="1">
        <f>SUM(OSRRefT22_2x_0)</f>
        <v>-106.46</v>
      </c>
      <c r="U55" s="1"/>
      <c r="V55" s="5">
        <f t="shared" ref="V55:V65" si="40">IF(T$12=0,0,T55/T$12)</f>
        <v>-2.660503175972542E-4</v>
      </c>
      <c r="W55" s="1"/>
      <c r="X55" s="1">
        <f t="shared" ref="X55:X65" si="41">+P55-T55</f>
        <v>106.46</v>
      </c>
      <c r="Y55" s="1"/>
      <c r="Z55" s="5">
        <f t="shared" ref="Z55:Z65" si="42">IF(T55=0,0,X55/T55)</f>
        <v>-1</v>
      </c>
    </row>
    <row r="56" spans="1:26" s="24" customFormat="1" hidden="1" outlineLevel="2" x14ac:dyDescent="0.25">
      <c r="A56" s="25"/>
      <c r="B56" s="11" t="str">
        <f>CONCATENATE("          ", "6362", " - ", "ADVERTISING EXPENSE")</f>
        <v xml:space="preserve">          6362 - ADVERTISING EXPENSE</v>
      </c>
      <c r="C56" s="11"/>
      <c r="D56" s="6"/>
      <c r="E56" s="2"/>
      <c r="F56" s="7">
        <f t="shared" si="35"/>
        <v>0</v>
      </c>
      <c r="G56" s="2"/>
      <c r="H56" s="6">
        <v>353.5</v>
      </c>
      <c r="I56" s="2"/>
      <c r="J56" s="7">
        <f t="shared" si="36"/>
        <v>3.8214039048802299E-3</v>
      </c>
      <c r="K56" s="2"/>
      <c r="L56" s="6">
        <f t="shared" si="37"/>
        <v>-353.5</v>
      </c>
      <c r="M56" s="2"/>
      <c r="N56" s="7">
        <f t="shared" si="38"/>
        <v>-1</v>
      </c>
      <c r="O56" s="11"/>
      <c r="P56" s="6"/>
      <c r="Q56" s="2"/>
      <c r="R56" s="7">
        <f t="shared" si="39"/>
        <v>0</v>
      </c>
      <c r="S56" s="2"/>
      <c r="T56" s="6">
        <v>-106.46</v>
      </c>
      <c r="U56" s="2"/>
      <c r="V56" s="7">
        <f t="shared" si="40"/>
        <v>-2.660503175972542E-4</v>
      </c>
      <c r="W56" s="2"/>
      <c r="X56" s="6">
        <f t="shared" si="41"/>
        <v>106.46</v>
      </c>
      <c r="Y56" s="2"/>
      <c r="Z56" s="7">
        <f t="shared" si="42"/>
        <v>-1</v>
      </c>
    </row>
    <row r="57" spans="1:26" s="26" customFormat="1" outlineLevel="1" collapsed="1" x14ac:dyDescent="0.25">
      <c r="A57" s="27"/>
      <c r="B57" s="13" t="str">
        <f>CONCATENATE("     ","Depreciation                                      ")</f>
        <v xml:space="preserve">     Depreciation                                      </v>
      </c>
      <c r="C57" s="13"/>
      <c r="D57" s="1">
        <f>SUM(OSRRefD22_3x_0)</f>
        <v>169.88</v>
      </c>
      <c r="E57" s="1"/>
      <c r="F57" s="5">
        <f t="shared" si="35"/>
        <v>5.743749260392542E-3</v>
      </c>
      <c r="G57" s="1"/>
      <c r="H57" s="1">
        <f>SUM(OSRRefH22_3x_0)</f>
        <v>169.88</v>
      </c>
      <c r="I57" s="1"/>
      <c r="J57" s="5">
        <f t="shared" si="36"/>
        <v>1.8364359133268839E-3</v>
      </c>
      <c r="K57" s="1"/>
      <c r="L57" s="1">
        <f t="shared" si="37"/>
        <v>0</v>
      </c>
      <c r="M57" s="1"/>
      <c r="N57" s="5">
        <f t="shared" si="38"/>
        <v>0</v>
      </c>
      <c r="O57" s="13"/>
      <c r="P57" s="1">
        <f>SUM(OSRRefP22_3x_0)</f>
        <v>1189.1600000000001</v>
      </c>
      <c r="Q57" s="1"/>
      <c r="R57" s="5">
        <f t="shared" si="39"/>
        <v>1.1389742871641174E-2</v>
      </c>
      <c r="S57" s="1"/>
      <c r="T57" s="1">
        <f>SUM(OSRRefT22_3x_0)</f>
        <v>339.76</v>
      </c>
      <c r="U57" s="1"/>
      <c r="V57" s="5">
        <f t="shared" si="40"/>
        <v>8.490818702502639E-4</v>
      </c>
      <c r="W57" s="1"/>
      <c r="X57" s="1">
        <f t="shared" si="41"/>
        <v>849.40000000000009</v>
      </c>
      <c r="Y57" s="1"/>
      <c r="Z57" s="5">
        <f t="shared" si="42"/>
        <v>2.5000000000000004</v>
      </c>
    </row>
    <row r="58" spans="1:26" s="24" customFormat="1" hidden="1" outlineLevel="2" x14ac:dyDescent="0.25">
      <c r="A58" s="25"/>
      <c r="B58" s="11" t="str">
        <f>CONCATENATE("          ", "6322", " - ", "EQUIPMENT DEPRECIATION EXPENSE")</f>
        <v xml:space="preserve">          6322 - EQUIPMENT DEPRECIATION EXPENSE</v>
      </c>
      <c r="C58" s="11"/>
      <c r="D58" s="6">
        <v>169.88</v>
      </c>
      <c r="E58" s="2"/>
      <c r="F58" s="7">
        <f t="shared" si="35"/>
        <v>5.743749260392542E-3</v>
      </c>
      <c r="G58" s="2"/>
      <c r="H58" s="6">
        <v>169.88</v>
      </c>
      <c r="I58" s="2"/>
      <c r="J58" s="7">
        <f t="shared" si="36"/>
        <v>1.8364359133268839E-3</v>
      </c>
      <c r="K58" s="2"/>
      <c r="L58" s="6">
        <f t="shared" si="37"/>
        <v>0</v>
      </c>
      <c r="M58" s="2"/>
      <c r="N58" s="7">
        <f t="shared" si="38"/>
        <v>0</v>
      </c>
      <c r="O58" s="11"/>
      <c r="P58" s="6">
        <v>1189.1600000000001</v>
      </c>
      <c r="Q58" s="2"/>
      <c r="R58" s="7">
        <f t="shared" si="39"/>
        <v>1.1389742871641174E-2</v>
      </c>
      <c r="S58" s="2"/>
      <c r="T58" s="6">
        <v>339.76</v>
      </c>
      <c r="U58" s="2"/>
      <c r="V58" s="7">
        <f t="shared" si="40"/>
        <v>8.490818702502639E-4</v>
      </c>
      <c r="W58" s="2"/>
      <c r="X58" s="6">
        <f t="shared" si="41"/>
        <v>849.40000000000009</v>
      </c>
      <c r="Y58" s="2"/>
      <c r="Z58" s="7">
        <f t="shared" si="42"/>
        <v>2.5000000000000004</v>
      </c>
    </row>
    <row r="59" spans="1:26" s="26" customFormat="1" outlineLevel="1" collapsed="1" x14ac:dyDescent="0.25">
      <c r="A59" s="27"/>
      <c r="B59" s="13" t="str">
        <f>CONCATENATE("     ","Discounts and Markdowns                           ")</f>
        <v xml:space="preserve">     Discounts and Markdowns                           </v>
      </c>
      <c r="C59" s="13"/>
      <c r="D59" s="1">
        <f>SUM(OSRRefD22_4x_0)</f>
        <v>0</v>
      </c>
      <c r="E59" s="1"/>
      <c r="F59" s="5">
        <f t="shared" si="35"/>
        <v>0</v>
      </c>
      <c r="G59" s="1"/>
      <c r="H59" s="1">
        <f>SUM(OSRRefH22_4x_0)</f>
        <v>170.62</v>
      </c>
      <c r="I59" s="1"/>
      <c r="J59" s="5">
        <f t="shared" si="36"/>
        <v>1.8444354575690659E-3</v>
      </c>
      <c r="K59" s="1"/>
      <c r="L59" s="1">
        <f t="shared" si="37"/>
        <v>-170.62</v>
      </c>
      <c r="M59" s="1"/>
      <c r="N59" s="5">
        <f t="shared" si="38"/>
        <v>-1</v>
      </c>
      <c r="O59" s="13"/>
      <c r="P59" s="1">
        <f>SUM(OSRRefP22_4x_0)</f>
        <v>0</v>
      </c>
      <c r="Q59" s="1"/>
      <c r="R59" s="5">
        <f t="shared" si="39"/>
        <v>0</v>
      </c>
      <c r="S59" s="1"/>
      <c r="T59" s="1">
        <f>SUM(OSRRefT22_4x_0)</f>
        <v>922.18</v>
      </c>
      <c r="U59" s="1"/>
      <c r="V59" s="5">
        <f t="shared" si="40"/>
        <v>2.3045865290422306E-3</v>
      </c>
      <c r="W59" s="1"/>
      <c r="X59" s="1">
        <f t="shared" si="41"/>
        <v>-922.18</v>
      </c>
      <c r="Y59" s="1"/>
      <c r="Z59" s="5">
        <f t="shared" si="42"/>
        <v>-1</v>
      </c>
    </row>
    <row r="60" spans="1:26" s="24" customFormat="1" hidden="1" outlineLevel="2" x14ac:dyDescent="0.25">
      <c r="A60" s="25"/>
      <c r="B60" s="11" t="str">
        <f>CONCATENATE("          ", "6382", " - ", "DISCOUNTS/MARK DOWNS")</f>
        <v xml:space="preserve">          6382 - DISCOUNTS/MARK DOWNS</v>
      </c>
      <c r="C60" s="11"/>
      <c r="D60" s="6"/>
      <c r="E60" s="2"/>
      <c r="F60" s="7">
        <f t="shared" si="35"/>
        <v>0</v>
      </c>
      <c r="G60" s="2"/>
      <c r="H60" s="6">
        <v>170.62</v>
      </c>
      <c r="I60" s="2"/>
      <c r="J60" s="7">
        <f t="shared" si="36"/>
        <v>1.8444354575690659E-3</v>
      </c>
      <c r="K60" s="2"/>
      <c r="L60" s="6">
        <f t="shared" si="37"/>
        <v>-170.62</v>
      </c>
      <c r="M60" s="2"/>
      <c r="N60" s="7">
        <f t="shared" si="38"/>
        <v>-1</v>
      </c>
      <c r="O60" s="11"/>
      <c r="P60" s="6"/>
      <c r="Q60" s="2"/>
      <c r="R60" s="7">
        <f t="shared" si="39"/>
        <v>0</v>
      </c>
      <c r="S60" s="2"/>
      <c r="T60" s="6">
        <v>922.18</v>
      </c>
      <c r="U60" s="2"/>
      <c r="V60" s="7">
        <f t="shared" si="40"/>
        <v>2.3045865290422306E-3</v>
      </c>
      <c r="W60" s="2"/>
      <c r="X60" s="6">
        <f t="shared" si="41"/>
        <v>-922.18</v>
      </c>
      <c r="Y60" s="2"/>
      <c r="Z60" s="7">
        <f t="shared" si="42"/>
        <v>-1</v>
      </c>
    </row>
    <row r="61" spans="1:26" s="26" customFormat="1" outlineLevel="1" collapsed="1" x14ac:dyDescent="0.25">
      <c r="A61" s="27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SUM(OSRRefD22_5x_0)</f>
        <v>1205.6400000000001</v>
      </c>
      <c r="E61" s="1"/>
      <c r="F61" s="5">
        <f t="shared" si="35"/>
        <v>4.0763443950433631E-2</v>
      </c>
      <c r="G61" s="1"/>
      <c r="H61" s="1">
        <f>SUM(OSRRefH22_5x_0)</f>
        <v>1205.6400000000001</v>
      </c>
      <c r="I61" s="1"/>
      <c r="J61" s="5">
        <f t="shared" si="36"/>
        <v>1.3033203405600567E-2</v>
      </c>
      <c r="K61" s="1"/>
      <c r="L61" s="1">
        <f t="shared" si="37"/>
        <v>0</v>
      </c>
      <c r="M61" s="1"/>
      <c r="N61" s="5">
        <f t="shared" si="38"/>
        <v>0</v>
      </c>
      <c r="O61" s="13"/>
      <c r="P61" s="1">
        <f>SUM(OSRRefP22_5x_0)</f>
        <v>8439.48</v>
      </c>
      <c r="Q61" s="1"/>
      <c r="R61" s="5">
        <f t="shared" si="39"/>
        <v>8.0833115115172258E-2</v>
      </c>
      <c r="S61" s="1"/>
      <c r="T61" s="1">
        <f>SUM(OSRRefT22_5x_0)</f>
        <v>11137.8</v>
      </c>
      <c r="U61" s="1"/>
      <c r="V61" s="5">
        <f t="shared" si="40"/>
        <v>2.7834071269347151E-2</v>
      </c>
      <c r="W61" s="1"/>
      <c r="X61" s="1">
        <f t="shared" si="41"/>
        <v>-2698.3199999999997</v>
      </c>
      <c r="Y61" s="1"/>
      <c r="Z61" s="5">
        <f t="shared" si="42"/>
        <v>-0.24226687496633087</v>
      </c>
    </row>
    <row r="62" spans="1:26" s="24" customFormat="1" hidden="1" outlineLevel="2" x14ac:dyDescent="0.25">
      <c r="A62" s="25"/>
      <c r="B62" s="11" t="str">
        <f>CONCATENATE("          ", "6351", " - ", "EQUIPMENT RENTAL")</f>
        <v xml:space="preserve">          6351 - EQUIPMENT RENTAL</v>
      </c>
      <c r="C62" s="11"/>
      <c r="D62" s="6">
        <v>1205.6400000000001</v>
      </c>
      <c r="E62" s="2"/>
      <c r="F62" s="7">
        <f t="shared" si="35"/>
        <v>4.0763443950433631E-2</v>
      </c>
      <c r="G62" s="2"/>
      <c r="H62" s="6">
        <v>1205.6400000000001</v>
      </c>
      <c r="I62" s="2"/>
      <c r="J62" s="7">
        <f t="shared" si="36"/>
        <v>1.3033203405600567E-2</v>
      </c>
      <c r="K62" s="2"/>
      <c r="L62" s="6">
        <f t="shared" si="37"/>
        <v>0</v>
      </c>
      <c r="M62" s="2"/>
      <c r="N62" s="7">
        <f t="shared" si="38"/>
        <v>0</v>
      </c>
      <c r="O62" s="11"/>
      <c r="P62" s="6">
        <v>8439.48</v>
      </c>
      <c r="Q62" s="2"/>
      <c r="R62" s="7">
        <f t="shared" si="39"/>
        <v>8.0833115115172258E-2</v>
      </c>
      <c r="S62" s="2"/>
      <c r="T62" s="6">
        <v>11137.8</v>
      </c>
      <c r="U62" s="2"/>
      <c r="V62" s="7">
        <f t="shared" si="40"/>
        <v>2.7834071269347151E-2</v>
      </c>
      <c r="W62" s="2"/>
      <c r="X62" s="6">
        <f t="shared" si="41"/>
        <v>-2698.3199999999997</v>
      </c>
      <c r="Y62" s="2"/>
      <c r="Z62" s="7">
        <f t="shared" si="42"/>
        <v>-0.24226687496633087</v>
      </c>
    </row>
    <row r="63" spans="1:26" s="26" customFormat="1" outlineLevel="1" collapsed="1" x14ac:dyDescent="0.25">
      <c r="A63" s="27"/>
      <c r="B63" s="13" t="str">
        <f>CONCATENATE("     ","Freight out/Postage                               ")</f>
        <v xml:space="preserve">     Freight out/Postage                               </v>
      </c>
      <c r="C63" s="13"/>
      <c r="D63" s="1">
        <f>SUM(OSRRefD22_6x_0)</f>
        <v>-23491.679999999997</v>
      </c>
      <c r="E63" s="1"/>
      <c r="F63" s="5">
        <f t="shared" si="35"/>
        <v>-0.79426842256521224</v>
      </c>
      <c r="G63" s="1"/>
      <c r="H63" s="1">
        <f>SUM(OSRRefH22_6x_0)</f>
        <v>-13804.1</v>
      </c>
      <c r="I63" s="1"/>
      <c r="J63" s="5">
        <f t="shared" si="36"/>
        <v>-0.14922501172095384</v>
      </c>
      <c r="K63" s="1"/>
      <c r="L63" s="1">
        <f t="shared" si="37"/>
        <v>-9687.5799999999963</v>
      </c>
      <c r="M63" s="1"/>
      <c r="N63" s="5">
        <f t="shared" si="38"/>
        <v>0.70179004788432398</v>
      </c>
      <c r="O63" s="13"/>
      <c r="P63" s="1">
        <f>SUM(OSRRefP22_6x_0)</f>
        <v>-48225.559999999969</v>
      </c>
      <c r="Q63" s="1"/>
      <c r="R63" s="5">
        <f t="shared" si="39"/>
        <v>-0.46190313182490439</v>
      </c>
      <c r="S63" s="1"/>
      <c r="T63" s="1">
        <f>SUM(OSRRefT22_6x_0)</f>
        <v>-19688.419999999998</v>
      </c>
      <c r="U63" s="1"/>
      <c r="V63" s="5">
        <f t="shared" si="40"/>
        <v>-4.9202615010221037E-2</v>
      </c>
      <c r="W63" s="1"/>
      <c r="X63" s="1">
        <f t="shared" si="41"/>
        <v>-28537.13999999997</v>
      </c>
      <c r="Y63" s="1"/>
      <c r="Z63" s="5">
        <f t="shared" si="42"/>
        <v>1.4494377913514631</v>
      </c>
    </row>
    <row r="64" spans="1:26" s="24" customFormat="1" hidden="1" outlineLevel="2" x14ac:dyDescent="0.25">
      <c r="A64" s="25"/>
      <c r="B64" s="11" t="str">
        <f>CONCATENATE("          ", "6305", " - ", "FREIGHT OUT")</f>
        <v xml:space="preserve">          6305 - FREIGHT OUT</v>
      </c>
      <c r="C64" s="11"/>
      <c r="D64" s="6">
        <v>18016.990000000002</v>
      </c>
      <c r="E64" s="2"/>
      <c r="F64" s="7">
        <f t="shared" si="35"/>
        <v>0.60916572278667203</v>
      </c>
      <c r="G64" s="2"/>
      <c r="H64" s="6">
        <v>2286.77</v>
      </c>
      <c r="I64" s="2"/>
      <c r="J64" s="7">
        <f t="shared" si="36"/>
        <v>2.4720429441479386E-2</v>
      </c>
      <c r="K64" s="2"/>
      <c r="L64" s="6">
        <f t="shared" si="37"/>
        <v>15730.220000000001</v>
      </c>
      <c r="M64" s="2"/>
      <c r="N64" s="7">
        <f t="shared" si="38"/>
        <v>6.878794106971843</v>
      </c>
      <c r="O64" s="11"/>
      <c r="P64" s="6">
        <v>126079.23000000001</v>
      </c>
      <c r="Q64" s="2"/>
      <c r="R64" s="7">
        <f t="shared" si="39"/>
        <v>1.2075835137025361</v>
      </c>
      <c r="S64" s="2"/>
      <c r="T64" s="6">
        <v>24971.68</v>
      </c>
      <c r="U64" s="2"/>
      <c r="V64" s="7">
        <f t="shared" si="40"/>
        <v>6.2405818100103337E-2</v>
      </c>
      <c r="W64" s="2"/>
      <c r="X64" s="6">
        <f t="shared" si="41"/>
        <v>101107.55000000002</v>
      </c>
      <c r="Y64" s="2"/>
      <c r="Z64" s="7">
        <f t="shared" si="42"/>
        <v>4.0488885809845403</v>
      </c>
    </row>
    <row r="65" spans="1:26" s="24" customFormat="1" hidden="1" outlineLevel="2" x14ac:dyDescent="0.25">
      <c r="A65" s="25"/>
      <c r="B65" s="11" t="str">
        <f>CONCATENATE("          ", "6307", " - ", "POSTAGE")</f>
        <v xml:space="preserve">          6307 - POSTAGE</v>
      </c>
      <c r="C65" s="11"/>
      <c r="D65" s="6">
        <v>-41508.67</v>
      </c>
      <c r="E65" s="2"/>
      <c r="F65" s="7">
        <f t="shared" si="35"/>
        <v>-1.4034341453518842</v>
      </c>
      <c r="G65" s="2"/>
      <c r="H65" s="6">
        <v>-16090.87</v>
      </c>
      <c r="I65" s="2"/>
      <c r="J65" s="7">
        <f t="shared" si="36"/>
        <v>-0.17394544116243324</v>
      </c>
      <c r="K65" s="2"/>
      <c r="L65" s="6">
        <f t="shared" si="37"/>
        <v>-25417.799999999996</v>
      </c>
      <c r="M65" s="2"/>
      <c r="N65" s="7">
        <f t="shared" si="38"/>
        <v>1.5796411256818303</v>
      </c>
      <c r="O65" s="11"/>
      <c r="P65" s="6">
        <v>-174304.78999999998</v>
      </c>
      <c r="Q65" s="2"/>
      <c r="R65" s="7">
        <f t="shared" si="39"/>
        <v>-1.6694866455274406</v>
      </c>
      <c r="S65" s="2"/>
      <c r="T65" s="6">
        <v>-44660.1</v>
      </c>
      <c r="U65" s="2"/>
      <c r="V65" s="7">
        <f t="shared" si="40"/>
        <v>-0.11160843311032437</v>
      </c>
      <c r="W65" s="2"/>
      <c r="X65" s="6">
        <f t="shared" si="41"/>
        <v>-129644.68999999997</v>
      </c>
      <c r="Y65" s="2"/>
      <c r="Z65" s="7">
        <f t="shared" si="42"/>
        <v>2.9029198322439935</v>
      </c>
    </row>
    <row r="66" spans="1:26" s="26" customFormat="1" outlineLevel="1" collapsed="1" x14ac:dyDescent="0.25">
      <c r="A66" s="27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SUM(OSRRefD22_7x_0)</f>
        <v>0</v>
      </c>
      <c r="E66" s="1"/>
      <c r="F66" s="5">
        <f t="shared" ref="F66:F73" si="43">IF(D$12=0,0,D66/D$12)</f>
        <v>0</v>
      </c>
      <c r="G66" s="1"/>
      <c r="H66" s="1">
        <f>SUM(OSRRefH22_7x_0)</f>
        <v>0</v>
      </c>
      <c r="I66" s="1"/>
      <c r="J66" s="5">
        <f t="shared" ref="J66:J73" si="44">IF(H$12=0,0,H66/H$12)</f>
        <v>0</v>
      </c>
      <c r="K66" s="1"/>
      <c r="L66" s="1">
        <f t="shared" ref="L66:L73" si="45">+D66-H66</f>
        <v>0</v>
      </c>
      <c r="M66" s="1"/>
      <c r="N66" s="5">
        <f t="shared" ref="N66:N73" si="46">IF(H66=0,0,L66/H66)</f>
        <v>0</v>
      </c>
      <c r="O66" s="13"/>
      <c r="P66" s="1">
        <f>SUM(OSRRefP22_7x_0)</f>
        <v>0</v>
      </c>
      <c r="Q66" s="1"/>
      <c r="R66" s="5">
        <f t="shared" ref="R66:R73" si="47">IF(P$12=0,0,P66/P$12)</f>
        <v>0</v>
      </c>
      <c r="S66" s="1"/>
      <c r="T66" s="1">
        <f>SUM(OSRRefT22_7x_0)</f>
        <v>155.16999999999999</v>
      </c>
      <c r="U66" s="1"/>
      <c r="V66" s="5">
        <f t="shared" ref="V66:V73" si="48">IF(T$12=0,0,T66/T$12)</f>
        <v>3.8777970863766611E-4</v>
      </c>
      <c r="W66" s="1"/>
      <c r="X66" s="1">
        <f t="shared" ref="X66:X73" si="49">+P66-T66</f>
        <v>-155.16999999999999</v>
      </c>
      <c r="Y66" s="1"/>
      <c r="Z66" s="5">
        <f t="shared" ref="Z66:Z73" si="50">IF(T66=0,0,X66/T66)</f>
        <v>-1</v>
      </c>
    </row>
    <row r="67" spans="1:26" s="24" customFormat="1" hidden="1" outlineLevel="2" x14ac:dyDescent="0.25">
      <c r="A67" s="25"/>
      <c r="B67" s="11" t="str">
        <f>CONCATENATE("          ", "6279", " - ", "GENERAL EXPENSE")</f>
        <v xml:space="preserve">          6279 - GENERAL EXPENSE</v>
      </c>
      <c r="C67" s="11"/>
      <c r="D67" s="6"/>
      <c r="E67" s="2"/>
      <c r="F67" s="7">
        <f t="shared" si="43"/>
        <v>0</v>
      </c>
      <c r="G67" s="2"/>
      <c r="H67" s="6"/>
      <c r="I67" s="2"/>
      <c r="J67" s="7">
        <f t="shared" si="44"/>
        <v>0</v>
      </c>
      <c r="K67" s="2"/>
      <c r="L67" s="6">
        <f t="shared" si="45"/>
        <v>0</v>
      </c>
      <c r="M67" s="2"/>
      <c r="N67" s="7">
        <f t="shared" si="46"/>
        <v>0</v>
      </c>
      <c r="O67" s="11"/>
      <c r="P67" s="6"/>
      <c r="Q67" s="2"/>
      <c r="R67" s="7">
        <f t="shared" si="47"/>
        <v>0</v>
      </c>
      <c r="S67" s="2"/>
      <c r="T67" s="6">
        <v>155.16999999999999</v>
      </c>
      <c r="U67" s="2"/>
      <c r="V67" s="7">
        <f t="shared" si="48"/>
        <v>3.8777970863766611E-4</v>
      </c>
      <c r="W67" s="2"/>
      <c r="X67" s="6">
        <f t="shared" si="49"/>
        <v>-155.16999999999999</v>
      </c>
      <c r="Y67" s="2"/>
      <c r="Z67" s="7">
        <f t="shared" si="50"/>
        <v>-1</v>
      </c>
    </row>
    <row r="68" spans="1:26" s="26" customFormat="1" outlineLevel="1" collapsed="1" x14ac:dyDescent="0.25">
      <c r="A68" s="27"/>
      <c r="B68" s="13" t="str">
        <f>CONCATENATE("     ","Inventory Adjustment                              ")</f>
        <v xml:space="preserve">     Inventory Adjustment                              </v>
      </c>
      <c r="C68" s="13"/>
      <c r="D68" s="1">
        <f>SUM(OSRRefD22_8x_0)</f>
        <v>0</v>
      </c>
      <c r="E68" s="1"/>
      <c r="F68" s="5">
        <f t="shared" si="43"/>
        <v>0</v>
      </c>
      <c r="G68" s="1"/>
      <c r="H68" s="1">
        <f>SUM(OSRRefH22_8x_0)</f>
        <v>100</v>
      </c>
      <c r="I68" s="1"/>
      <c r="J68" s="5">
        <f t="shared" si="44"/>
        <v>1.0810194921867693E-3</v>
      </c>
      <c r="K68" s="1"/>
      <c r="L68" s="1">
        <f t="shared" si="45"/>
        <v>-100</v>
      </c>
      <c r="M68" s="1"/>
      <c r="N68" s="5">
        <f t="shared" si="46"/>
        <v>-1</v>
      </c>
      <c r="O68" s="13"/>
      <c r="P68" s="1">
        <f>SUM(OSRRefP22_8x_0)</f>
        <v>0</v>
      </c>
      <c r="Q68" s="1"/>
      <c r="R68" s="5">
        <f t="shared" si="47"/>
        <v>0</v>
      </c>
      <c r="S68" s="1"/>
      <c r="T68" s="1">
        <f>SUM(OSRRefT22_8x_0)</f>
        <v>600</v>
      </c>
      <c r="U68" s="1"/>
      <c r="V68" s="5">
        <f t="shared" si="48"/>
        <v>1.4994381979931666E-3</v>
      </c>
      <c r="W68" s="1"/>
      <c r="X68" s="1">
        <f t="shared" si="49"/>
        <v>-600</v>
      </c>
      <c r="Y68" s="1"/>
      <c r="Z68" s="5">
        <f t="shared" si="50"/>
        <v>-1</v>
      </c>
    </row>
    <row r="69" spans="1:26" s="24" customFormat="1" hidden="1" outlineLevel="2" x14ac:dyDescent="0.25">
      <c r="A69" s="25"/>
      <c r="B69" s="11" t="str">
        <f>CONCATENATE("          ", "6408", " - ", "INVENTORY ADJUSTMENT")</f>
        <v xml:space="preserve">          6408 - INVENTORY ADJUSTMENT</v>
      </c>
      <c r="C69" s="11"/>
      <c r="D69" s="6"/>
      <c r="E69" s="2"/>
      <c r="F69" s="7">
        <f t="shared" si="43"/>
        <v>0</v>
      </c>
      <c r="G69" s="2"/>
      <c r="H69" s="6">
        <v>100</v>
      </c>
      <c r="I69" s="2"/>
      <c r="J69" s="7">
        <f t="shared" si="44"/>
        <v>1.0810194921867693E-3</v>
      </c>
      <c r="K69" s="2"/>
      <c r="L69" s="6">
        <f t="shared" si="45"/>
        <v>-100</v>
      </c>
      <c r="M69" s="2"/>
      <c r="N69" s="7">
        <f t="shared" si="46"/>
        <v>-1</v>
      </c>
      <c r="O69" s="11"/>
      <c r="P69" s="6"/>
      <c r="Q69" s="2"/>
      <c r="R69" s="7">
        <f t="shared" si="47"/>
        <v>0</v>
      </c>
      <c r="S69" s="2"/>
      <c r="T69" s="6">
        <v>600</v>
      </c>
      <c r="U69" s="2"/>
      <c r="V69" s="7">
        <f t="shared" si="48"/>
        <v>1.4994381979931666E-3</v>
      </c>
      <c r="W69" s="2"/>
      <c r="X69" s="6">
        <f t="shared" si="49"/>
        <v>-600</v>
      </c>
      <c r="Y69" s="2"/>
      <c r="Z69" s="7">
        <f t="shared" si="50"/>
        <v>-1</v>
      </c>
    </row>
    <row r="70" spans="1:26" s="26" customFormat="1" outlineLevel="1" collapsed="1" x14ac:dyDescent="0.25">
      <c r="A70" s="27"/>
      <c r="B70" s="13" t="str">
        <f>CONCATENATE("     ","Repair and Maintenance                            ")</f>
        <v xml:space="preserve">     Repair and Maintenance                            </v>
      </c>
      <c r="C70" s="13"/>
      <c r="D70" s="1">
        <f>SUM(OSRRefD22_9x_0)</f>
        <v>1053.08</v>
      </c>
      <c r="E70" s="1"/>
      <c r="F70" s="5">
        <f t="shared" si="43"/>
        <v>3.5605294744138087E-2</v>
      </c>
      <c r="G70" s="1"/>
      <c r="H70" s="1">
        <f>SUM(OSRRefH22_9x_0)</f>
        <v>9249.09</v>
      </c>
      <c r="I70" s="1"/>
      <c r="J70" s="5">
        <f t="shared" si="44"/>
        <v>9.9984465749897278E-2</v>
      </c>
      <c r="K70" s="1"/>
      <c r="L70" s="1">
        <f t="shared" si="45"/>
        <v>-8196.01</v>
      </c>
      <c r="M70" s="1"/>
      <c r="N70" s="5">
        <f t="shared" si="46"/>
        <v>-0.88614231237883945</v>
      </c>
      <c r="O70" s="13"/>
      <c r="P70" s="1">
        <f>SUM(OSRRefP22_9x_0)</f>
        <v>30432.589999999997</v>
      </c>
      <c r="Q70" s="1"/>
      <c r="R70" s="5">
        <f t="shared" si="47"/>
        <v>0.29148253810931951</v>
      </c>
      <c r="S70" s="1"/>
      <c r="T70" s="1">
        <f>SUM(OSRRefT22_9x_0)</f>
        <v>45765.26</v>
      </c>
      <c r="U70" s="1"/>
      <c r="V70" s="5">
        <f t="shared" si="48"/>
        <v>0.11437029830848126</v>
      </c>
      <c r="W70" s="1"/>
      <c r="X70" s="1">
        <f t="shared" si="49"/>
        <v>-15332.670000000006</v>
      </c>
      <c r="Y70" s="1"/>
      <c r="Z70" s="5">
        <f t="shared" si="50"/>
        <v>-0.33502857844574696</v>
      </c>
    </row>
    <row r="71" spans="1:26" s="24" customFormat="1" hidden="1" outlineLevel="2" x14ac:dyDescent="0.25">
      <c r="A71" s="25"/>
      <c r="B71" s="11" t="str">
        <f>CONCATENATE("          ", "6371", " - ", "COMPUTER SOFTWARE MAINTENANCE")</f>
        <v xml:space="preserve">          6371 - COMPUTER SOFTWARE MAINTENANCE</v>
      </c>
      <c r="C71" s="11"/>
      <c r="D71" s="6"/>
      <c r="E71" s="2"/>
      <c r="F71" s="7">
        <f t="shared" si="43"/>
        <v>0</v>
      </c>
      <c r="G71" s="2"/>
      <c r="H71" s="6"/>
      <c r="I71" s="2"/>
      <c r="J71" s="7">
        <f t="shared" si="44"/>
        <v>0</v>
      </c>
      <c r="K71" s="2"/>
      <c r="L71" s="6">
        <f t="shared" si="45"/>
        <v>0</v>
      </c>
      <c r="M71" s="2"/>
      <c r="N71" s="7">
        <f t="shared" si="46"/>
        <v>0</v>
      </c>
      <c r="O71" s="11"/>
      <c r="P71" s="6">
        <v>7.69</v>
      </c>
      <c r="Q71" s="2"/>
      <c r="R71" s="7">
        <f t="shared" si="47"/>
        <v>7.365461559665698E-5</v>
      </c>
      <c r="S71" s="2"/>
      <c r="T71" s="6"/>
      <c r="U71" s="2"/>
      <c r="V71" s="7">
        <f t="shared" si="48"/>
        <v>0</v>
      </c>
      <c r="W71" s="2"/>
      <c r="X71" s="6">
        <f t="shared" si="49"/>
        <v>7.69</v>
      </c>
      <c r="Y71" s="2"/>
      <c r="Z71" s="7">
        <f t="shared" si="50"/>
        <v>0</v>
      </c>
    </row>
    <row r="72" spans="1:26" s="24" customFormat="1" hidden="1" outlineLevel="2" x14ac:dyDescent="0.25">
      <c r="A72" s="25"/>
      <c r="B72" s="11" t="str">
        <f>CONCATENATE("          ", "6373", " - ", "MAINTENANCE CONTRACTS")</f>
        <v xml:space="preserve">          6373 - MAINTENANCE CONTRACTS</v>
      </c>
      <c r="C72" s="11"/>
      <c r="D72" s="6">
        <v>1053.08</v>
      </c>
      <c r="E72" s="2"/>
      <c r="F72" s="7">
        <f t="shared" si="43"/>
        <v>3.5605294744138087E-2</v>
      </c>
      <c r="G72" s="2"/>
      <c r="H72" s="6">
        <v>8733.11</v>
      </c>
      <c r="I72" s="2"/>
      <c r="J72" s="7">
        <f t="shared" si="44"/>
        <v>9.4406621374111988E-2</v>
      </c>
      <c r="K72" s="2"/>
      <c r="L72" s="6">
        <f t="shared" si="45"/>
        <v>-7680.0300000000007</v>
      </c>
      <c r="M72" s="2"/>
      <c r="N72" s="7">
        <f t="shared" si="46"/>
        <v>-0.87941523695453283</v>
      </c>
      <c r="O72" s="11"/>
      <c r="P72" s="6">
        <v>30424.899999999998</v>
      </c>
      <c r="Q72" s="2"/>
      <c r="R72" s="7">
        <f t="shared" si="47"/>
        <v>0.29140888349372285</v>
      </c>
      <c r="S72" s="2"/>
      <c r="T72" s="6">
        <v>44879.8</v>
      </c>
      <c r="U72" s="2"/>
      <c r="V72" s="7">
        <f t="shared" si="48"/>
        <v>0.11215747739715622</v>
      </c>
      <c r="W72" s="2"/>
      <c r="X72" s="6">
        <f t="shared" si="49"/>
        <v>-14454.900000000005</v>
      </c>
      <c r="Y72" s="2"/>
      <c r="Z72" s="7">
        <f t="shared" si="50"/>
        <v>-0.32208031230085704</v>
      </c>
    </row>
    <row r="73" spans="1:26" s="24" customFormat="1" hidden="1" outlineLevel="2" x14ac:dyDescent="0.25">
      <c r="A73" s="25"/>
      <c r="B73" s="11" t="str">
        <f>CONCATENATE("          ", "6375", " - ", "OUTSIDE REPAIRS &amp; MAINTENANCE")</f>
        <v xml:space="preserve">          6375 - OUTSIDE REPAIRS &amp; MAINTENANCE</v>
      </c>
      <c r="C73" s="11"/>
      <c r="D73" s="6"/>
      <c r="E73" s="2"/>
      <c r="F73" s="7">
        <f t="shared" si="43"/>
        <v>0</v>
      </c>
      <c r="G73" s="2"/>
      <c r="H73" s="6">
        <v>515.98</v>
      </c>
      <c r="I73" s="2"/>
      <c r="J73" s="7">
        <f t="shared" si="44"/>
        <v>5.5778443757852928E-3</v>
      </c>
      <c r="K73" s="2"/>
      <c r="L73" s="6">
        <f t="shared" si="45"/>
        <v>-515.98</v>
      </c>
      <c r="M73" s="2"/>
      <c r="N73" s="7">
        <f t="shared" si="46"/>
        <v>-1</v>
      </c>
      <c r="O73" s="11"/>
      <c r="P73" s="6"/>
      <c r="Q73" s="2"/>
      <c r="R73" s="7">
        <f t="shared" si="47"/>
        <v>0</v>
      </c>
      <c r="S73" s="2"/>
      <c r="T73" s="6">
        <v>885.46</v>
      </c>
      <c r="U73" s="2"/>
      <c r="V73" s="7">
        <f t="shared" si="48"/>
        <v>2.2128209113250492E-3</v>
      </c>
      <c r="W73" s="2"/>
      <c r="X73" s="6">
        <f t="shared" si="49"/>
        <v>-885.46</v>
      </c>
      <c r="Y73" s="2"/>
      <c r="Z73" s="7">
        <f t="shared" si="50"/>
        <v>-1</v>
      </c>
    </row>
    <row r="74" spans="1:26" s="26" customFormat="1" outlineLevel="1" collapsed="1" x14ac:dyDescent="0.25">
      <c r="A74" s="27"/>
      <c r="B74" s="13" t="str">
        <f>CONCATENATE("     ","Royalty &amp; Commissions                             ")</f>
        <v xml:space="preserve">     Royalty &amp; Commissions                             </v>
      </c>
      <c r="C74" s="13"/>
      <c r="D74" s="1">
        <f>SUM(OSRRefD22_10x_0)</f>
        <v>3.81</v>
      </c>
      <c r="E74" s="1"/>
      <c r="F74" s="5">
        <f t="shared" ref="F74:F82" si="51">IF(D$12=0,0,D74/D$12)</f>
        <v>1.2881848765066862E-4</v>
      </c>
      <c r="G74" s="1"/>
      <c r="H74" s="1">
        <f>SUM(OSRRefH22_10x_0)</f>
        <v>7840.58</v>
      </c>
      <c r="I74" s="1"/>
      <c r="J74" s="5">
        <f t="shared" ref="J74:J82" si="52">IF(H$12=0,0,H74/H$12)</f>
        <v>8.4758198100497409E-2</v>
      </c>
      <c r="K74" s="1"/>
      <c r="L74" s="1">
        <f t="shared" ref="L74:L82" si="53">+D74-H74</f>
        <v>-7836.7699999999995</v>
      </c>
      <c r="M74" s="1"/>
      <c r="N74" s="5">
        <f t="shared" ref="N74:N82" si="54">IF(H74=0,0,L74/H74)</f>
        <v>-0.99951406656140229</v>
      </c>
      <c r="O74" s="13"/>
      <c r="P74" s="1">
        <f>SUM(OSRRefP22_10x_0)</f>
        <v>10168.07</v>
      </c>
      <c r="Q74" s="1"/>
      <c r="R74" s="5">
        <f t="shared" ref="R74:R82" si="55">IF(P$12=0,0,P74/P$12)</f>
        <v>9.7389504188543558E-2</v>
      </c>
      <c r="S74" s="1"/>
      <c r="T74" s="1">
        <f>SUM(OSRRefT22_10x_0)</f>
        <v>64400.56</v>
      </c>
      <c r="U74" s="1"/>
      <c r="V74" s="5">
        <f t="shared" ref="V74:V82" si="56">IF(T$12=0,0,T74/T$12)</f>
        <v>0.16094109939358467</v>
      </c>
      <c r="W74" s="1"/>
      <c r="X74" s="1">
        <f t="shared" ref="X74:X82" si="57">+P74-T74</f>
        <v>-54232.49</v>
      </c>
      <c r="Y74" s="1"/>
      <c r="Z74" s="5">
        <f t="shared" ref="Z74:Z82" si="58">IF(T74=0,0,X74/T74)</f>
        <v>-0.84211208722408626</v>
      </c>
    </row>
    <row r="75" spans="1:26" s="24" customFormat="1" hidden="1" outlineLevel="2" x14ac:dyDescent="0.25">
      <c r="A75" s="25"/>
      <c r="B75" s="11" t="str">
        <f>CONCATENATE("          ", "6259", " - ", "ROYALTY &amp; COMMISSIONS")</f>
        <v xml:space="preserve">          6259 - ROYALTY &amp; COMMISSIONS</v>
      </c>
      <c r="C75" s="11"/>
      <c r="D75" s="6">
        <v>3.81</v>
      </c>
      <c r="E75" s="2"/>
      <c r="F75" s="7">
        <f t="shared" si="51"/>
        <v>1.2881848765066862E-4</v>
      </c>
      <c r="G75" s="2"/>
      <c r="H75" s="6">
        <v>7840.58</v>
      </c>
      <c r="I75" s="2"/>
      <c r="J75" s="7">
        <f t="shared" si="52"/>
        <v>8.4758198100497409E-2</v>
      </c>
      <c r="K75" s="2"/>
      <c r="L75" s="6">
        <f t="shared" si="53"/>
        <v>-7836.7699999999995</v>
      </c>
      <c r="M75" s="2"/>
      <c r="N75" s="7">
        <f t="shared" si="54"/>
        <v>-0.99951406656140229</v>
      </c>
      <c r="O75" s="11"/>
      <c r="P75" s="6">
        <v>10168.07</v>
      </c>
      <c r="Q75" s="2"/>
      <c r="R75" s="7">
        <f t="shared" si="55"/>
        <v>9.7389504188543558E-2</v>
      </c>
      <c r="S75" s="2"/>
      <c r="T75" s="6">
        <v>64400.56</v>
      </c>
      <c r="U75" s="2"/>
      <c r="V75" s="7">
        <f t="shared" si="56"/>
        <v>0.16094109939358467</v>
      </c>
      <c r="W75" s="2"/>
      <c r="X75" s="6">
        <f t="shared" si="57"/>
        <v>-54232.49</v>
      </c>
      <c r="Y75" s="2"/>
      <c r="Z75" s="7">
        <f t="shared" si="58"/>
        <v>-0.84211208722408626</v>
      </c>
    </row>
    <row r="76" spans="1:26" s="26" customFormat="1" outlineLevel="1" collapsed="1" x14ac:dyDescent="0.25">
      <c r="A76" s="27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SUM(OSRRefD22_11x_0)</f>
        <v>6267.77</v>
      </c>
      <c r="E76" s="1"/>
      <c r="F76" s="5">
        <f t="shared" si="51"/>
        <v>0.21191723158588749</v>
      </c>
      <c r="G76" s="1"/>
      <c r="H76" s="1">
        <f>SUM(OSRRefH22_11x_0)</f>
        <v>6148.22</v>
      </c>
      <c r="I76" s="1"/>
      <c r="J76" s="5">
        <f t="shared" si="52"/>
        <v>6.6463456622525396E-2</v>
      </c>
      <c r="K76" s="1"/>
      <c r="L76" s="1">
        <f t="shared" si="53"/>
        <v>119.55000000000018</v>
      </c>
      <c r="M76" s="1"/>
      <c r="N76" s="5">
        <f t="shared" si="54"/>
        <v>1.944465227334093E-2</v>
      </c>
      <c r="O76" s="13"/>
      <c r="P76" s="1">
        <f>SUM(OSRRefP22_11x_0)</f>
        <v>32085</v>
      </c>
      <c r="Q76" s="1"/>
      <c r="R76" s="5">
        <f t="shared" si="55"/>
        <v>0.30730927716758638</v>
      </c>
      <c r="S76" s="1"/>
      <c r="T76" s="1">
        <f>SUM(OSRRefT22_11x_0)</f>
        <v>29596.760000000002</v>
      </c>
      <c r="U76" s="1"/>
      <c r="V76" s="5">
        <f t="shared" si="56"/>
        <v>7.3964187468060397E-2</v>
      </c>
      <c r="W76" s="1"/>
      <c r="X76" s="1">
        <f t="shared" si="57"/>
        <v>2488.239999999998</v>
      </c>
      <c r="Y76" s="1"/>
      <c r="Z76" s="5">
        <f t="shared" si="58"/>
        <v>8.4071364568283749E-2</v>
      </c>
    </row>
    <row r="77" spans="1:26" s="24" customFormat="1" hidden="1" outlineLevel="2" x14ac:dyDescent="0.25">
      <c r="A77" s="25"/>
      <c r="B77" s="11" t="str">
        <f>CONCATENATE("          ", "6234", " - ", "EXPENDABLE SUPPLIES &amp; EQUIPMEN")</f>
        <v xml:space="preserve">          6234 - EXPENDABLE SUPPLIES &amp; EQUIPMEN</v>
      </c>
      <c r="C77" s="11"/>
      <c r="D77" s="6"/>
      <c r="E77" s="2"/>
      <c r="F77" s="7">
        <f t="shared" si="51"/>
        <v>0</v>
      </c>
      <c r="G77" s="2"/>
      <c r="H77" s="6"/>
      <c r="I77" s="2"/>
      <c r="J77" s="7">
        <f t="shared" si="52"/>
        <v>0</v>
      </c>
      <c r="K77" s="2"/>
      <c r="L77" s="6">
        <f t="shared" si="53"/>
        <v>0</v>
      </c>
      <c r="M77" s="2"/>
      <c r="N77" s="7">
        <f t="shared" si="54"/>
        <v>0</v>
      </c>
      <c r="O77" s="11"/>
      <c r="P77" s="6"/>
      <c r="Q77" s="2"/>
      <c r="R77" s="7">
        <f t="shared" si="55"/>
        <v>0</v>
      </c>
      <c r="S77" s="2"/>
      <c r="T77" s="6">
        <v>1017.27</v>
      </c>
      <c r="U77" s="2"/>
      <c r="V77" s="7">
        <f t="shared" si="56"/>
        <v>2.5422224927875146E-3</v>
      </c>
      <c r="W77" s="2"/>
      <c r="X77" s="6">
        <f t="shared" si="57"/>
        <v>-1017.27</v>
      </c>
      <c r="Y77" s="2"/>
      <c r="Z77" s="7">
        <f t="shared" si="58"/>
        <v>-1</v>
      </c>
    </row>
    <row r="78" spans="1:26" s="24" customFormat="1" hidden="1" outlineLevel="2" x14ac:dyDescent="0.25">
      <c r="A78" s="25"/>
      <c r="B78" s="11" t="str">
        <f>CONCATENATE("          ", "6235", " - ", "COVID-19 EXPENSES")</f>
        <v xml:space="preserve">          6235 - COVID-19 EXPENSES</v>
      </c>
      <c r="C78" s="11"/>
      <c r="D78" s="6"/>
      <c r="E78" s="2"/>
      <c r="F78" s="7">
        <f t="shared" si="51"/>
        <v>0</v>
      </c>
      <c r="G78" s="2"/>
      <c r="H78" s="6"/>
      <c r="I78" s="2"/>
      <c r="J78" s="7">
        <f t="shared" si="52"/>
        <v>0</v>
      </c>
      <c r="K78" s="2"/>
      <c r="L78" s="6">
        <f t="shared" si="53"/>
        <v>0</v>
      </c>
      <c r="M78" s="2"/>
      <c r="N78" s="7">
        <f t="shared" si="54"/>
        <v>0</v>
      </c>
      <c r="O78" s="11"/>
      <c r="P78" s="6">
        <v>310.91000000000003</v>
      </c>
      <c r="Q78" s="2"/>
      <c r="R78" s="7">
        <f t="shared" si="55"/>
        <v>2.9778877158851266E-3</v>
      </c>
      <c r="S78" s="2"/>
      <c r="T78" s="6"/>
      <c r="U78" s="2"/>
      <c r="V78" s="7">
        <f t="shared" si="56"/>
        <v>0</v>
      </c>
      <c r="W78" s="2"/>
      <c r="X78" s="6">
        <f t="shared" si="57"/>
        <v>310.91000000000003</v>
      </c>
      <c r="Y78" s="2"/>
      <c r="Z78" s="7">
        <f t="shared" si="58"/>
        <v>0</v>
      </c>
    </row>
    <row r="79" spans="1:26" s="24" customFormat="1" hidden="1" outlineLevel="2" x14ac:dyDescent="0.25">
      <c r="A79" s="25"/>
      <c r="B79" s="11" t="str">
        <f>CONCATENATE("          ", "6241", " - ", "OFFICE EXPENSE")</f>
        <v xml:space="preserve">          6241 - OFFICE EXPENSE</v>
      </c>
      <c r="C79" s="11"/>
      <c r="D79" s="6"/>
      <c r="E79" s="2"/>
      <c r="F79" s="7">
        <f t="shared" si="51"/>
        <v>0</v>
      </c>
      <c r="G79" s="2"/>
      <c r="H79" s="6">
        <v>1524.87</v>
      </c>
      <c r="I79" s="2"/>
      <c r="J79" s="7">
        <f t="shared" si="52"/>
        <v>1.648414193050839E-2</v>
      </c>
      <c r="K79" s="2"/>
      <c r="L79" s="6">
        <f t="shared" si="53"/>
        <v>-1524.87</v>
      </c>
      <c r="M79" s="2"/>
      <c r="N79" s="7">
        <f t="shared" si="54"/>
        <v>-1</v>
      </c>
      <c r="O79" s="11"/>
      <c r="P79" s="6">
        <v>4596.8599999999997</v>
      </c>
      <c r="Q79" s="2"/>
      <c r="R79" s="7">
        <f t="shared" si="55"/>
        <v>4.4028602893582389E-2</v>
      </c>
      <c r="S79" s="2"/>
      <c r="T79" s="6">
        <v>1694.29</v>
      </c>
      <c r="U79" s="2"/>
      <c r="V79" s="7">
        <f t="shared" si="56"/>
        <v>4.2341385741297369E-3</v>
      </c>
      <c r="W79" s="2"/>
      <c r="X79" s="6">
        <f t="shared" si="57"/>
        <v>2902.5699999999997</v>
      </c>
      <c r="Y79" s="2"/>
      <c r="Z79" s="7">
        <f t="shared" si="58"/>
        <v>1.7131482804006397</v>
      </c>
    </row>
    <row r="80" spans="1:26" s="24" customFormat="1" hidden="1" outlineLevel="2" x14ac:dyDescent="0.25">
      <c r="A80" s="25"/>
      <c r="B80" s="11" t="str">
        <f>CONCATENATE("          ", "6243", " - ", "PAPER SUPPLIES")</f>
        <v xml:space="preserve">          6243 - PAPER SUPPLIES</v>
      </c>
      <c r="C80" s="11"/>
      <c r="D80" s="6">
        <v>1080</v>
      </c>
      <c r="E80" s="2"/>
      <c r="F80" s="7">
        <f t="shared" si="51"/>
        <v>3.6515476814362756E-2</v>
      </c>
      <c r="G80" s="2"/>
      <c r="H80" s="6">
        <v>2294.33</v>
      </c>
      <c r="I80" s="2"/>
      <c r="J80" s="7">
        <f t="shared" si="52"/>
        <v>2.4802154515088708E-2</v>
      </c>
      <c r="K80" s="2"/>
      <c r="L80" s="6">
        <f t="shared" si="53"/>
        <v>-1214.33</v>
      </c>
      <c r="M80" s="2"/>
      <c r="N80" s="7">
        <f t="shared" si="54"/>
        <v>-0.52927434152889952</v>
      </c>
      <c r="O80" s="11"/>
      <c r="P80" s="6">
        <v>6173.4</v>
      </c>
      <c r="Q80" s="2"/>
      <c r="R80" s="7">
        <f t="shared" si="55"/>
        <v>5.9128661108504836E-2</v>
      </c>
      <c r="S80" s="2"/>
      <c r="T80" s="6">
        <v>11852.83</v>
      </c>
      <c r="U80" s="2"/>
      <c r="V80" s="7">
        <f t="shared" si="56"/>
        <v>2.9620976760532245E-2</v>
      </c>
      <c r="W80" s="2"/>
      <c r="X80" s="6">
        <f t="shared" si="57"/>
        <v>-5679.43</v>
      </c>
      <c r="Y80" s="2"/>
      <c r="Z80" s="7">
        <f t="shared" si="58"/>
        <v>-0.47916236038144477</v>
      </c>
    </row>
    <row r="81" spans="1:26" s="24" customFormat="1" hidden="1" outlineLevel="2" x14ac:dyDescent="0.25">
      <c r="A81" s="25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51"/>
        <v>0</v>
      </c>
      <c r="G81" s="2"/>
      <c r="H81" s="6">
        <v>794.09</v>
      </c>
      <c r="I81" s="2"/>
      <c r="J81" s="7">
        <f t="shared" si="52"/>
        <v>8.5842676855059172E-3</v>
      </c>
      <c r="K81" s="2"/>
      <c r="L81" s="6">
        <f t="shared" si="53"/>
        <v>-794.09</v>
      </c>
      <c r="M81" s="2"/>
      <c r="N81" s="7">
        <f t="shared" si="54"/>
        <v>-1</v>
      </c>
      <c r="O81" s="11"/>
      <c r="P81" s="6">
        <v>439.61</v>
      </c>
      <c r="Q81" s="2"/>
      <c r="R81" s="7">
        <f t="shared" si="55"/>
        <v>4.2105728949865251E-3</v>
      </c>
      <c r="S81" s="2"/>
      <c r="T81" s="6">
        <v>2007.27</v>
      </c>
      <c r="U81" s="2"/>
      <c r="V81" s="7">
        <f t="shared" si="56"/>
        <v>5.0162955194762394E-3</v>
      </c>
      <c r="W81" s="2"/>
      <c r="X81" s="6">
        <f t="shared" si="57"/>
        <v>-1567.6599999999999</v>
      </c>
      <c r="Y81" s="2"/>
      <c r="Z81" s="7">
        <f t="shared" si="58"/>
        <v>-0.7809910973610924</v>
      </c>
    </row>
    <row r="82" spans="1:26" s="24" customFormat="1" hidden="1" outlineLevel="2" x14ac:dyDescent="0.25">
      <c r="A82" s="25"/>
      <c r="B82" s="11" t="str">
        <f>CONCATENATE("          ", "6247", " - ", "STORE SUPPLIES")</f>
        <v xml:space="preserve">          6247 - STORE SUPPLIES</v>
      </c>
      <c r="C82" s="11"/>
      <c r="D82" s="6">
        <v>5187.7700000000004</v>
      </c>
      <c r="E82" s="2"/>
      <c r="F82" s="7">
        <f t="shared" si="51"/>
        <v>0.17540175477152473</v>
      </c>
      <c r="G82" s="2"/>
      <c r="H82" s="6">
        <v>1534.93</v>
      </c>
      <c r="I82" s="2"/>
      <c r="J82" s="7">
        <f t="shared" si="52"/>
        <v>1.659289249142238E-2</v>
      </c>
      <c r="K82" s="2"/>
      <c r="L82" s="6">
        <f t="shared" si="53"/>
        <v>3652.84</v>
      </c>
      <c r="M82" s="2"/>
      <c r="N82" s="7">
        <f t="shared" si="54"/>
        <v>2.3798088512179709</v>
      </c>
      <c r="O82" s="11"/>
      <c r="P82" s="6">
        <v>20564.22</v>
      </c>
      <c r="Q82" s="2"/>
      <c r="R82" s="7">
        <f t="shared" si="55"/>
        <v>0.1969635525546275</v>
      </c>
      <c r="S82" s="2"/>
      <c r="T82" s="6">
        <v>13025.1</v>
      </c>
      <c r="U82" s="2"/>
      <c r="V82" s="7">
        <f t="shared" si="56"/>
        <v>3.255055412113466E-2</v>
      </c>
      <c r="W82" s="2"/>
      <c r="X82" s="6">
        <f t="shared" si="57"/>
        <v>7539.1200000000008</v>
      </c>
      <c r="Y82" s="2"/>
      <c r="Z82" s="7">
        <f t="shared" si="58"/>
        <v>0.57881474998272575</v>
      </c>
    </row>
    <row r="83" spans="1:26" s="26" customFormat="1" outlineLevel="1" collapsed="1" x14ac:dyDescent="0.25">
      <c r="A83" s="27"/>
      <c r="B83" s="13" t="str">
        <f>CONCATENATE("     ","Telephone/Data Lines                              ")</f>
        <v xml:space="preserve">     Telephone/Data Lines                              </v>
      </c>
      <c r="C83" s="13"/>
      <c r="D83" s="1">
        <f>SUM(OSRRefD22_12x_0)</f>
        <v>82.2</v>
      </c>
      <c r="E83" s="1"/>
      <c r="F83" s="5">
        <f t="shared" ref="F83:F88" si="59">IF(D$12=0,0,D83/D$12)</f>
        <v>2.7792335130931655E-3</v>
      </c>
      <c r="G83" s="1"/>
      <c r="H83" s="1">
        <f>SUM(OSRRefH22_12x_0)</f>
        <v>190.65</v>
      </c>
      <c r="I83" s="1"/>
      <c r="J83" s="5">
        <f t="shared" ref="J83:J88" si="60">IF(H$12=0,0,H83/H$12)</f>
        <v>2.0609636618540762E-3</v>
      </c>
      <c r="K83" s="1"/>
      <c r="L83" s="1">
        <f t="shared" ref="L83:L88" si="61">+D83-H83</f>
        <v>-108.45</v>
      </c>
      <c r="M83" s="1"/>
      <c r="N83" s="5">
        <f t="shared" ref="N83:N88" si="62">IF(H83=0,0,L83/H83)</f>
        <v>-0.56884343036978757</v>
      </c>
      <c r="O83" s="13"/>
      <c r="P83" s="1">
        <f>SUM(OSRRefP22_12x_0)</f>
        <v>1339.2</v>
      </c>
      <c r="Q83" s="1"/>
      <c r="R83" s="5">
        <f t="shared" ref="R83:R88" si="63">IF(P$12=0,0,P83/P$12)</f>
        <v>1.2826822003516649E-2</v>
      </c>
      <c r="S83" s="1"/>
      <c r="T83" s="1">
        <f>SUM(OSRRefT22_12x_0)</f>
        <v>1416.5</v>
      </c>
      <c r="U83" s="1"/>
      <c r="V83" s="5">
        <f t="shared" ref="V83:V88" si="64">IF(T$12=0,0,T83/T$12)</f>
        <v>3.5399236790955345E-3</v>
      </c>
      <c r="W83" s="1"/>
      <c r="X83" s="1">
        <f t="shared" ref="X83:X88" si="65">+P83-T83</f>
        <v>-77.299999999999955</v>
      </c>
      <c r="Y83" s="1"/>
      <c r="Z83" s="5">
        <f t="shared" ref="Z83:Z88" si="66">IF(T83=0,0,X83/T83)</f>
        <v>-5.4571126014825243E-2</v>
      </c>
    </row>
    <row r="84" spans="1:26" s="24" customFormat="1" hidden="1" outlineLevel="2" x14ac:dyDescent="0.25">
      <c r="A84" s="25"/>
      <c r="B84" s="11" t="str">
        <f>CONCATENATE("          ", "6309", " - ", "TELEPHONE")</f>
        <v xml:space="preserve">          6309 - TELEPHONE</v>
      </c>
      <c r="C84" s="11"/>
      <c r="D84" s="6">
        <v>82.2</v>
      </c>
      <c r="E84" s="2"/>
      <c r="F84" s="7">
        <f t="shared" si="59"/>
        <v>2.7792335130931655E-3</v>
      </c>
      <c r="G84" s="2"/>
      <c r="H84" s="6">
        <v>190.65</v>
      </c>
      <c r="I84" s="2"/>
      <c r="J84" s="7">
        <f t="shared" si="60"/>
        <v>2.0609636618540762E-3</v>
      </c>
      <c r="K84" s="2"/>
      <c r="L84" s="6">
        <f t="shared" si="61"/>
        <v>-108.45</v>
      </c>
      <c r="M84" s="2"/>
      <c r="N84" s="7">
        <f t="shared" si="62"/>
        <v>-0.56884343036978757</v>
      </c>
      <c r="O84" s="11"/>
      <c r="P84" s="6">
        <v>1339.2</v>
      </c>
      <c r="Q84" s="2"/>
      <c r="R84" s="7">
        <f t="shared" si="63"/>
        <v>1.2826822003516649E-2</v>
      </c>
      <c r="S84" s="2"/>
      <c r="T84" s="6">
        <v>1416.5</v>
      </c>
      <c r="U84" s="2"/>
      <c r="V84" s="7">
        <f t="shared" si="64"/>
        <v>3.5399236790955345E-3</v>
      </c>
      <c r="W84" s="2"/>
      <c r="X84" s="6">
        <f t="shared" si="65"/>
        <v>-77.299999999999955</v>
      </c>
      <c r="Y84" s="2"/>
      <c r="Z84" s="7">
        <f t="shared" si="66"/>
        <v>-5.4571126014825243E-2</v>
      </c>
    </row>
    <row r="85" spans="1:26" s="26" customFormat="1" outlineLevel="1" collapsed="1" x14ac:dyDescent="0.25">
      <c r="A85" s="27"/>
      <c r="B85" s="13" t="str">
        <f>CONCATENATE("     ","Training                                          ")</f>
        <v xml:space="preserve">     Training                                          </v>
      </c>
      <c r="C85" s="13"/>
      <c r="D85" s="1">
        <f>SUM(OSRRefD22_13x_0)</f>
        <v>0</v>
      </c>
      <c r="E85" s="1"/>
      <c r="F85" s="5">
        <f t="shared" si="59"/>
        <v>0</v>
      </c>
      <c r="G85" s="1"/>
      <c r="H85" s="1">
        <f>SUM(OSRRefH22_13x_0)</f>
        <v>0</v>
      </c>
      <c r="I85" s="1"/>
      <c r="J85" s="5">
        <f t="shared" si="60"/>
        <v>0</v>
      </c>
      <c r="K85" s="1"/>
      <c r="L85" s="1">
        <f t="shared" si="61"/>
        <v>0</v>
      </c>
      <c r="M85" s="1"/>
      <c r="N85" s="5">
        <f t="shared" si="62"/>
        <v>0</v>
      </c>
      <c r="O85" s="13"/>
      <c r="P85" s="1">
        <f>SUM(OSRRefP22_13x_0)</f>
        <v>0</v>
      </c>
      <c r="Q85" s="1"/>
      <c r="R85" s="5">
        <f t="shared" si="63"/>
        <v>0</v>
      </c>
      <c r="S85" s="1"/>
      <c r="T85" s="1">
        <f>SUM(OSRRefT22_13x_0)</f>
        <v>97.71</v>
      </c>
      <c r="U85" s="1"/>
      <c r="V85" s="5">
        <f t="shared" si="64"/>
        <v>2.4418351054318718E-4</v>
      </c>
      <c r="W85" s="1"/>
      <c r="X85" s="1">
        <f t="shared" si="65"/>
        <v>-97.71</v>
      </c>
      <c r="Y85" s="1"/>
      <c r="Z85" s="5">
        <f t="shared" si="66"/>
        <v>-1</v>
      </c>
    </row>
    <row r="86" spans="1:26" s="24" customFormat="1" hidden="1" outlineLevel="2" x14ac:dyDescent="0.25">
      <c r="A86" s="25"/>
      <c r="B86" s="11" t="str">
        <f>CONCATENATE("          ", "6376", " - ", "TRAINING")</f>
        <v xml:space="preserve">          6376 - TRAINING</v>
      </c>
      <c r="C86" s="11"/>
      <c r="D86" s="6"/>
      <c r="E86" s="2"/>
      <c r="F86" s="7">
        <f t="shared" si="59"/>
        <v>0</v>
      </c>
      <c r="G86" s="2"/>
      <c r="H86" s="6"/>
      <c r="I86" s="2"/>
      <c r="J86" s="7">
        <f t="shared" si="60"/>
        <v>0</v>
      </c>
      <c r="K86" s="2"/>
      <c r="L86" s="6">
        <f t="shared" si="61"/>
        <v>0</v>
      </c>
      <c r="M86" s="2"/>
      <c r="N86" s="7">
        <f t="shared" si="62"/>
        <v>0</v>
      </c>
      <c r="O86" s="11"/>
      <c r="P86" s="6"/>
      <c r="Q86" s="2"/>
      <c r="R86" s="7">
        <f t="shared" si="63"/>
        <v>0</v>
      </c>
      <c r="S86" s="2"/>
      <c r="T86" s="6">
        <v>97.71</v>
      </c>
      <c r="U86" s="2"/>
      <c r="V86" s="7">
        <f t="shared" si="64"/>
        <v>2.4418351054318718E-4</v>
      </c>
      <c r="W86" s="2"/>
      <c r="X86" s="6">
        <f t="shared" si="65"/>
        <v>-97.71</v>
      </c>
      <c r="Y86" s="2"/>
      <c r="Z86" s="7">
        <f t="shared" si="66"/>
        <v>-1</v>
      </c>
    </row>
    <row r="87" spans="1:26" s="26" customFormat="1" outlineLevel="1" collapsed="1" x14ac:dyDescent="0.25">
      <c r="A87" s="27"/>
      <c r="B87" s="13" t="str">
        <f>CONCATENATE("     ","Utilities                                         ")</f>
        <v xml:space="preserve">     Utilities                                         </v>
      </c>
      <c r="C87" s="13"/>
      <c r="D87" s="1">
        <f>SUM(OSRRefD22_14x_0)</f>
        <v>0</v>
      </c>
      <c r="E87" s="1"/>
      <c r="F87" s="5">
        <f t="shared" si="59"/>
        <v>0</v>
      </c>
      <c r="G87" s="1"/>
      <c r="H87" s="1">
        <f>SUM(OSRRefH22_14x_0)</f>
        <v>0</v>
      </c>
      <c r="I87" s="1"/>
      <c r="J87" s="5">
        <f t="shared" si="60"/>
        <v>0</v>
      </c>
      <c r="K87" s="1"/>
      <c r="L87" s="1">
        <f t="shared" si="61"/>
        <v>0</v>
      </c>
      <c r="M87" s="1"/>
      <c r="N87" s="5">
        <f t="shared" si="62"/>
        <v>0</v>
      </c>
      <c r="O87" s="13"/>
      <c r="P87" s="1">
        <f>SUM(OSRRefP22_14x_0)</f>
        <v>15.02</v>
      </c>
      <c r="Q87" s="1"/>
      <c r="R87" s="5">
        <f t="shared" si="63"/>
        <v>1.438611607622611E-4</v>
      </c>
      <c r="S87" s="1"/>
      <c r="T87" s="1">
        <f>SUM(OSRRefT22_14x_0)</f>
        <v>0</v>
      </c>
      <c r="U87" s="1"/>
      <c r="V87" s="5">
        <f t="shared" si="64"/>
        <v>0</v>
      </c>
      <c r="W87" s="1"/>
      <c r="X87" s="1">
        <f t="shared" si="65"/>
        <v>15.02</v>
      </c>
      <c r="Y87" s="1"/>
      <c r="Z87" s="5">
        <f t="shared" si="66"/>
        <v>0</v>
      </c>
    </row>
    <row r="88" spans="1:26" s="24" customFormat="1" hidden="1" outlineLevel="2" x14ac:dyDescent="0.25">
      <c r="A88" s="25"/>
      <c r="B88" s="11" t="str">
        <f>CONCATENATE("          ", "6274", " - ", "UTILITIES")</f>
        <v xml:space="preserve">          6274 - UTILITIES</v>
      </c>
      <c r="C88" s="11"/>
      <c r="D88" s="6"/>
      <c r="E88" s="2"/>
      <c r="F88" s="7">
        <f t="shared" si="59"/>
        <v>0</v>
      </c>
      <c r="G88" s="2"/>
      <c r="H88" s="6"/>
      <c r="I88" s="2"/>
      <c r="J88" s="7">
        <f t="shared" si="60"/>
        <v>0</v>
      </c>
      <c r="K88" s="2"/>
      <c r="L88" s="6">
        <f t="shared" si="61"/>
        <v>0</v>
      </c>
      <c r="M88" s="2"/>
      <c r="N88" s="7">
        <f t="shared" si="62"/>
        <v>0</v>
      </c>
      <c r="O88" s="11"/>
      <c r="P88" s="6">
        <v>15.02</v>
      </c>
      <c r="Q88" s="2"/>
      <c r="R88" s="7">
        <f t="shared" si="63"/>
        <v>1.438611607622611E-4</v>
      </c>
      <c r="S88" s="2"/>
      <c r="T88" s="6"/>
      <c r="U88" s="2"/>
      <c r="V88" s="7">
        <f t="shared" si="64"/>
        <v>0</v>
      </c>
      <c r="W88" s="2"/>
      <c r="X88" s="6">
        <f t="shared" si="65"/>
        <v>15.02</v>
      </c>
      <c r="Y88" s="2"/>
      <c r="Z88" s="7">
        <f t="shared" si="66"/>
        <v>0</v>
      </c>
    </row>
    <row r="89" spans="1:26" s="61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collapsed="1" x14ac:dyDescent="0.25">
      <c r="A90" s="10"/>
      <c r="B90" s="29" t="s">
        <v>0</v>
      </c>
      <c r="C90" s="10"/>
      <c r="D90" s="4">
        <f>SUM(OSRRefD25x_0)</f>
        <v>6782</v>
      </c>
      <c r="E90" s="4"/>
      <c r="F90" s="12">
        <f t="shared" ref="F90:F96" si="67">IF(D$12=0,0,D90/D$12)</f>
        <v>0.22930367014352615</v>
      </c>
      <c r="G90" s="4"/>
      <c r="H90" s="4">
        <f>SUM(OSRRefH25x_0)</f>
        <v>16826.099999999999</v>
      </c>
      <c r="I90" s="4"/>
      <c r="J90" s="12">
        <f t="shared" ref="J90:J96" si="68">IF(H$12=0,0,H90/H$12)</f>
        <v>0.181893420774838</v>
      </c>
      <c r="K90" s="4"/>
      <c r="L90" s="4">
        <f t="shared" ref="L90:L96" si="69">+D90-H90</f>
        <v>-10044.099999999999</v>
      </c>
      <c r="M90" s="4"/>
      <c r="N90" s="12">
        <f t="shared" ref="N90:N96" si="70">IF(H90=0,0,L90/H90)</f>
        <v>-0.59693571296973147</v>
      </c>
      <c r="O90" s="10"/>
      <c r="P90" s="4">
        <f>SUM(OSRRefP25x_0)</f>
        <v>47474</v>
      </c>
      <c r="Q90" s="4"/>
      <c r="R90" s="12">
        <f t="shared" ref="R90:R96" si="71">IF(P$12=0,0,P90/P$12)</f>
        <v>0.45470471012167668</v>
      </c>
      <c r="S90" s="4"/>
      <c r="T90" s="4">
        <f>SUM(OSRRefT25x_0)</f>
        <v>182173.5</v>
      </c>
      <c r="U90" s="4"/>
      <c r="V90" s="12">
        <f t="shared" ref="V90:V96" si="72">IF(T$12=0,0,T90/T$12)</f>
        <v>0.45526317427018026</v>
      </c>
      <c r="W90" s="4"/>
      <c r="X90" s="4">
        <f t="shared" ref="X90:X96" si="73">+P90-T90</f>
        <v>-134699.5</v>
      </c>
      <c r="Y90" s="4"/>
      <c r="Z90" s="12">
        <f t="shared" ref="Z90:Z96" si="74">IF(T90=0,0,X90/T90)</f>
        <v>-0.73940227310777917</v>
      </c>
    </row>
    <row r="91" spans="1:26" s="24" customFormat="1" hidden="1" outlineLevel="1" x14ac:dyDescent="0.25">
      <c r="A91" s="44"/>
      <c r="B91" s="11" t="str">
        <f>CONCATENATE("          ", "4098", " - ", "TAXABLE SALES-GRAD RENTALS")</f>
        <v xml:space="preserve">          4098 - TAXABLE SALES-GRAD RENTALS</v>
      </c>
      <c r="C91" s="11"/>
      <c r="D91" s="2">
        <f t="shared" ref="D91:D93" si="75">0</f>
        <v>0</v>
      </c>
      <c r="E91" s="2"/>
      <c r="F91" s="19">
        <f t="shared" si="67"/>
        <v>0</v>
      </c>
      <c r="G91" s="2"/>
      <c r="H91" s="2">
        <f>--320</f>
        <v>320</v>
      </c>
      <c r="I91" s="2"/>
      <c r="J91" s="19">
        <f t="shared" si="68"/>
        <v>3.4592623749976621E-3</v>
      </c>
      <c r="K91" s="2"/>
      <c r="L91" s="2">
        <f t="shared" si="69"/>
        <v>-320</v>
      </c>
      <c r="M91" s="2"/>
      <c r="N91" s="19">
        <f t="shared" si="70"/>
        <v>-1</v>
      </c>
      <c r="O91" s="11"/>
      <c r="P91" s="2">
        <f t="shared" ref="P91:P93" si="76">0</f>
        <v>0</v>
      </c>
      <c r="Q91" s="2"/>
      <c r="R91" s="19">
        <f t="shared" si="71"/>
        <v>0</v>
      </c>
      <c r="S91" s="2"/>
      <c r="T91" s="2">
        <f>--1946.85</f>
        <v>1946.85</v>
      </c>
      <c r="U91" s="2"/>
      <c r="V91" s="19">
        <f t="shared" si="72"/>
        <v>4.8653020929383273E-3</v>
      </c>
      <c r="W91" s="2"/>
      <c r="X91" s="2">
        <f t="shared" si="73"/>
        <v>-1946.85</v>
      </c>
      <c r="Y91" s="2"/>
      <c r="Z91" s="19">
        <f t="shared" si="74"/>
        <v>-1</v>
      </c>
    </row>
    <row r="92" spans="1:26" s="24" customFormat="1" hidden="1" outlineLevel="1" x14ac:dyDescent="0.25">
      <c r="A92" s="44"/>
      <c r="B92" s="11" t="str">
        <f>CONCATENATE("          ", "4197", " - ", "NON-TAXABLE SALES-RETURNED CHE")</f>
        <v xml:space="preserve">          4197 - NON-TAXABLE SALES-RETURNED CHE</v>
      </c>
      <c r="C92" s="11"/>
      <c r="D92" s="2">
        <f t="shared" si="75"/>
        <v>0</v>
      </c>
      <c r="E92" s="2"/>
      <c r="F92" s="19">
        <f t="shared" si="67"/>
        <v>0</v>
      </c>
      <c r="G92" s="2"/>
      <c r="H92" s="2">
        <f>0</f>
        <v>0</v>
      </c>
      <c r="I92" s="2"/>
      <c r="J92" s="19">
        <f t="shared" si="68"/>
        <v>0</v>
      </c>
      <c r="K92" s="2"/>
      <c r="L92" s="2">
        <f t="shared" si="69"/>
        <v>0</v>
      </c>
      <c r="M92" s="2"/>
      <c r="N92" s="19">
        <f t="shared" si="70"/>
        <v>0</v>
      </c>
      <c r="O92" s="11"/>
      <c r="P92" s="2">
        <f t="shared" si="76"/>
        <v>0</v>
      </c>
      <c r="Q92" s="2"/>
      <c r="R92" s="19">
        <f t="shared" si="71"/>
        <v>0</v>
      </c>
      <c r="S92" s="2"/>
      <c r="T92" s="2">
        <f>--30</f>
        <v>30</v>
      </c>
      <c r="U92" s="2"/>
      <c r="V92" s="19">
        <f t="shared" si="72"/>
        <v>7.4971909899658329E-5</v>
      </c>
      <c r="W92" s="2"/>
      <c r="X92" s="2">
        <f t="shared" si="73"/>
        <v>-30</v>
      </c>
      <c r="Y92" s="2"/>
      <c r="Z92" s="19">
        <f t="shared" si="74"/>
        <v>-1</v>
      </c>
    </row>
    <row r="93" spans="1:26" s="24" customFormat="1" hidden="1" outlineLevel="1" x14ac:dyDescent="0.25">
      <c r="A93" s="44"/>
      <c r="B93" s="11" t="str">
        <f>CONCATENATE("          ", "4198", " - ", "NON-TAXABLE SALES-GRAD RENTALS")</f>
        <v xml:space="preserve">          4198 - NON-TAXABLE SALES-GRAD RENTALS</v>
      </c>
      <c r="C93" s="11"/>
      <c r="D93" s="2">
        <f t="shared" si="75"/>
        <v>0</v>
      </c>
      <c r="E93" s="2"/>
      <c r="F93" s="19">
        <f t="shared" si="67"/>
        <v>0</v>
      </c>
      <c r="G93" s="2"/>
      <c r="H93" s="2">
        <f>--3237.1</f>
        <v>3237.1</v>
      </c>
      <c r="I93" s="2"/>
      <c r="J93" s="19">
        <f t="shared" si="68"/>
        <v>3.4993681981577915E-2</v>
      </c>
      <c r="K93" s="2"/>
      <c r="L93" s="2">
        <f t="shared" si="69"/>
        <v>-3237.1</v>
      </c>
      <c r="M93" s="2"/>
      <c r="N93" s="19">
        <f t="shared" si="70"/>
        <v>-1</v>
      </c>
      <c r="O93" s="11"/>
      <c r="P93" s="2">
        <f t="shared" si="76"/>
        <v>0</v>
      </c>
      <c r="Q93" s="2"/>
      <c r="R93" s="19">
        <f t="shared" si="71"/>
        <v>0</v>
      </c>
      <c r="S93" s="2"/>
      <c r="T93" s="2">
        <f>--3732.1</f>
        <v>3732.1</v>
      </c>
      <c r="U93" s="2"/>
      <c r="V93" s="19">
        <f t="shared" si="72"/>
        <v>9.3267554978838287E-3</v>
      </c>
      <c r="W93" s="2"/>
      <c r="X93" s="2">
        <f t="shared" si="73"/>
        <v>-3732.1</v>
      </c>
      <c r="Y93" s="2"/>
      <c r="Z93" s="19">
        <f t="shared" si="74"/>
        <v>-1</v>
      </c>
    </row>
    <row r="94" spans="1:26" s="24" customFormat="1" hidden="1" outlineLevel="1" x14ac:dyDescent="0.25">
      <c r="A94" s="44"/>
      <c r="B94" s="11" t="str">
        <f>CONCATENATE("          ", "9150", " - ", "MISC. INCOME")</f>
        <v xml:space="preserve">          9150 - MISC. INCOME</v>
      </c>
      <c r="C94" s="11"/>
      <c r="D94" s="2">
        <f>--6782</f>
        <v>6782</v>
      </c>
      <c r="E94" s="2"/>
      <c r="F94" s="19">
        <f t="shared" si="67"/>
        <v>0.22930367014352615</v>
      </c>
      <c r="G94" s="2"/>
      <c r="H94" s="2">
        <f>--13269</f>
        <v>13269</v>
      </c>
      <c r="I94" s="2"/>
      <c r="J94" s="19">
        <f t="shared" si="68"/>
        <v>0.14344047641826244</v>
      </c>
      <c r="K94" s="2"/>
      <c r="L94" s="2">
        <f t="shared" si="69"/>
        <v>-6487</v>
      </c>
      <c r="M94" s="2"/>
      <c r="N94" s="19">
        <f t="shared" si="70"/>
        <v>-0.48888386464692141</v>
      </c>
      <c r="O94" s="11"/>
      <c r="P94" s="2">
        <f>--47474</f>
        <v>47474</v>
      </c>
      <c r="Q94" s="2"/>
      <c r="R94" s="19">
        <f t="shared" si="71"/>
        <v>0.45470471012167668</v>
      </c>
      <c r="S94" s="2"/>
      <c r="T94" s="2">
        <f>--92883</f>
        <v>92883</v>
      </c>
      <c r="U94" s="2"/>
      <c r="V94" s="19">
        <f t="shared" si="72"/>
        <v>0.23212053024033216</v>
      </c>
      <c r="W94" s="2"/>
      <c r="X94" s="2">
        <f t="shared" si="73"/>
        <v>-45409</v>
      </c>
      <c r="Y94" s="2"/>
      <c r="Z94" s="19">
        <f t="shared" si="74"/>
        <v>-0.48888386464692141</v>
      </c>
    </row>
    <row r="95" spans="1:26" s="24" customFormat="1" hidden="1" outlineLevel="1" x14ac:dyDescent="0.25">
      <c r="A95" s="44"/>
      <c r="B95" s="11" t="str">
        <f>CONCATENATE("          ", "9160", " - ", "MISC. INCOME")</f>
        <v xml:space="preserve">          9160 - MISC. INCOME</v>
      </c>
      <c r="C95" s="11"/>
      <c r="D95" s="2">
        <f t="shared" ref="D95:D96" si="77">0</f>
        <v>0</v>
      </c>
      <c r="E95" s="2"/>
      <c r="F95" s="19">
        <f t="shared" si="67"/>
        <v>0</v>
      </c>
      <c r="G95" s="2"/>
      <c r="H95" s="2">
        <f t="shared" ref="H95:H96" si="78">0</f>
        <v>0</v>
      </c>
      <c r="I95" s="2"/>
      <c r="J95" s="19">
        <f t="shared" si="68"/>
        <v>0</v>
      </c>
      <c r="K95" s="2"/>
      <c r="L95" s="2">
        <f t="shared" si="69"/>
        <v>0</v>
      </c>
      <c r="M95" s="2"/>
      <c r="N95" s="19">
        <f t="shared" si="70"/>
        <v>0</v>
      </c>
      <c r="O95" s="11"/>
      <c r="P95" s="2">
        <f t="shared" ref="P95:P96" si="79">0</f>
        <v>0</v>
      </c>
      <c r="Q95" s="2"/>
      <c r="R95" s="19">
        <f t="shared" si="71"/>
        <v>0</v>
      </c>
      <c r="S95" s="2"/>
      <c r="T95" s="2">
        <f>--22475</f>
        <v>22475</v>
      </c>
      <c r="U95" s="2"/>
      <c r="V95" s="19">
        <f t="shared" si="72"/>
        <v>5.6166455833160704E-2</v>
      </c>
      <c r="W95" s="2"/>
      <c r="X95" s="2">
        <f t="shared" si="73"/>
        <v>-22475</v>
      </c>
      <c r="Y95" s="2"/>
      <c r="Z95" s="19">
        <f t="shared" si="74"/>
        <v>-1</v>
      </c>
    </row>
    <row r="96" spans="1:26" s="24" customFormat="1" hidden="1" outlineLevel="1" x14ac:dyDescent="0.25">
      <c r="A96" s="44"/>
      <c r="B96" s="11" t="str">
        <f>CONCATENATE("          ", "9163", " - ", "MISC. INCOME")</f>
        <v xml:space="preserve">          9163 - MISC. INCOME</v>
      </c>
      <c r="C96" s="11"/>
      <c r="D96" s="2">
        <f t="shared" si="77"/>
        <v>0</v>
      </c>
      <c r="E96" s="2"/>
      <c r="F96" s="19">
        <f t="shared" si="67"/>
        <v>0</v>
      </c>
      <c r="G96" s="2"/>
      <c r="H96" s="2">
        <f t="shared" si="78"/>
        <v>0</v>
      </c>
      <c r="I96" s="2"/>
      <c r="J96" s="19">
        <f t="shared" si="68"/>
        <v>0</v>
      </c>
      <c r="K96" s="2"/>
      <c r="L96" s="2">
        <f t="shared" si="69"/>
        <v>0</v>
      </c>
      <c r="M96" s="2"/>
      <c r="N96" s="19">
        <f t="shared" si="70"/>
        <v>0</v>
      </c>
      <c r="O96" s="11"/>
      <c r="P96" s="2">
        <f t="shared" si="79"/>
        <v>0</v>
      </c>
      <c r="Q96" s="2"/>
      <c r="R96" s="19">
        <f t="shared" si="71"/>
        <v>0</v>
      </c>
      <c r="S96" s="2"/>
      <c r="T96" s="2">
        <f>--61106.55</f>
        <v>61106.55</v>
      </c>
      <c r="U96" s="2"/>
      <c r="V96" s="19">
        <f t="shared" si="72"/>
        <v>0.15270915869596557</v>
      </c>
      <c r="W96" s="2"/>
      <c r="X96" s="2">
        <f t="shared" si="73"/>
        <v>-61106.55</v>
      </c>
      <c r="Y96" s="2"/>
      <c r="Z96" s="19">
        <f t="shared" si="74"/>
        <v>-1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8" t="s">
        <v>3</v>
      </c>
      <c r="C98" s="28"/>
      <c r="D98" s="20">
        <f>+D38-D40+D90</f>
        <v>18251.210000000003</v>
      </c>
      <c r="E98" s="14"/>
      <c r="F98" s="22">
        <f>IF(D$12=0,0,D98/D$12)</f>
        <v>0.61708484776765349</v>
      </c>
      <c r="G98" s="14"/>
      <c r="H98" s="20">
        <f>+H38-H40+H90</f>
        <v>66880.950000000012</v>
      </c>
      <c r="I98" s="14"/>
      <c r="J98" s="22">
        <f>IF(H$12=0,0,H98/H$12)</f>
        <v>0.72299610605968734</v>
      </c>
      <c r="K98" s="15"/>
      <c r="L98" s="20">
        <f>+D98-H98</f>
        <v>-48629.740000000005</v>
      </c>
      <c r="M98" s="15"/>
      <c r="N98" s="22">
        <f>IF(H98=0,0,L98/H98)</f>
        <v>-0.72710898992912032</v>
      </c>
      <c r="O98" s="29"/>
      <c r="P98" s="20">
        <f>+P38-P40+P90</f>
        <v>-58351.530000000028</v>
      </c>
      <c r="Q98" s="14"/>
      <c r="R98" s="22">
        <f>IF(P$12=0,0,P98/P$12)</f>
        <v>-0.55888940333248371</v>
      </c>
      <c r="S98" s="14"/>
      <c r="T98" s="20">
        <f>+T38-T40+T90</f>
        <v>261107.26999999996</v>
      </c>
      <c r="U98" s="14"/>
      <c r="V98" s="22">
        <f>IF(T$12=0,0,T98/T$12)</f>
        <v>0.65252369068619198</v>
      </c>
      <c r="W98" s="15"/>
      <c r="X98" s="20">
        <f>+P98-T98</f>
        <v>-319458.8</v>
      </c>
      <c r="Y98" s="15"/>
      <c r="Z98" s="22">
        <f>IF(T98=0,0,X98/T98)</f>
        <v>-1.2234772321735816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1"/>
      <c r="B100" s="10" t="s">
        <v>13</v>
      </c>
      <c r="C100" s="10"/>
      <c r="D100" s="4">
        <v>5107.41</v>
      </c>
      <c r="E100" s="4"/>
      <c r="F100" s="12">
        <f>IF(D$12=0,0,D100/D$12)</f>
        <v>0.17268473281152269</v>
      </c>
      <c r="G100" s="4"/>
      <c r="H100" s="4">
        <v>8501.9699999999993</v>
      </c>
      <c r="I100" s="4"/>
      <c r="J100" s="12">
        <f>IF(H$12=0,0,H100/H$12)</f>
        <v>9.1907952919871472E-2</v>
      </c>
      <c r="K100" s="4"/>
      <c r="L100" s="4">
        <f>+D100-H100</f>
        <v>-3394.5599999999995</v>
      </c>
      <c r="M100" s="4"/>
      <c r="N100" s="12">
        <f>IF(H100=0,0,L100/H100)</f>
        <v>-0.39926746389366224</v>
      </c>
      <c r="O100" s="10"/>
      <c r="P100" s="4">
        <v>18952.489999999998</v>
      </c>
      <c r="Q100" s="4"/>
      <c r="R100" s="12">
        <f>IF(P$12=0,0,P100/P$12)</f>
        <v>0.1815264454550696</v>
      </c>
      <c r="S100" s="4"/>
      <c r="T100" s="4">
        <v>41729.96</v>
      </c>
      <c r="U100" s="4"/>
      <c r="V100" s="12">
        <f>IF(T$12=0,0,T100/T$12)</f>
        <v>0.10428582670787821</v>
      </c>
      <c r="W100" s="4"/>
      <c r="X100" s="4">
        <f>+P100-T100</f>
        <v>-22777.47</v>
      </c>
      <c r="Y100" s="4"/>
      <c r="Z100" s="12">
        <f>IF(T100=0,0,X100/T100)</f>
        <v>-0.54583014218082171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8" t="s">
        <v>4</v>
      </c>
      <c r="C102" s="28"/>
      <c r="D102" s="30">
        <f>+D98-D100</f>
        <v>13143.800000000003</v>
      </c>
      <c r="E102" s="14"/>
      <c r="F102" s="36">
        <f>IF(D$12=0,0,D102/D$12)</f>
        <v>0.44440011495613085</v>
      </c>
      <c r="G102" s="14"/>
      <c r="H102" s="30">
        <f>+H98-H100</f>
        <v>58378.98000000001</v>
      </c>
      <c r="I102" s="14"/>
      <c r="J102" s="36">
        <f>IF(H$12=0,0,H102/H$12)</f>
        <v>0.63108815313981581</v>
      </c>
      <c r="K102" s="15"/>
      <c r="L102" s="30">
        <f>D102-H102</f>
        <v>-45235.180000000008</v>
      </c>
      <c r="M102" s="15"/>
      <c r="N102" s="36">
        <f>IF(H102=0,0,L102/H102)</f>
        <v>-0.77485389432977414</v>
      </c>
      <c r="O102" s="29"/>
      <c r="P102" s="30">
        <f>+P98-P100</f>
        <v>-77304.020000000019</v>
      </c>
      <c r="Q102" s="14"/>
      <c r="R102" s="36">
        <f>IF(P$12=0,0,P102/P$12)</f>
        <v>-0.74041584878755329</v>
      </c>
      <c r="S102" s="14"/>
      <c r="T102" s="30">
        <f>+T98-T100</f>
        <v>219377.30999999997</v>
      </c>
      <c r="U102" s="14"/>
      <c r="V102" s="36">
        <f>IF(T$12=0,0,T102/T$12)</f>
        <v>0.54823786397831376</v>
      </c>
      <c r="W102" s="15"/>
      <c r="X102" s="30">
        <f>P102-T102</f>
        <v>-296681.32999999996</v>
      </c>
      <c r="Y102" s="15"/>
      <c r="Z102" s="36">
        <f>IF(T102=0,0,X102/T102)</f>
        <v>-1.3523792866272268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8" t="s">
        <v>5</v>
      </c>
      <c r="C105" s="28"/>
      <c r="D105" s="32">
        <f>SUM(D102:D104)</f>
        <v>13143.800000000003</v>
      </c>
      <c r="E105" s="14"/>
      <c r="F105" s="31">
        <f>IF(D$12=0,0,D105/D$12)</f>
        <v>0.44440011495613085</v>
      </c>
      <c r="G105" s="14"/>
      <c r="H105" s="32">
        <f>SUM(H102:H104)</f>
        <v>58378.98000000001</v>
      </c>
      <c r="I105" s="14"/>
      <c r="J105" s="31">
        <f>IF(H$12=0,0,H105/H$12)</f>
        <v>0.63108815313981581</v>
      </c>
      <c r="K105" s="15"/>
      <c r="L105" s="32">
        <f>+D105-H105</f>
        <v>-45235.180000000008</v>
      </c>
      <c r="M105" s="15"/>
      <c r="N105" s="31">
        <f>IF(H105=0,0,L105/H105)</f>
        <v>-0.77485389432977414</v>
      </c>
      <c r="O105" s="29"/>
      <c r="P105" s="32">
        <f>SUM(P102:P104)</f>
        <v>-77304.020000000019</v>
      </c>
      <c r="Q105" s="14"/>
      <c r="R105" s="31">
        <f>IF(P$12=0,0,P105/P$12)</f>
        <v>-0.74041584878755329</v>
      </c>
      <c r="S105" s="14"/>
      <c r="T105" s="32">
        <f>SUM(T102:T104)</f>
        <v>219377.30999999997</v>
      </c>
      <c r="U105" s="14"/>
      <c r="V105" s="31">
        <f>IF(T$12=0,0,T105/T$12)</f>
        <v>0.54823786397831376</v>
      </c>
      <c r="W105" s="15"/>
      <c r="X105" s="32">
        <f>+P105-T105</f>
        <v>-296681.32999999996</v>
      </c>
      <c r="Y105" s="15"/>
      <c r="Z105" s="31">
        <f>IF(T105=0,0,X105/T105)</f>
        <v>-1.3523792866272268</v>
      </c>
    </row>
    <row r="106" spans="1:26" ht="15.75" thickTop="1" x14ac:dyDescent="0.25">
      <c r="A106" s="9"/>
      <c r="C106" s="9"/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62">
        <v>44238.495902349539</v>
      </c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A108" s="9"/>
      <c r="B108" s="59" t="s">
        <v>313</v>
      </c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56"/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","316", " - ", "Campus Copy Center")</f>
        <v>Department 316 - Campus Copy Center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29576.499999999996</v>
      </c>
      <c r="E12" s="4"/>
      <c r="F12" s="12"/>
      <c r="G12" s="4"/>
      <c r="H12" s="4">
        <f>SUM(OSRRefH13x_0)</f>
        <v>92494.33</v>
      </c>
      <c r="I12" s="4"/>
      <c r="J12" s="12"/>
      <c r="K12" s="4"/>
      <c r="L12" s="4">
        <f t="shared" ref="L12:L26" si="0">+D12-H12</f>
        <v>-62917.83</v>
      </c>
      <c r="M12" s="4"/>
      <c r="N12" s="12">
        <f t="shared" ref="N12:N26" si="1">IF(H12=0,0,L12/H12)</f>
        <v>-0.68023445329027199</v>
      </c>
      <c r="O12" s="10"/>
      <c r="P12" s="4">
        <f>SUM(OSRRefP13x_0)</f>
        <v>104406.22</v>
      </c>
      <c r="Q12" s="4"/>
      <c r="R12" s="12"/>
      <c r="S12" s="4"/>
      <c r="T12" s="4">
        <f>SUM(OSRRefT13x_0)</f>
        <v>392590.04000000004</v>
      </c>
      <c r="U12" s="4"/>
      <c r="V12" s="12"/>
      <c r="W12" s="4"/>
      <c r="X12" s="4">
        <f t="shared" ref="X12:X26" si="2">+P12-T12</f>
        <v>-288183.82000000007</v>
      </c>
      <c r="Y12" s="4"/>
      <c r="Z12" s="12">
        <f t="shared" ref="Z12:Z26" si="3">IF(T12=0,0,X12/T12)</f>
        <v>-0.73405789917645403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-0.63</f>
        <v>-0.63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-0.63</v>
      </c>
      <c r="M13" s="2"/>
      <c r="N13" s="19">
        <f t="shared" si="1"/>
        <v>0</v>
      </c>
      <c r="O13" s="11"/>
      <c r="P13" s="2">
        <f>-9.28</f>
        <v>-9.2799999999999994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-9.2799999999999994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--27561.7</f>
        <v>27561.7</v>
      </c>
      <c r="E14" s="2"/>
      <c r="F14" s="19"/>
      <c r="G14" s="2"/>
      <c r="H14" s="2">
        <f>--67657.65</f>
        <v>67657.649999999994</v>
      </c>
      <c r="I14" s="2"/>
      <c r="J14" s="19"/>
      <c r="K14" s="2"/>
      <c r="L14" s="2">
        <f t="shared" si="0"/>
        <v>-40095.949999999997</v>
      </c>
      <c r="M14" s="2"/>
      <c r="N14" s="19">
        <f t="shared" si="1"/>
        <v>-0.59262995389287099</v>
      </c>
      <c r="O14" s="11"/>
      <c r="P14" s="2">
        <f>--88505.97</f>
        <v>88505.97</v>
      </c>
      <c r="Q14" s="2"/>
      <c r="R14" s="19"/>
      <c r="S14" s="2"/>
      <c r="T14" s="2">
        <f>--164722.53</f>
        <v>164722.53</v>
      </c>
      <c r="U14" s="2"/>
      <c r="V14" s="19"/>
      <c r="W14" s="2"/>
      <c r="X14" s="2">
        <f t="shared" si="2"/>
        <v>-76216.56</v>
      </c>
      <c r="Y14" s="2"/>
      <c r="Z14" s="19">
        <f t="shared" si="3"/>
        <v>-0.46269663293782581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--1691.73</f>
        <v>1691.73</v>
      </c>
      <c r="E15" s="2"/>
      <c r="F15" s="19"/>
      <c r="G15" s="2"/>
      <c r="H15" s="2">
        <f>--5786.57</f>
        <v>5786.57</v>
      </c>
      <c r="I15" s="2"/>
      <c r="J15" s="19"/>
      <c r="K15" s="2"/>
      <c r="L15" s="2">
        <f t="shared" si="0"/>
        <v>-4094.8399999999997</v>
      </c>
      <c r="M15" s="2"/>
      <c r="N15" s="19">
        <f t="shared" si="1"/>
        <v>-0.70764546181935062</v>
      </c>
      <c r="O15" s="11"/>
      <c r="P15" s="2">
        <f>--14545.58</f>
        <v>14545.58</v>
      </c>
      <c r="Q15" s="2"/>
      <c r="R15" s="19"/>
      <c r="S15" s="2"/>
      <c r="T15" s="2">
        <f>--53893.51</f>
        <v>53893.51</v>
      </c>
      <c r="U15" s="2"/>
      <c r="V15" s="19"/>
      <c r="W15" s="2"/>
      <c r="X15" s="2">
        <f t="shared" si="2"/>
        <v>-39347.93</v>
      </c>
      <c r="Y15" s="2"/>
      <c r="Z15" s="19">
        <f t="shared" si="3"/>
        <v>-0.73010516479628063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--18.35</f>
        <v>18.350000000000001</v>
      </c>
      <c r="E16" s="2"/>
      <c r="F16" s="19"/>
      <c r="G16" s="2"/>
      <c r="H16" s="2">
        <f>--85</f>
        <v>85</v>
      </c>
      <c r="I16" s="2"/>
      <c r="J16" s="19"/>
      <c r="K16" s="2"/>
      <c r="L16" s="2">
        <f t="shared" si="0"/>
        <v>-66.650000000000006</v>
      </c>
      <c r="M16" s="2"/>
      <c r="N16" s="19">
        <f t="shared" si="1"/>
        <v>-0.78411764705882359</v>
      </c>
      <c r="O16" s="11"/>
      <c r="P16" s="2">
        <f>--34.31</f>
        <v>34.31</v>
      </c>
      <c r="Q16" s="2"/>
      <c r="R16" s="19"/>
      <c r="S16" s="2"/>
      <c r="T16" s="2">
        <f>--189.06</f>
        <v>189.06</v>
      </c>
      <c r="U16" s="2"/>
      <c r="V16" s="19"/>
      <c r="W16" s="2"/>
      <c r="X16" s="2">
        <f t="shared" si="2"/>
        <v>-154.75</v>
      </c>
      <c r="Y16" s="2"/>
      <c r="Z16" s="19">
        <f t="shared" si="3"/>
        <v>-0.81852322014175394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>0</f>
        <v>0</v>
      </c>
      <c r="E17" s="2"/>
      <c r="F17" s="19"/>
      <c r="G17" s="2"/>
      <c r="H17" s="2">
        <f>--183.1</f>
        <v>183.1</v>
      </c>
      <c r="I17" s="2"/>
      <c r="J17" s="19"/>
      <c r="K17" s="2"/>
      <c r="L17" s="2">
        <f t="shared" si="0"/>
        <v>-183.1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--1977.04</f>
        <v>1977.04</v>
      </c>
      <c r="U17" s="2"/>
      <c r="V17" s="19"/>
      <c r="W17" s="2"/>
      <c r="X17" s="2">
        <f t="shared" si="2"/>
        <v>-1977.04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--708.6</f>
        <v>708.6</v>
      </c>
      <c r="E18" s="2"/>
      <c r="F18" s="19"/>
      <c r="G18" s="2"/>
      <c r="H18" s="2">
        <f>--698.4</f>
        <v>698.4</v>
      </c>
      <c r="I18" s="2"/>
      <c r="J18" s="19"/>
      <c r="K18" s="2"/>
      <c r="L18" s="2">
        <f t="shared" si="0"/>
        <v>10.200000000000045</v>
      </c>
      <c r="M18" s="2"/>
      <c r="N18" s="19">
        <f t="shared" si="1"/>
        <v>1.460481099656364E-2</v>
      </c>
      <c r="O18" s="11"/>
      <c r="P18" s="2">
        <f>--1228.25</f>
        <v>1228.25</v>
      </c>
      <c r="Q18" s="2"/>
      <c r="R18" s="19"/>
      <c r="S18" s="2"/>
      <c r="T18" s="2">
        <f>--851.15</f>
        <v>851.15</v>
      </c>
      <c r="U18" s="2"/>
      <c r="V18" s="19"/>
      <c r="W18" s="2"/>
      <c r="X18" s="2">
        <f t="shared" si="2"/>
        <v>377.1</v>
      </c>
      <c r="Y18" s="2"/>
      <c r="Z18" s="19">
        <f t="shared" si="3"/>
        <v>0.44304764142630565</v>
      </c>
    </row>
    <row r="19" spans="1:26" s="24" customFormat="1" hidden="1" outlineLevel="1" x14ac:dyDescent="0.25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0</f>
        <v>0</v>
      </c>
      <c r="E19" s="2"/>
      <c r="F19" s="19"/>
      <c r="G19" s="2"/>
      <c r="H19" s="2">
        <f>--1402.33</f>
        <v>1402.33</v>
      </c>
      <c r="I19" s="2"/>
      <c r="J19" s="19"/>
      <c r="K19" s="2"/>
      <c r="L19" s="2">
        <f t="shared" si="0"/>
        <v>-1402.33</v>
      </c>
      <c r="M19" s="2"/>
      <c r="N19" s="19">
        <f t="shared" si="1"/>
        <v>-1</v>
      </c>
      <c r="O19" s="11"/>
      <c r="P19" s="2">
        <f>--1110.59</f>
        <v>1110.5899999999999</v>
      </c>
      <c r="Q19" s="2"/>
      <c r="R19" s="19"/>
      <c r="S19" s="2"/>
      <c r="T19" s="2">
        <f>--8159.22</f>
        <v>8159.22</v>
      </c>
      <c r="U19" s="2"/>
      <c r="V19" s="19"/>
      <c r="W19" s="2"/>
      <c r="X19" s="2">
        <f t="shared" si="2"/>
        <v>-7048.63</v>
      </c>
      <c r="Y19" s="2"/>
      <c r="Z19" s="19">
        <f t="shared" si="3"/>
        <v>-0.86388527334720722</v>
      </c>
    </row>
    <row r="20" spans="1:26" s="24" customFormat="1" hidden="1" outlineLevel="1" x14ac:dyDescent="0.25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--12.7</f>
        <v>12.7</v>
      </c>
      <c r="E20" s="2"/>
      <c r="F20" s="19"/>
      <c r="G20" s="2"/>
      <c r="H20" s="2">
        <f>--17086.55</f>
        <v>17086.55</v>
      </c>
      <c r="I20" s="2"/>
      <c r="J20" s="19"/>
      <c r="K20" s="2"/>
      <c r="L20" s="2">
        <f t="shared" si="0"/>
        <v>-17073.849999999999</v>
      </c>
      <c r="M20" s="2"/>
      <c r="N20" s="19">
        <f t="shared" si="1"/>
        <v>-0.99925672531903742</v>
      </c>
      <c r="O20" s="11"/>
      <c r="P20" s="2">
        <f>--140.6</f>
        <v>140.6</v>
      </c>
      <c r="Q20" s="2"/>
      <c r="R20" s="19"/>
      <c r="S20" s="2"/>
      <c r="T20" s="2">
        <f>--163554.5</f>
        <v>163554.5</v>
      </c>
      <c r="U20" s="2"/>
      <c r="V20" s="19"/>
      <c r="W20" s="2"/>
      <c r="X20" s="2">
        <f t="shared" si="2"/>
        <v>-163413.9</v>
      </c>
      <c r="Y20" s="2"/>
      <c r="Z20" s="19">
        <f t="shared" si="3"/>
        <v>-0.99914034771284188</v>
      </c>
    </row>
    <row r="21" spans="1:26" s="24" customFormat="1" hidden="1" outlineLevel="1" x14ac:dyDescent="0.25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>--11</f>
        <v>11</v>
      </c>
      <c r="E21" s="2"/>
      <c r="F21" s="19"/>
      <c r="G21" s="2"/>
      <c r="H21" s="2">
        <f>--11.5</f>
        <v>11.5</v>
      </c>
      <c r="I21" s="2"/>
      <c r="J21" s="19"/>
      <c r="K21" s="2"/>
      <c r="L21" s="2">
        <f t="shared" si="0"/>
        <v>-0.5</v>
      </c>
      <c r="M21" s="2"/>
      <c r="N21" s="19">
        <f t="shared" si="1"/>
        <v>-4.3478260869565216E-2</v>
      </c>
      <c r="O21" s="11"/>
      <c r="P21" s="2">
        <f>--115.5</f>
        <v>115.5</v>
      </c>
      <c r="Q21" s="2"/>
      <c r="R21" s="19"/>
      <c r="S21" s="2"/>
      <c r="T21" s="2">
        <f>--318.9</f>
        <v>318.89999999999998</v>
      </c>
      <c r="U21" s="2"/>
      <c r="V21" s="19"/>
      <c r="W21" s="2"/>
      <c r="X21" s="2">
        <f t="shared" si="2"/>
        <v>-203.39999999999998</v>
      </c>
      <c r="Y21" s="2"/>
      <c r="Z21" s="19">
        <f t="shared" si="3"/>
        <v>-0.63781749764816553</v>
      </c>
    </row>
    <row r="22" spans="1:26" s="24" customFormat="1" hidden="1" outlineLevel="1" x14ac:dyDescent="0.25">
      <c r="A22" s="44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-415.75</f>
        <v>-415.75</v>
      </c>
      <c r="E22" s="2"/>
      <c r="F22" s="19"/>
      <c r="G22" s="2"/>
      <c r="H22" s="2">
        <f>-323.35</f>
        <v>-323.35000000000002</v>
      </c>
      <c r="I22" s="2"/>
      <c r="J22" s="19"/>
      <c r="K22" s="2"/>
      <c r="L22" s="2">
        <f t="shared" si="0"/>
        <v>-92.399999999999977</v>
      </c>
      <c r="M22" s="2"/>
      <c r="N22" s="19">
        <f t="shared" si="1"/>
        <v>0.28575846605845051</v>
      </c>
      <c r="O22" s="11"/>
      <c r="P22" s="2">
        <f>-1254.1</f>
        <v>-1254.0999999999999</v>
      </c>
      <c r="Q22" s="2"/>
      <c r="R22" s="19"/>
      <c r="S22" s="2"/>
      <c r="T22" s="2">
        <f>-958.1</f>
        <v>-958.1</v>
      </c>
      <c r="U22" s="2"/>
      <c r="V22" s="19"/>
      <c r="W22" s="2"/>
      <c r="X22" s="2">
        <f t="shared" si="2"/>
        <v>-295.99999999999989</v>
      </c>
      <c r="Y22" s="2"/>
      <c r="Z22" s="19">
        <f t="shared" si="3"/>
        <v>0.30894478655672675</v>
      </c>
    </row>
    <row r="23" spans="1:26" s="24" customFormat="1" hidden="1" outlineLevel="1" x14ac:dyDescent="0.25">
      <c r="A23" s="44"/>
      <c r="B23" s="11" t="str">
        <f>CONCATENATE("          ", "4242", " - ", "SALES RETURN TAXABLE-EVERYDAY")</f>
        <v xml:space="preserve">          4242 - SALES RETURN TAXABLE-EVERYDAY</v>
      </c>
      <c r="C23" s="11"/>
      <c r="D23" s="2">
        <f>0</f>
        <v>0</v>
      </c>
      <c r="E23" s="2"/>
      <c r="F23" s="19"/>
      <c r="G23" s="2"/>
      <c r="H23" s="2">
        <f>-54</f>
        <v>-54</v>
      </c>
      <c r="I23" s="2"/>
      <c r="J23" s="19"/>
      <c r="K23" s="2"/>
      <c r="L23" s="2">
        <f t="shared" si="0"/>
        <v>54</v>
      </c>
      <c r="M23" s="2"/>
      <c r="N23" s="19">
        <f t="shared" si="1"/>
        <v>-1</v>
      </c>
      <c r="O23" s="11"/>
      <c r="P23" s="2">
        <f>0</f>
        <v>0</v>
      </c>
      <c r="Q23" s="2"/>
      <c r="R23" s="19"/>
      <c r="S23" s="2"/>
      <c r="T23" s="2">
        <f>-70.2</f>
        <v>-70.2</v>
      </c>
      <c r="U23" s="2"/>
      <c r="V23" s="19"/>
      <c r="W23" s="2"/>
      <c r="X23" s="2">
        <f t="shared" si="2"/>
        <v>70.2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>-11.2</f>
        <v>-11.2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-11.2</v>
      </c>
      <c r="M24" s="2"/>
      <c r="N24" s="19">
        <f t="shared" si="1"/>
        <v>0</v>
      </c>
      <c r="O24" s="11"/>
      <c r="P24" s="2">
        <f>-11.2</f>
        <v>-11.2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-11.2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"4342", " - ", "SALES RETURN NON TAXABLE-EVERY")</f>
        <v xml:space="preserve">          4342 - SALES RETURN NON TAXABLE-EVERY</v>
      </c>
      <c r="C25" s="11"/>
      <c r="D25" s="2">
        <f t="shared" ref="D25:D26" si="4">0</f>
        <v>0</v>
      </c>
      <c r="E25" s="2"/>
      <c r="F25" s="19"/>
      <c r="G25" s="2"/>
      <c r="H25" s="2">
        <f>-39.42</f>
        <v>-39.42</v>
      </c>
      <c r="I25" s="2"/>
      <c r="J25" s="19"/>
      <c r="K25" s="2"/>
      <c r="L25" s="2">
        <f t="shared" si="0"/>
        <v>39.42</v>
      </c>
      <c r="M25" s="2"/>
      <c r="N25" s="19">
        <f t="shared" si="1"/>
        <v>-1</v>
      </c>
      <c r="O25" s="11"/>
      <c r="P25" s="2">
        <f t="shared" ref="P25:P26" si="5">0</f>
        <v>0</v>
      </c>
      <c r="Q25" s="2"/>
      <c r="R25" s="19"/>
      <c r="S25" s="2"/>
      <c r="T25" s="2">
        <f>-39.42</f>
        <v>-39.42</v>
      </c>
      <c r="U25" s="2"/>
      <c r="V25" s="19"/>
      <c r="W25" s="2"/>
      <c r="X25" s="2">
        <f t="shared" si="2"/>
        <v>39.42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"4346", " - ", "SALES RETURN NON TAXABLE-COIN-")</f>
        <v xml:space="preserve">          4346 - SALES RETURN NON TAXABLE-COIN-</v>
      </c>
      <c r="C26" s="11"/>
      <c r="D26" s="2">
        <f t="shared" si="4"/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-8.15</f>
        <v>-8.15</v>
      </c>
      <c r="U26" s="2"/>
      <c r="V26" s="19"/>
      <c r="W26" s="2"/>
      <c r="X26" s="2">
        <f t="shared" si="2"/>
        <v>8.15</v>
      </c>
      <c r="Y26" s="2"/>
      <c r="Z26" s="19">
        <f t="shared" si="3"/>
        <v>-1</v>
      </c>
    </row>
    <row r="27" spans="1:26" x14ac:dyDescent="0.25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8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6</v>
      </c>
      <c r="C30" s="28"/>
      <c r="D30" s="20">
        <f>D12-D28</f>
        <v>29576.499999999996</v>
      </c>
      <c r="E30" s="14"/>
      <c r="F30" s="22">
        <f>IF(D$12=0,0,D30/D$12)</f>
        <v>1</v>
      </c>
      <c r="G30" s="14"/>
      <c r="H30" s="20">
        <f>H12-H28</f>
        <v>92494.33</v>
      </c>
      <c r="I30" s="14"/>
      <c r="J30" s="22">
        <f>IF(H$12=0,0,H30/H$12)</f>
        <v>1</v>
      </c>
      <c r="K30" s="15"/>
      <c r="L30" s="20">
        <f>+D30-H30</f>
        <v>-62917.83</v>
      </c>
      <c r="M30" s="15"/>
      <c r="N30" s="22">
        <f>IF(H30=0,0,L30/H30)</f>
        <v>-0.68023445329027199</v>
      </c>
      <c r="O30" s="29"/>
      <c r="P30" s="20">
        <f>P12-P28</f>
        <v>104406.22</v>
      </c>
      <c r="Q30" s="14"/>
      <c r="R30" s="22">
        <f>IF(P$12=0,0,P30/P$12)</f>
        <v>1</v>
      </c>
      <c r="S30" s="14"/>
      <c r="T30" s="20">
        <f>T12-T28</f>
        <v>392590.04000000004</v>
      </c>
      <c r="U30" s="14"/>
      <c r="V30" s="22">
        <f>IF(T$12=0,0,T30/T$12)</f>
        <v>1</v>
      </c>
      <c r="W30" s="15"/>
      <c r="X30" s="20">
        <f>+P30-T30</f>
        <v>-288183.82000000007</v>
      </c>
      <c r="Y30" s="15"/>
      <c r="Z30" s="22">
        <f>IF(T30=0,0,X30/T30)</f>
        <v>-0.73405789917645403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9" t="s">
        <v>9</v>
      </c>
      <c r="C32" s="10"/>
      <c r="D32" s="21">
        <f>SUM(OSRRefD22x_0)</f>
        <v>18107.289999999994</v>
      </c>
      <c r="E32" s="21"/>
      <c r="F32" s="35">
        <f t="shared" ref="F32:F41" si="6">IF(D$12=0,0,D32/D$12)</f>
        <v>0.61221882237587255</v>
      </c>
      <c r="G32" s="21"/>
      <c r="H32" s="21">
        <f>SUM(OSRRefH22x_0)</f>
        <v>56114.55</v>
      </c>
      <c r="I32" s="21"/>
      <c r="J32" s="35">
        <f t="shared" ref="J32:J41" si="7">IF(H$12=0,0,H32/H$12)</f>
        <v>0.60668097168766999</v>
      </c>
      <c r="K32" s="4"/>
      <c r="L32" s="21">
        <f t="shared" ref="L32:L41" si="8">+D32-H32</f>
        <v>-38007.260000000009</v>
      </c>
      <c r="M32" s="4"/>
      <c r="N32" s="35">
        <f t="shared" ref="N32:N41" si="9">IF(H32=0,0,L32/H32)</f>
        <v>-0.67731559818264619</v>
      </c>
      <c r="O32" s="10"/>
      <c r="P32" s="21">
        <f>SUM(OSRRefP22x_0)</f>
        <v>210231.75000000003</v>
      </c>
      <c r="Q32" s="21"/>
      <c r="R32" s="35">
        <f t="shared" ref="R32:R41" si="10">IF(P$12=0,0,P32/P$12)</f>
        <v>2.0135941134541602</v>
      </c>
      <c r="S32" s="21"/>
      <c r="T32" s="21">
        <f>SUM(OSRRefT22x_0)</f>
        <v>328560.95000000013</v>
      </c>
      <c r="U32" s="21"/>
      <c r="V32" s="35">
        <f t="shared" ref="V32:V41" si="11">IF(T$12=0,0,T32/T$12)</f>
        <v>0.83690597448677018</v>
      </c>
      <c r="W32" s="4"/>
      <c r="X32" s="21">
        <f t="shared" ref="X32:X41" si="12">+P32-T32</f>
        <v>-118329.2000000001</v>
      </c>
      <c r="Y32" s="4"/>
      <c r="Z32" s="35">
        <f t="shared" ref="Z32:Z41" si="13">IF(T32=0,0,X32/T32)</f>
        <v>-0.36014383328268335</v>
      </c>
    </row>
    <row r="33" spans="1:26" s="26" customFormat="1" outlineLevel="1" collapsed="1" x14ac:dyDescent="0.25">
      <c r="A33" s="27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11976.35</v>
      </c>
      <c r="E33" s="1"/>
      <c r="F33" s="5">
        <f t="shared" si="6"/>
        <v>0.40492789883860503</v>
      </c>
      <c r="G33" s="1"/>
      <c r="H33" s="1">
        <f>SUM(OSRRefH22_0x_0)</f>
        <v>8275.4700000000012</v>
      </c>
      <c r="I33" s="1"/>
      <c r="J33" s="5">
        <f t="shared" si="7"/>
        <v>8.9470024811250604E-2</v>
      </c>
      <c r="K33" s="1"/>
      <c r="L33" s="1">
        <f t="shared" si="8"/>
        <v>3700.8799999999992</v>
      </c>
      <c r="M33" s="1"/>
      <c r="N33" s="5">
        <f t="shared" si="9"/>
        <v>0.4472108532808407</v>
      </c>
      <c r="O33" s="13"/>
      <c r="P33" s="1">
        <f>SUM(OSRRefP22_0x_0)</f>
        <v>66685.219999999987</v>
      </c>
      <c r="Q33" s="1"/>
      <c r="R33" s="5">
        <f t="shared" si="10"/>
        <v>0.63870926463959699</v>
      </c>
      <c r="S33" s="1"/>
      <c r="T33" s="1">
        <f>SUM(OSRRefT22_0x_0)</f>
        <v>55556.830000000009</v>
      </c>
      <c r="U33" s="1"/>
      <c r="V33" s="5">
        <f t="shared" si="11"/>
        <v>0.14151360029408797</v>
      </c>
      <c r="W33" s="1"/>
      <c r="X33" s="1">
        <f t="shared" si="12"/>
        <v>11128.389999999978</v>
      </c>
      <c r="Y33" s="1"/>
      <c r="Z33" s="5">
        <f t="shared" si="13"/>
        <v>0.20030642497061074</v>
      </c>
    </row>
    <row r="34" spans="1:26" s="24" customFormat="1" hidden="1" outlineLevel="2" x14ac:dyDescent="0.25">
      <c r="A34" s="25"/>
      <c r="B34" s="11" t="str">
        <f>CONCATENATE("          ", "6111", " - ", "F.I.C.A.")</f>
        <v xml:space="preserve">          6111 - F.I.C.A.</v>
      </c>
      <c r="C34" s="11"/>
      <c r="D34" s="6">
        <v>1213.6400000000001</v>
      </c>
      <c r="E34" s="2"/>
      <c r="F34" s="7">
        <f t="shared" si="6"/>
        <v>4.1033928963873353E-2</v>
      </c>
      <c r="G34" s="2"/>
      <c r="H34" s="6">
        <v>1152.92</v>
      </c>
      <c r="I34" s="2"/>
      <c r="J34" s="7">
        <f t="shared" si="7"/>
        <v>1.2464764056348103E-2</v>
      </c>
      <c r="K34" s="2"/>
      <c r="L34" s="6">
        <f t="shared" si="8"/>
        <v>60.720000000000027</v>
      </c>
      <c r="M34" s="2"/>
      <c r="N34" s="7">
        <f t="shared" si="9"/>
        <v>5.2666273462165653E-2</v>
      </c>
      <c r="O34" s="11"/>
      <c r="P34" s="6">
        <v>9040.41</v>
      </c>
      <c r="Q34" s="2"/>
      <c r="R34" s="7">
        <f t="shared" si="10"/>
        <v>8.6588806682207239E-2</v>
      </c>
      <c r="S34" s="2"/>
      <c r="T34" s="6">
        <v>9051.08</v>
      </c>
      <c r="U34" s="2"/>
      <c r="V34" s="7">
        <f t="shared" si="11"/>
        <v>2.3054787635468282E-2</v>
      </c>
      <c r="W34" s="2"/>
      <c r="X34" s="6">
        <f t="shared" si="12"/>
        <v>-10.670000000000073</v>
      </c>
      <c r="Y34" s="2"/>
      <c r="Z34" s="7">
        <f t="shared" si="13"/>
        <v>-1.1788648426486201E-3</v>
      </c>
    </row>
    <row r="35" spans="1:26" s="24" customFormat="1" hidden="1" outlineLevel="2" x14ac:dyDescent="0.25">
      <c r="A35" s="25"/>
      <c r="B35" s="11" t="str">
        <f>CONCATENATE("          ", "6112", " - ", "COMPENSATION INSURANCE")</f>
        <v xml:space="preserve">          6112 - COMPENSATION INSURANCE</v>
      </c>
      <c r="C35" s="11"/>
      <c r="D35" s="6">
        <v>61.08</v>
      </c>
      <c r="E35" s="2"/>
      <c r="F35" s="7">
        <f t="shared" si="6"/>
        <v>2.0651530776122939E-3</v>
      </c>
      <c r="G35" s="2"/>
      <c r="H35" s="6">
        <v>237.16</v>
      </c>
      <c r="I35" s="2"/>
      <c r="J35" s="7">
        <f t="shared" si="7"/>
        <v>2.5640490611694793E-3</v>
      </c>
      <c r="K35" s="2"/>
      <c r="L35" s="6">
        <f t="shared" si="8"/>
        <v>-176.07999999999998</v>
      </c>
      <c r="M35" s="2"/>
      <c r="N35" s="7">
        <f t="shared" si="9"/>
        <v>-0.7424523528419632</v>
      </c>
      <c r="O35" s="11"/>
      <c r="P35" s="6">
        <v>2405.0300000000002</v>
      </c>
      <c r="Q35" s="2"/>
      <c r="R35" s="7">
        <f t="shared" si="10"/>
        <v>2.303531341331963E-2</v>
      </c>
      <c r="S35" s="2"/>
      <c r="T35" s="6">
        <v>1430.52</v>
      </c>
      <c r="U35" s="2"/>
      <c r="V35" s="7">
        <f t="shared" si="11"/>
        <v>3.6438010500724873E-3</v>
      </c>
      <c r="W35" s="2"/>
      <c r="X35" s="6">
        <f t="shared" si="12"/>
        <v>974.51000000000022</v>
      </c>
      <c r="Y35" s="2"/>
      <c r="Z35" s="7">
        <f t="shared" si="13"/>
        <v>0.68122780527360693</v>
      </c>
    </row>
    <row r="36" spans="1:26" s="24" customFormat="1" hidden="1" outlineLevel="2" x14ac:dyDescent="0.25">
      <c r="A36" s="25"/>
      <c r="B36" s="11" t="str">
        <f>CONCATENATE("          ", "6113", " - ", "GROUP INSURANCE")</f>
        <v xml:space="preserve">          6113 - GROUP INSURANCE</v>
      </c>
      <c r="C36" s="11"/>
      <c r="D36" s="6">
        <v>6051.48</v>
      </c>
      <c r="E36" s="2"/>
      <c r="F36" s="7">
        <f t="shared" si="6"/>
        <v>0.20460433114127771</v>
      </c>
      <c r="G36" s="2"/>
      <c r="H36" s="6">
        <v>3218.03</v>
      </c>
      <c r="I36" s="2"/>
      <c r="J36" s="7">
        <f t="shared" si="7"/>
        <v>3.4791646147390873E-2</v>
      </c>
      <c r="K36" s="2"/>
      <c r="L36" s="6">
        <f t="shared" si="8"/>
        <v>2833.4499999999994</v>
      </c>
      <c r="M36" s="2"/>
      <c r="N36" s="7">
        <f t="shared" si="9"/>
        <v>0.88049210231104102</v>
      </c>
      <c r="O36" s="11"/>
      <c r="P36" s="6">
        <v>25792.809999999998</v>
      </c>
      <c r="Q36" s="2"/>
      <c r="R36" s="7">
        <f t="shared" si="10"/>
        <v>0.24704284859656828</v>
      </c>
      <c r="S36" s="2"/>
      <c r="T36" s="6">
        <v>20601.47</v>
      </c>
      <c r="U36" s="2"/>
      <c r="V36" s="7">
        <f t="shared" si="11"/>
        <v>5.2475783644434788E-2</v>
      </c>
      <c r="W36" s="2"/>
      <c r="X36" s="6">
        <f t="shared" si="12"/>
        <v>5191.3399999999965</v>
      </c>
      <c r="Y36" s="2"/>
      <c r="Z36" s="7">
        <f t="shared" si="13"/>
        <v>0.25198881439042925</v>
      </c>
    </row>
    <row r="37" spans="1:26" s="24" customFormat="1" hidden="1" outlineLevel="2" x14ac:dyDescent="0.25">
      <c r="A37" s="25"/>
      <c r="B37" s="11" t="str">
        <f>CONCATENATE("          ", "6114", " - ", "STATE UNEMPLOYMENT INSURANCE")</f>
        <v xml:space="preserve">          6114 - STATE UNEMPLOYMENT INSURANCE</v>
      </c>
      <c r="C37" s="11"/>
      <c r="D37" s="6">
        <v>86.81</v>
      </c>
      <c r="E37" s="2"/>
      <c r="F37" s="7">
        <f t="shared" si="6"/>
        <v>2.9351005020878066E-3</v>
      </c>
      <c r="G37" s="2"/>
      <c r="H37" s="6">
        <v>46.79</v>
      </c>
      <c r="I37" s="2"/>
      <c r="J37" s="7">
        <f t="shared" si="7"/>
        <v>5.0586884623089864E-4</v>
      </c>
      <c r="K37" s="2"/>
      <c r="L37" s="6">
        <f t="shared" si="8"/>
        <v>40.020000000000003</v>
      </c>
      <c r="M37" s="2"/>
      <c r="N37" s="7">
        <f t="shared" si="9"/>
        <v>0.85531096388117123</v>
      </c>
      <c r="O37" s="11"/>
      <c r="P37" s="6">
        <v>337.99</v>
      </c>
      <c r="Q37" s="2"/>
      <c r="R37" s="7">
        <f t="shared" si="10"/>
        <v>3.2372592360876582E-3</v>
      </c>
      <c r="S37" s="2"/>
      <c r="T37" s="6">
        <v>358.79</v>
      </c>
      <c r="U37" s="2"/>
      <c r="V37" s="7">
        <f t="shared" si="11"/>
        <v>9.1390499871061421E-4</v>
      </c>
      <c r="W37" s="2"/>
      <c r="X37" s="6">
        <f t="shared" si="12"/>
        <v>-20.800000000000011</v>
      </c>
      <c r="Y37" s="2"/>
      <c r="Z37" s="7">
        <f t="shared" si="13"/>
        <v>-5.7972630229382122E-2</v>
      </c>
    </row>
    <row r="38" spans="1:26" s="24" customFormat="1" hidden="1" outlineLevel="2" x14ac:dyDescent="0.25">
      <c r="A38" s="25"/>
      <c r="B38" s="11" t="str">
        <f>CONCATENATE("          ", "6115", " - ", "P.E.R.S.")</f>
        <v xml:space="preserve">          6115 - P.E.R.S.</v>
      </c>
      <c r="C38" s="11"/>
      <c r="D38" s="6">
        <v>2421.6799999999998</v>
      </c>
      <c r="E38" s="2"/>
      <c r="F38" s="7">
        <f t="shared" si="6"/>
        <v>8.1878518418338889E-2</v>
      </c>
      <c r="G38" s="2"/>
      <c r="H38" s="6">
        <v>1781.63</v>
      </c>
      <c r="I38" s="2"/>
      <c r="J38" s="7">
        <f t="shared" si="7"/>
        <v>1.9262045576199104E-2</v>
      </c>
      <c r="K38" s="2"/>
      <c r="L38" s="6">
        <f t="shared" si="8"/>
        <v>640.04999999999973</v>
      </c>
      <c r="M38" s="2"/>
      <c r="N38" s="7">
        <f t="shared" si="9"/>
        <v>0.35924967585862366</v>
      </c>
      <c r="O38" s="11"/>
      <c r="P38" s="6">
        <v>12485.89</v>
      </c>
      <c r="Q38" s="2"/>
      <c r="R38" s="7">
        <f t="shared" si="10"/>
        <v>0.11958952253994062</v>
      </c>
      <c r="S38" s="2"/>
      <c r="T38" s="6">
        <v>9603.0400000000009</v>
      </c>
      <c r="U38" s="2"/>
      <c r="V38" s="7">
        <f t="shared" si="11"/>
        <v>2.4460732625820054E-2</v>
      </c>
      <c r="W38" s="2"/>
      <c r="X38" s="6">
        <f t="shared" si="12"/>
        <v>2882.8499999999985</v>
      </c>
      <c r="Y38" s="2"/>
      <c r="Z38" s="7">
        <f t="shared" si="13"/>
        <v>0.30020181109315364</v>
      </c>
    </row>
    <row r="39" spans="1:26" s="24" customFormat="1" hidden="1" outlineLevel="2" x14ac:dyDescent="0.25">
      <c r="A39" s="25"/>
      <c r="B39" s="11" t="str">
        <f>CONCATENATE("          ", "6118", " - ", "VACATION")</f>
        <v xml:space="preserve">          6118 - VACATION</v>
      </c>
      <c r="C39" s="11"/>
      <c r="D39" s="6">
        <v>1216.0999999999999</v>
      </c>
      <c r="E39" s="2"/>
      <c r="F39" s="7">
        <f t="shared" si="6"/>
        <v>4.1117103105506064E-2</v>
      </c>
      <c r="G39" s="2"/>
      <c r="H39" s="6">
        <v>969.46</v>
      </c>
      <c r="I39" s="2"/>
      <c r="J39" s="7">
        <f t="shared" si="7"/>
        <v>1.0481291123466704E-2</v>
      </c>
      <c r="K39" s="2"/>
      <c r="L39" s="6">
        <f t="shared" si="8"/>
        <v>246.63999999999987</v>
      </c>
      <c r="M39" s="2"/>
      <c r="N39" s="7">
        <f t="shared" si="9"/>
        <v>0.25440967136343928</v>
      </c>
      <c r="O39" s="11"/>
      <c r="P39" s="6">
        <v>8883.5300000000007</v>
      </c>
      <c r="Q39" s="2"/>
      <c r="R39" s="7">
        <f t="shared" si="10"/>
        <v>8.508621421214177E-2</v>
      </c>
      <c r="S39" s="2"/>
      <c r="T39" s="6">
        <v>7879.87</v>
      </c>
      <c r="U39" s="2"/>
      <c r="V39" s="7">
        <f t="shared" si="11"/>
        <v>2.0071497483736468E-2</v>
      </c>
      <c r="W39" s="2"/>
      <c r="X39" s="6">
        <f t="shared" si="12"/>
        <v>1003.6600000000008</v>
      </c>
      <c r="Y39" s="2"/>
      <c r="Z39" s="7">
        <f t="shared" si="13"/>
        <v>0.12737012158830041</v>
      </c>
    </row>
    <row r="40" spans="1:26" s="24" customFormat="1" hidden="1" outlineLevel="2" x14ac:dyDescent="0.25">
      <c r="A40" s="25"/>
      <c r="B40" s="11" t="str">
        <f>CONCATENATE("          ", "6119", " - ", "SICK LEAVE")</f>
        <v xml:space="preserve">          6119 - SICK LEAVE</v>
      </c>
      <c r="C40" s="11"/>
      <c r="D40" s="6">
        <v>738.5</v>
      </c>
      <c r="E40" s="2"/>
      <c r="F40" s="7">
        <f t="shared" si="6"/>
        <v>2.4969147803154533E-2</v>
      </c>
      <c r="G40" s="2"/>
      <c r="H40" s="6">
        <v>556.53</v>
      </c>
      <c r="I40" s="2"/>
      <c r="J40" s="7">
        <f t="shared" si="7"/>
        <v>6.0169093608224413E-3</v>
      </c>
      <c r="K40" s="2"/>
      <c r="L40" s="6">
        <f t="shared" si="8"/>
        <v>181.97000000000003</v>
      </c>
      <c r="M40" s="2"/>
      <c r="N40" s="7">
        <f t="shared" si="9"/>
        <v>0.3269724902520979</v>
      </c>
      <c r="O40" s="11"/>
      <c r="P40" s="6">
        <v>5432.77</v>
      </c>
      <c r="Q40" s="2"/>
      <c r="R40" s="7">
        <f t="shared" si="10"/>
        <v>5.2034926654752948E-2</v>
      </c>
      <c r="S40" s="2"/>
      <c r="T40" s="6">
        <v>4652.83</v>
      </c>
      <c r="U40" s="2"/>
      <c r="V40" s="7">
        <f t="shared" si="11"/>
        <v>1.1851625171132715E-2</v>
      </c>
      <c r="W40" s="2"/>
      <c r="X40" s="6">
        <f t="shared" si="12"/>
        <v>779.94000000000051</v>
      </c>
      <c r="Y40" s="2"/>
      <c r="Z40" s="7">
        <f t="shared" si="13"/>
        <v>0.16762701409679712</v>
      </c>
    </row>
    <row r="41" spans="1:26" s="24" customFormat="1" hidden="1" outlineLevel="2" x14ac:dyDescent="0.25">
      <c r="A41" s="25"/>
      <c r="B41" s="11" t="str">
        <f>CONCATENATE("          ", "6156", " - ", "EMPLOYEE MEALS")</f>
        <v xml:space="preserve">          6156 - EMPLOYEE MEALS</v>
      </c>
      <c r="C41" s="11"/>
      <c r="D41" s="6">
        <v>187.06</v>
      </c>
      <c r="E41" s="2"/>
      <c r="F41" s="7">
        <f t="shared" si="6"/>
        <v>6.3246158267543495E-3</v>
      </c>
      <c r="G41" s="2"/>
      <c r="H41" s="6">
        <v>312.95</v>
      </c>
      <c r="I41" s="2"/>
      <c r="J41" s="7">
        <f t="shared" si="7"/>
        <v>3.3834506396229909E-3</v>
      </c>
      <c r="K41" s="2"/>
      <c r="L41" s="6">
        <f t="shared" si="8"/>
        <v>-125.88999999999999</v>
      </c>
      <c r="M41" s="2"/>
      <c r="N41" s="7">
        <f t="shared" si="9"/>
        <v>-0.40226873302444477</v>
      </c>
      <c r="O41" s="11"/>
      <c r="P41" s="6">
        <v>2306.79</v>
      </c>
      <c r="Q41" s="2"/>
      <c r="R41" s="7">
        <f t="shared" si="10"/>
        <v>2.2094373304578981E-2</v>
      </c>
      <c r="S41" s="2"/>
      <c r="T41" s="6">
        <v>1979.23</v>
      </c>
      <c r="U41" s="2"/>
      <c r="V41" s="7">
        <f t="shared" si="11"/>
        <v>5.0414676847125306E-3</v>
      </c>
      <c r="W41" s="2"/>
      <c r="X41" s="6">
        <f t="shared" si="12"/>
        <v>327.55999999999995</v>
      </c>
      <c r="Y41" s="2"/>
      <c r="Z41" s="7">
        <f t="shared" si="13"/>
        <v>0.16549870404147066</v>
      </c>
    </row>
    <row r="42" spans="1:26" s="26" customFormat="1" outlineLevel="1" collapsed="1" x14ac:dyDescent="0.25">
      <c r="A42" s="27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20840.240000000002</v>
      </c>
      <c r="E42" s="1"/>
      <c r="F42" s="5">
        <f t="shared" ref="F42:F46" si="14">IF(D$12=0,0,D42/D$12)</f>
        <v>0.70462157456088459</v>
      </c>
      <c r="G42" s="1"/>
      <c r="H42" s="1">
        <f>SUM(OSRRefH22_1x_0)</f>
        <v>22550.149999999998</v>
      </c>
      <c r="I42" s="1"/>
      <c r="J42" s="5">
        <f t="shared" ref="J42:J46" si="15">IF(H$12=0,0,H42/H$12)</f>
        <v>0.24380034970792261</v>
      </c>
      <c r="K42" s="1"/>
      <c r="L42" s="1">
        <f t="shared" ref="L42:L46" si="16">+D42-H42</f>
        <v>-1709.9099999999962</v>
      </c>
      <c r="M42" s="1"/>
      <c r="N42" s="5">
        <f t="shared" ref="N42:N46" si="17">IF(H42=0,0,L42/H42)</f>
        <v>-7.582699006436748E-2</v>
      </c>
      <c r="O42" s="13"/>
      <c r="P42" s="1">
        <f>SUM(OSRRefP22_1x_0)</f>
        <v>108103.56999999999</v>
      </c>
      <c r="Q42" s="1"/>
      <c r="R42" s="5">
        <f t="shared" ref="R42:R46" si="18">IF(P$12=0,0,P42/P$12)</f>
        <v>1.0354131200229257</v>
      </c>
      <c r="S42" s="1"/>
      <c r="T42" s="1">
        <f>SUM(OSRRefT22_1x_0)</f>
        <v>124410.58</v>
      </c>
      <c r="U42" s="1"/>
      <c r="V42" s="5">
        <f t="shared" ref="V42:V46" si="19">IF(T$12=0,0,T42/T$12)</f>
        <v>0.31689693401289548</v>
      </c>
      <c r="W42" s="1"/>
      <c r="X42" s="1">
        <f t="shared" ref="X42:X46" si="20">+P42-T42</f>
        <v>-16307.010000000009</v>
      </c>
      <c r="Y42" s="1"/>
      <c r="Z42" s="5">
        <f t="shared" ref="Z42:Z46" si="21">IF(T42=0,0,X42/T42)</f>
        <v>-0.13107414176511362</v>
      </c>
    </row>
    <row r="43" spans="1:26" s="24" customFormat="1" hidden="1" outlineLevel="2" x14ac:dyDescent="0.25">
      <c r="A43" s="25"/>
      <c r="B43" s="11" t="str">
        <f>CONCATENATE("          ", "6002", " - ", "STAFF SALARIES")</f>
        <v xml:space="preserve">          6002 - STAFF SALARIES</v>
      </c>
      <c r="C43" s="11"/>
      <c r="D43" s="6">
        <v>19715.72</v>
      </c>
      <c r="E43" s="2"/>
      <c r="F43" s="7">
        <f t="shared" si="14"/>
        <v>0.66660084864672975</v>
      </c>
      <c r="G43" s="2"/>
      <c r="H43" s="6">
        <v>14900.849999999999</v>
      </c>
      <c r="I43" s="2"/>
      <c r="J43" s="7">
        <f t="shared" si="15"/>
        <v>0.16110014527376973</v>
      </c>
      <c r="K43" s="2"/>
      <c r="L43" s="6">
        <f t="shared" si="16"/>
        <v>4814.8700000000026</v>
      </c>
      <c r="M43" s="2"/>
      <c r="N43" s="7">
        <f t="shared" si="17"/>
        <v>0.32312720415278345</v>
      </c>
      <c r="O43" s="11"/>
      <c r="P43" s="6">
        <v>102746.43</v>
      </c>
      <c r="Q43" s="2"/>
      <c r="R43" s="7">
        <f t="shared" si="18"/>
        <v>0.98410257549789648</v>
      </c>
      <c r="S43" s="2"/>
      <c r="T43" s="6">
        <v>82494.61</v>
      </c>
      <c r="U43" s="2"/>
      <c r="V43" s="7">
        <f t="shared" si="19"/>
        <v>0.21012914642460107</v>
      </c>
      <c r="W43" s="2"/>
      <c r="X43" s="6">
        <f t="shared" si="20"/>
        <v>20251.819999999992</v>
      </c>
      <c r="Y43" s="2"/>
      <c r="Z43" s="7">
        <f t="shared" si="21"/>
        <v>0.24549264491340697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6"/>
      <c r="E44" s="2"/>
      <c r="F44" s="7">
        <f t="shared" si="14"/>
        <v>0</v>
      </c>
      <c r="G44" s="2"/>
      <c r="H44" s="6">
        <v>2285.92</v>
      </c>
      <c r="I44" s="2"/>
      <c r="J44" s="7">
        <f t="shared" si="15"/>
        <v>2.4714163560079844E-2</v>
      </c>
      <c r="K44" s="2"/>
      <c r="L44" s="6">
        <f t="shared" si="16"/>
        <v>-2285.92</v>
      </c>
      <c r="M44" s="2"/>
      <c r="N44" s="7">
        <f t="shared" si="17"/>
        <v>-1</v>
      </c>
      <c r="O44" s="11"/>
      <c r="P44" s="6">
        <v>383.25</v>
      </c>
      <c r="Q44" s="2"/>
      <c r="R44" s="7">
        <f t="shared" si="18"/>
        <v>3.6707583130583597E-3</v>
      </c>
      <c r="S44" s="2"/>
      <c r="T44" s="6">
        <v>14143.92</v>
      </c>
      <c r="U44" s="2"/>
      <c r="V44" s="7">
        <f t="shared" si="19"/>
        <v>3.6027200282513529E-2</v>
      </c>
      <c r="W44" s="2"/>
      <c r="X44" s="6">
        <f t="shared" si="20"/>
        <v>-13760.67</v>
      </c>
      <c r="Y44" s="2"/>
      <c r="Z44" s="7">
        <f t="shared" si="21"/>
        <v>-0.97290355149067587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14"/>
        <v>0</v>
      </c>
      <c r="G45" s="2"/>
      <c r="H45" s="6">
        <v>120.31</v>
      </c>
      <c r="I45" s="2"/>
      <c r="J45" s="7">
        <f t="shared" si="15"/>
        <v>1.3007283797828472E-3</v>
      </c>
      <c r="K45" s="2"/>
      <c r="L45" s="6">
        <f t="shared" si="16"/>
        <v>-120.31</v>
      </c>
      <c r="M45" s="2"/>
      <c r="N45" s="7">
        <f t="shared" si="17"/>
        <v>-1</v>
      </c>
      <c r="O45" s="11"/>
      <c r="P45" s="6"/>
      <c r="Q45" s="2"/>
      <c r="R45" s="7">
        <f t="shared" si="18"/>
        <v>0</v>
      </c>
      <c r="S45" s="2"/>
      <c r="T45" s="6">
        <v>120.31</v>
      </c>
      <c r="U45" s="2"/>
      <c r="V45" s="7">
        <f t="shared" si="19"/>
        <v>3.0645199251616264E-4</v>
      </c>
      <c r="W45" s="2"/>
      <c r="X45" s="6">
        <f t="shared" si="20"/>
        <v>-120.31</v>
      </c>
      <c r="Y45" s="2"/>
      <c r="Z45" s="7">
        <f t="shared" si="21"/>
        <v>-1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6">
        <v>1124.52</v>
      </c>
      <c r="E46" s="2"/>
      <c r="F46" s="7">
        <f t="shared" si="14"/>
        <v>3.802072591415482E-2</v>
      </c>
      <c r="G46" s="2"/>
      <c r="H46" s="6">
        <v>5243.07</v>
      </c>
      <c r="I46" s="2"/>
      <c r="J46" s="7">
        <f t="shared" si="15"/>
        <v>5.6685312494290187E-2</v>
      </c>
      <c r="K46" s="2"/>
      <c r="L46" s="6">
        <f t="shared" si="16"/>
        <v>-4118.5499999999993</v>
      </c>
      <c r="M46" s="2"/>
      <c r="N46" s="7">
        <f t="shared" si="17"/>
        <v>-0.78552260412315678</v>
      </c>
      <c r="O46" s="11"/>
      <c r="P46" s="6">
        <v>4973.8900000000003</v>
      </c>
      <c r="Q46" s="2"/>
      <c r="R46" s="7">
        <f t="shared" si="18"/>
        <v>4.7639786211970896E-2</v>
      </c>
      <c r="S46" s="2"/>
      <c r="T46" s="6">
        <v>27651.74</v>
      </c>
      <c r="U46" s="2"/>
      <c r="V46" s="7">
        <f t="shared" si="19"/>
        <v>7.0434135313264701E-2</v>
      </c>
      <c r="W46" s="2"/>
      <c r="X46" s="6">
        <f t="shared" si="20"/>
        <v>-22677.850000000002</v>
      </c>
      <c r="Y46" s="2"/>
      <c r="Z46" s="7">
        <f t="shared" si="21"/>
        <v>-0.82012379691115278</v>
      </c>
    </row>
    <row r="47" spans="1:26" s="26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0</v>
      </c>
      <c r="E47" s="1"/>
      <c r="F47" s="5">
        <f t="shared" ref="F47:F57" si="22">IF(D$12=0,0,D47/D$12)</f>
        <v>0</v>
      </c>
      <c r="G47" s="1"/>
      <c r="H47" s="1">
        <f>SUM(OSRRefH22_2x_0)</f>
        <v>353.5</v>
      </c>
      <c r="I47" s="1"/>
      <c r="J47" s="5">
        <f t="shared" ref="J47:J57" si="23">IF(H$12=0,0,H47/H$12)</f>
        <v>3.8218558910584031E-3</v>
      </c>
      <c r="K47" s="1"/>
      <c r="L47" s="1">
        <f t="shared" ref="L47:L57" si="24">+D47-H47</f>
        <v>-353.5</v>
      </c>
      <c r="M47" s="1"/>
      <c r="N47" s="5">
        <f t="shared" ref="N47:N57" si="25">IF(H47=0,0,L47/H47)</f>
        <v>-1</v>
      </c>
      <c r="O47" s="13"/>
      <c r="P47" s="1">
        <f>SUM(OSRRefP22_2x_0)</f>
        <v>0</v>
      </c>
      <c r="Q47" s="1"/>
      <c r="R47" s="5">
        <f t="shared" ref="R47:R57" si="26">IF(P$12=0,0,P47/P$12)</f>
        <v>0</v>
      </c>
      <c r="S47" s="1"/>
      <c r="T47" s="1">
        <f>SUM(OSRRefT22_2x_0)</f>
        <v>751</v>
      </c>
      <c r="U47" s="1"/>
      <c r="V47" s="5">
        <f t="shared" ref="V47:V57" si="27">IF(T$12=0,0,T47/T$12)</f>
        <v>1.9129369660014807E-3</v>
      </c>
      <c r="W47" s="1"/>
      <c r="X47" s="1">
        <f t="shared" ref="X47:X57" si="28">+P47-T47</f>
        <v>-751</v>
      </c>
      <c r="Y47" s="1"/>
      <c r="Z47" s="5">
        <f t="shared" ref="Z47:Z57" si="29">IF(T47=0,0,X47/T47)</f>
        <v>-1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2"/>
        <v>0</v>
      </c>
      <c r="G48" s="2"/>
      <c r="H48" s="6">
        <v>353.5</v>
      </c>
      <c r="I48" s="2"/>
      <c r="J48" s="7">
        <f t="shared" si="23"/>
        <v>3.8218558910584031E-3</v>
      </c>
      <c r="K48" s="2"/>
      <c r="L48" s="6">
        <f t="shared" si="24"/>
        <v>-353.5</v>
      </c>
      <c r="M48" s="2"/>
      <c r="N48" s="7">
        <f t="shared" si="25"/>
        <v>-1</v>
      </c>
      <c r="O48" s="11"/>
      <c r="P48" s="6"/>
      <c r="Q48" s="2"/>
      <c r="R48" s="7">
        <f t="shared" si="26"/>
        <v>0</v>
      </c>
      <c r="S48" s="2"/>
      <c r="T48" s="6">
        <v>751</v>
      </c>
      <c r="U48" s="2"/>
      <c r="V48" s="7">
        <f t="shared" si="27"/>
        <v>1.9129369660014807E-3</v>
      </c>
      <c r="W48" s="2"/>
      <c r="X48" s="6">
        <f t="shared" si="28"/>
        <v>-751</v>
      </c>
      <c r="Y48" s="2"/>
      <c r="Z48" s="7">
        <f t="shared" si="29"/>
        <v>-1</v>
      </c>
    </row>
    <row r="49" spans="1:26" s="26" customFormat="1" outlineLevel="1" collapsed="1" x14ac:dyDescent="0.25">
      <c r="A49" s="27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SUM(OSRRefD22_3x_0)</f>
        <v>169.88</v>
      </c>
      <c r="E49" s="1"/>
      <c r="F49" s="5">
        <f t="shared" si="22"/>
        <v>5.743749260392542E-3</v>
      </c>
      <c r="G49" s="1"/>
      <c r="H49" s="1">
        <f>SUM(OSRRefH22_3x_0)</f>
        <v>169.88</v>
      </c>
      <c r="I49" s="1"/>
      <c r="J49" s="5">
        <f t="shared" si="23"/>
        <v>1.8366531224130169E-3</v>
      </c>
      <c r="K49" s="1"/>
      <c r="L49" s="1">
        <f t="shared" si="24"/>
        <v>0</v>
      </c>
      <c r="M49" s="1"/>
      <c r="N49" s="5">
        <f t="shared" si="25"/>
        <v>0</v>
      </c>
      <c r="O49" s="13"/>
      <c r="P49" s="1">
        <f>SUM(OSRRefP22_3x_0)</f>
        <v>1189.1600000000001</v>
      </c>
      <c r="Q49" s="1"/>
      <c r="R49" s="5">
        <f t="shared" si="26"/>
        <v>1.1389742871641174E-2</v>
      </c>
      <c r="S49" s="1"/>
      <c r="T49" s="1">
        <f>SUM(OSRRefT22_3x_0)</f>
        <v>339.76</v>
      </c>
      <c r="U49" s="1"/>
      <c r="V49" s="5">
        <f t="shared" si="27"/>
        <v>8.6543204203550341E-4</v>
      </c>
      <c r="W49" s="1"/>
      <c r="X49" s="1">
        <f t="shared" si="28"/>
        <v>849.40000000000009</v>
      </c>
      <c r="Y49" s="1"/>
      <c r="Z49" s="5">
        <f t="shared" si="29"/>
        <v>2.5000000000000004</v>
      </c>
    </row>
    <row r="50" spans="1:26" s="24" customFormat="1" hidden="1" outlineLevel="2" x14ac:dyDescent="0.25">
      <c r="A50" s="25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169.88</v>
      </c>
      <c r="E50" s="2"/>
      <c r="F50" s="7">
        <f t="shared" si="22"/>
        <v>5.743749260392542E-3</v>
      </c>
      <c r="G50" s="2"/>
      <c r="H50" s="6">
        <v>169.88</v>
      </c>
      <c r="I50" s="2"/>
      <c r="J50" s="7">
        <f t="shared" si="23"/>
        <v>1.8366531224130169E-3</v>
      </c>
      <c r="K50" s="2"/>
      <c r="L50" s="6">
        <f t="shared" si="24"/>
        <v>0</v>
      </c>
      <c r="M50" s="2"/>
      <c r="N50" s="7">
        <f t="shared" si="25"/>
        <v>0</v>
      </c>
      <c r="O50" s="11"/>
      <c r="P50" s="6">
        <v>1189.1600000000001</v>
      </c>
      <c r="Q50" s="2"/>
      <c r="R50" s="7">
        <f t="shared" si="26"/>
        <v>1.1389742871641174E-2</v>
      </c>
      <c r="S50" s="2"/>
      <c r="T50" s="6">
        <v>339.76</v>
      </c>
      <c r="U50" s="2"/>
      <c r="V50" s="7">
        <f t="shared" si="27"/>
        <v>8.6543204203550341E-4</v>
      </c>
      <c r="W50" s="2"/>
      <c r="X50" s="6">
        <f t="shared" si="28"/>
        <v>849.40000000000009</v>
      </c>
      <c r="Y50" s="2"/>
      <c r="Z50" s="7">
        <f t="shared" si="29"/>
        <v>2.5000000000000004</v>
      </c>
    </row>
    <row r="51" spans="1:26" s="26" customFormat="1" outlineLevel="1" collapsed="1" x14ac:dyDescent="0.25">
      <c r="A51" s="27"/>
      <c r="B51" s="13" t="str">
        <f>CONCATENATE("     ","Discounts and Markdowns                           ")</f>
        <v xml:space="preserve">     Discounts and Markdowns                           </v>
      </c>
      <c r="C51" s="13"/>
      <c r="D51" s="1">
        <f>SUM(OSRRefD22_4x_0)</f>
        <v>0</v>
      </c>
      <c r="E51" s="1"/>
      <c r="F51" s="5">
        <f t="shared" si="22"/>
        <v>0</v>
      </c>
      <c r="G51" s="1"/>
      <c r="H51" s="1">
        <f>SUM(OSRRefH22_4x_0)</f>
        <v>170.62</v>
      </c>
      <c r="I51" s="1"/>
      <c r="J51" s="5">
        <f t="shared" si="23"/>
        <v>1.8446536128214563E-3</v>
      </c>
      <c r="K51" s="1"/>
      <c r="L51" s="1">
        <f t="shared" si="24"/>
        <v>-170.62</v>
      </c>
      <c r="M51" s="1"/>
      <c r="N51" s="5">
        <f t="shared" si="25"/>
        <v>-1</v>
      </c>
      <c r="O51" s="13"/>
      <c r="P51" s="1">
        <f>SUM(OSRRefP22_4x_0)</f>
        <v>0</v>
      </c>
      <c r="Q51" s="1"/>
      <c r="R51" s="5">
        <f t="shared" si="26"/>
        <v>0</v>
      </c>
      <c r="S51" s="1"/>
      <c r="T51" s="1">
        <f>SUM(OSRRefT22_4x_0)</f>
        <v>634.89</v>
      </c>
      <c r="U51" s="1"/>
      <c r="V51" s="5">
        <f t="shared" si="27"/>
        <v>1.6171831562512384E-3</v>
      </c>
      <c r="W51" s="1"/>
      <c r="X51" s="1">
        <f t="shared" si="28"/>
        <v>-634.89</v>
      </c>
      <c r="Y51" s="1"/>
      <c r="Z51" s="5">
        <f t="shared" si="29"/>
        <v>-1</v>
      </c>
    </row>
    <row r="52" spans="1:26" s="24" customFormat="1" hidden="1" outlineLevel="2" x14ac:dyDescent="0.25">
      <c r="A52" s="25"/>
      <c r="B52" s="11" t="str">
        <f>CONCATENATE("          ", "6382", " - ", "DISCOUNTS/MARK DOWNS")</f>
        <v xml:space="preserve">          6382 - DISCOUNTS/MARK DOWNS</v>
      </c>
      <c r="C52" s="11"/>
      <c r="D52" s="6"/>
      <c r="E52" s="2"/>
      <c r="F52" s="7">
        <f t="shared" si="22"/>
        <v>0</v>
      </c>
      <c r="G52" s="2"/>
      <c r="H52" s="6">
        <v>170.62</v>
      </c>
      <c r="I52" s="2"/>
      <c r="J52" s="7">
        <f t="shared" si="23"/>
        <v>1.8446536128214563E-3</v>
      </c>
      <c r="K52" s="2"/>
      <c r="L52" s="6">
        <f t="shared" si="24"/>
        <v>-170.62</v>
      </c>
      <c r="M52" s="2"/>
      <c r="N52" s="7">
        <f t="shared" si="25"/>
        <v>-1</v>
      </c>
      <c r="O52" s="11"/>
      <c r="P52" s="6"/>
      <c r="Q52" s="2"/>
      <c r="R52" s="7">
        <f t="shared" si="26"/>
        <v>0</v>
      </c>
      <c r="S52" s="2"/>
      <c r="T52" s="6">
        <v>634.89</v>
      </c>
      <c r="U52" s="2"/>
      <c r="V52" s="7">
        <f t="shared" si="27"/>
        <v>1.6171831562512384E-3</v>
      </c>
      <c r="W52" s="2"/>
      <c r="X52" s="6">
        <f t="shared" si="28"/>
        <v>-634.89</v>
      </c>
      <c r="Y52" s="2"/>
      <c r="Z52" s="7">
        <f t="shared" si="29"/>
        <v>-1</v>
      </c>
    </row>
    <row r="53" spans="1:26" s="26" customFormat="1" outlineLevel="1" collapsed="1" x14ac:dyDescent="0.25">
      <c r="A53" s="27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SUM(OSRRefD22_5x_0)</f>
        <v>1205.6400000000001</v>
      </c>
      <c r="E53" s="1"/>
      <c r="F53" s="5">
        <f t="shared" si="22"/>
        <v>4.0763443950433631E-2</v>
      </c>
      <c r="G53" s="1"/>
      <c r="H53" s="1">
        <f>SUM(OSRRefH22_5x_0)</f>
        <v>1205.6400000000001</v>
      </c>
      <c r="I53" s="1"/>
      <c r="J53" s="5">
        <f t="shared" si="23"/>
        <v>1.3034744940581764E-2</v>
      </c>
      <c r="K53" s="1"/>
      <c r="L53" s="1">
        <f t="shared" si="24"/>
        <v>0</v>
      </c>
      <c r="M53" s="1"/>
      <c r="N53" s="5">
        <f t="shared" si="25"/>
        <v>0</v>
      </c>
      <c r="O53" s="13"/>
      <c r="P53" s="1">
        <f>SUM(OSRRefP22_5x_0)</f>
        <v>8439.48</v>
      </c>
      <c r="Q53" s="1"/>
      <c r="R53" s="5">
        <f t="shared" si="26"/>
        <v>8.0833115115172258E-2</v>
      </c>
      <c r="S53" s="1"/>
      <c r="T53" s="1">
        <f>SUM(OSRRefT22_5x_0)</f>
        <v>11137.8</v>
      </c>
      <c r="U53" s="1"/>
      <c r="V53" s="5">
        <f t="shared" si="27"/>
        <v>2.8370052383397189E-2</v>
      </c>
      <c r="W53" s="1"/>
      <c r="X53" s="1">
        <f t="shared" si="28"/>
        <v>-2698.3199999999997</v>
      </c>
      <c r="Y53" s="1"/>
      <c r="Z53" s="5">
        <f t="shared" si="29"/>
        <v>-0.24226687496633087</v>
      </c>
    </row>
    <row r="54" spans="1:26" s="24" customFormat="1" hidden="1" outlineLevel="2" x14ac:dyDescent="0.25">
      <c r="A54" s="25"/>
      <c r="B54" s="11" t="str">
        <f>CONCATENATE("          ", "6351", " - ", "EQUIPMENT RENTAL")</f>
        <v xml:space="preserve">          6351 - EQUIPMENT RENTAL</v>
      </c>
      <c r="C54" s="11"/>
      <c r="D54" s="6">
        <v>1205.6400000000001</v>
      </c>
      <c r="E54" s="2"/>
      <c r="F54" s="7">
        <f t="shared" si="22"/>
        <v>4.0763443950433631E-2</v>
      </c>
      <c r="G54" s="2"/>
      <c r="H54" s="6">
        <v>1205.6400000000001</v>
      </c>
      <c r="I54" s="2"/>
      <c r="J54" s="7">
        <f t="shared" si="23"/>
        <v>1.3034744940581764E-2</v>
      </c>
      <c r="K54" s="2"/>
      <c r="L54" s="6">
        <f t="shared" si="24"/>
        <v>0</v>
      </c>
      <c r="M54" s="2"/>
      <c r="N54" s="7">
        <f t="shared" si="25"/>
        <v>0</v>
      </c>
      <c r="O54" s="11"/>
      <c r="P54" s="6">
        <v>8439.48</v>
      </c>
      <c r="Q54" s="2"/>
      <c r="R54" s="7">
        <f t="shared" si="26"/>
        <v>8.0833115115172258E-2</v>
      </c>
      <c r="S54" s="2"/>
      <c r="T54" s="6">
        <v>11137.8</v>
      </c>
      <c r="U54" s="2"/>
      <c r="V54" s="7">
        <f t="shared" si="27"/>
        <v>2.8370052383397189E-2</v>
      </c>
      <c r="W54" s="2"/>
      <c r="X54" s="6">
        <f t="shared" si="28"/>
        <v>-2698.3199999999997</v>
      </c>
      <c r="Y54" s="2"/>
      <c r="Z54" s="7">
        <f t="shared" si="29"/>
        <v>-0.24226687496633087</v>
      </c>
    </row>
    <row r="55" spans="1:26" s="26" customFormat="1" outlineLevel="1" collapsed="1" x14ac:dyDescent="0.25">
      <c r="A55" s="27"/>
      <c r="B55" s="13" t="str">
        <f>CONCATENATE("     ","Freight out/Postage                               ")</f>
        <v xml:space="preserve">     Freight out/Postage                               </v>
      </c>
      <c r="C55" s="13"/>
      <c r="D55" s="1">
        <f>SUM(OSRRefD22_6x_0)</f>
        <v>-23491.679999999997</v>
      </c>
      <c r="E55" s="1"/>
      <c r="F55" s="5">
        <f t="shared" si="22"/>
        <v>-0.79426842256521224</v>
      </c>
      <c r="G55" s="1"/>
      <c r="H55" s="1">
        <f>SUM(OSRRefH22_6x_0)</f>
        <v>0</v>
      </c>
      <c r="I55" s="1"/>
      <c r="J55" s="5">
        <f t="shared" si="23"/>
        <v>0</v>
      </c>
      <c r="K55" s="1"/>
      <c r="L55" s="1">
        <f t="shared" si="24"/>
        <v>-23491.679999999997</v>
      </c>
      <c r="M55" s="1"/>
      <c r="N55" s="5">
        <f t="shared" si="25"/>
        <v>0</v>
      </c>
      <c r="O55" s="13"/>
      <c r="P55" s="1">
        <f>SUM(OSRRefP22_6x_0)</f>
        <v>-48225.559999999969</v>
      </c>
      <c r="Q55" s="1"/>
      <c r="R55" s="5">
        <f t="shared" si="26"/>
        <v>-0.46190313182490439</v>
      </c>
      <c r="S55" s="1"/>
      <c r="T55" s="1">
        <f>SUM(OSRRefT22_6x_0)</f>
        <v>9.1300000000000008</v>
      </c>
      <c r="U55" s="1"/>
      <c r="V55" s="5">
        <f t="shared" si="27"/>
        <v>2.3255811584012675E-5</v>
      </c>
      <c r="W55" s="1"/>
      <c r="X55" s="1">
        <f t="shared" si="28"/>
        <v>-48234.689999999966</v>
      </c>
      <c r="Y55" s="1"/>
      <c r="Z55" s="5">
        <f t="shared" si="29"/>
        <v>-5283.0985761226684</v>
      </c>
    </row>
    <row r="56" spans="1:26" s="24" customFormat="1" hidden="1" outlineLevel="2" x14ac:dyDescent="0.25">
      <c r="A56" s="25"/>
      <c r="B56" s="11" t="str">
        <f>CONCATENATE("          ", "6305", " - ", "FREIGHT OUT")</f>
        <v xml:space="preserve">          6305 - FREIGHT OUT</v>
      </c>
      <c r="C56" s="11"/>
      <c r="D56" s="6">
        <v>18016.990000000002</v>
      </c>
      <c r="E56" s="2"/>
      <c r="F56" s="7">
        <f t="shared" si="22"/>
        <v>0.60916572278667203</v>
      </c>
      <c r="G56" s="2"/>
      <c r="H56" s="6"/>
      <c r="I56" s="2"/>
      <c r="J56" s="7">
        <f t="shared" si="23"/>
        <v>0</v>
      </c>
      <c r="K56" s="2"/>
      <c r="L56" s="6">
        <f t="shared" si="24"/>
        <v>18016.990000000002</v>
      </c>
      <c r="M56" s="2"/>
      <c r="N56" s="7">
        <f t="shared" si="25"/>
        <v>0</v>
      </c>
      <c r="O56" s="11"/>
      <c r="P56" s="6">
        <v>126079.23000000001</v>
      </c>
      <c r="Q56" s="2"/>
      <c r="R56" s="7">
        <f t="shared" si="26"/>
        <v>1.2075835137025361</v>
      </c>
      <c r="S56" s="2"/>
      <c r="T56" s="6">
        <v>9.1300000000000008</v>
      </c>
      <c r="U56" s="2"/>
      <c r="V56" s="7">
        <f t="shared" si="27"/>
        <v>2.3255811584012675E-5</v>
      </c>
      <c r="W56" s="2"/>
      <c r="X56" s="6">
        <f t="shared" si="28"/>
        <v>126070.1</v>
      </c>
      <c r="Y56" s="2"/>
      <c r="Z56" s="7">
        <f t="shared" si="29"/>
        <v>13808.335158817086</v>
      </c>
    </row>
    <row r="57" spans="1:26" s="24" customFormat="1" hidden="1" outlineLevel="2" x14ac:dyDescent="0.25">
      <c r="A57" s="25"/>
      <c r="B57" s="11" t="str">
        <f>CONCATENATE("          ", "6307", " - ", "POSTAGE")</f>
        <v xml:space="preserve">          6307 - POSTAGE</v>
      </c>
      <c r="C57" s="11"/>
      <c r="D57" s="6">
        <v>-41508.67</v>
      </c>
      <c r="E57" s="2"/>
      <c r="F57" s="7">
        <f t="shared" si="22"/>
        <v>-1.4034341453518842</v>
      </c>
      <c r="G57" s="2"/>
      <c r="H57" s="6"/>
      <c r="I57" s="2"/>
      <c r="J57" s="7">
        <f t="shared" si="23"/>
        <v>0</v>
      </c>
      <c r="K57" s="2"/>
      <c r="L57" s="6">
        <f t="shared" si="24"/>
        <v>-41508.67</v>
      </c>
      <c r="M57" s="2"/>
      <c r="N57" s="7">
        <f t="shared" si="25"/>
        <v>0</v>
      </c>
      <c r="O57" s="11"/>
      <c r="P57" s="6">
        <v>-174304.78999999998</v>
      </c>
      <c r="Q57" s="2"/>
      <c r="R57" s="7">
        <f t="shared" si="26"/>
        <v>-1.6694866455274406</v>
      </c>
      <c r="S57" s="2"/>
      <c r="T57" s="6"/>
      <c r="U57" s="2"/>
      <c r="V57" s="7">
        <f t="shared" si="27"/>
        <v>0</v>
      </c>
      <c r="W57" s="2"/>
      <c r="X57" s="6">
        <f t="shared" si="28"/>
        <v>-174304.78999999998</v>
      </c>
      <c r="Y57" s="2"/>
      <c r="Z57" s="7">
        <f t="shared" si="29"/>
        <v>0</v>
      </c>
    </row>
    <row r="58" spans="1:26" s="26" customFormat="1" outlineLevel="1" collapsed="1" x14ac:dyDescent="0.25">
      <c r="A58" s="27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SUM(OSRRefD22_7x_0)</f>
        <v>0</v>
      </c>
      <c r="E58" s="1"/>
      <c r="F58" s="5">
        <f t="shared" ref="F58:F63" si="30">IF(D$12=0,0,D58/D$12)</f>
        <v>0</v>
      </c>
      <c r="G58" s="1"/>
      <c r="H58" s="1">
        <f>SUM(OSRRefH22_7x_0)</f>
        <v>0</v>
      </c>
      <c r="I58" s="1"/>
      <c r="J58" s="5">
        <f t="shared" ref="J58:J63" si="31">IF(H$12=0,0,H58/H$12)</f>
        <v>0</v>
      </c>
      <c r="K58" s="1"/>
      <c r="L58" s="1">
        <f t="shared" ref="L58:L63" si="32">+D58-H58</f>
        <v>0</v>
      </c>
      <c r="M58" s="1"/>
      <c r="N58" s="5">
        <f t="shared" ref="N58:N63" si="33">IF(H58=0,0,L58/H58)</f>
        <v>0</v>
      </c>
      <c r="O58" s="13"/>
      <c r="P58" s="1">
        <f>SUM(OSRRefP22_7x_0)</f>
        <v>0</v>
      </c>
      <c r="Q58" s="1"/>
      <c r="R58" s="5">
        <f t="shared" ref="R58:R63" si="34">IF(P$12=0,0,P58/P$12)</f>
        <v>0</v>
      </c>
      <c r="S58" s="1"/>
      <c r="T58" s="1">
        <f>SUM(OSRRefT22_7x_0)</f>
        <v>75</v>
      </c>
      <c r="U58" s="1"/>
      <c r="V58" s="5">
        <f t="shared" ref="V58:V63" si="35">IF(T$12=0,0,T58/T$12)</f>
        <v>1.9103897796286424E-4</v>
      </c>
      <c r="W58" s="1"/>
      <c r="X58" s="1">
        <f t="shared" ref="X58:X63" si="36">+P58-T58</f>
        <v>-75</v>
      </c>
      <c r="Y58" s="1"/>
      <c r="Z58" s="5">
        <f t="shared" ref="Z58:Z63" si="37">IF(T58=0,0,X58/T58)</f>
        <v>-1</v>
      </c>
    </row>
    <row r="59" spans="1:26" s="24" customFormat="1" hidden="1" outlineLevel="2" x14ac:dyDescent="0.25">
      <c r="A59" s="25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30"/>
        <v>0</v>
      </c>
      <c r="G59" s="2"/>
      <c r="H59" s="6"/>
      <c r="I59" s="2"/>
      <c r="J59" s="7">
        <f t="shared" si="31"/>
        <v>0</v>
      </c>
      <c r="K59" s="2"/>
      <c r="L59" s="6">
        <f t="shared" si="32"/>
        <v>0</v>
      </c>
      <c r="M59" s="2"/>
      <c r="N59" s="7">
        <f t="shared" si="33"/>
        <v>0</v>
      </c>
      <c r="O59" s="11"/>
      <c r="P59" s="6"/>
      <c r="Q59" s="2"/>
      <c r="R59" s="7">
        <f t="shared" si="34"/>
        <v>0</v>
      </c>
      <c r="S59" s="2"/>
      <c r="T59" s="6">
        <v>75</v>
      </c>
      <c r="U59" s="2"/>
      <c r="V59" s="7">
        <f t="shared" si="35"/>
        <v>1.9103897796286424E-4</v>
      </c>
      <c r="W59" s="2"/>
      <c r="X59" s="6">
        <f t="shared" si="36"/>
        <v>-75</v>
      </c>
      <c r="Y59" s="2"/>
      <c r="Z59" s="7">
        <f t="shared" si="37"/>
        <v>-1</v>
      </c>
    </row>
    <row r="60" spans="1:26" s="26" customFormat="1" outlineLevel="1" collapsed="1" x14ac:dyDescent="0.25">
      <c r="A60" s="27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SUM(OSRRefD22_8x_0)</f>
        <v>1053.08</v>
      </c>
      <c r="E60" s="1"/>
      <c r="F60" s="5">
        <f t="shared" si="30"/>
        <v>3.5605294744138087E-2</v>
      </c>
      <c r="G60" s="1"/>
      <c r="H60" s="1">
        <f>SUM(OSRRefH22_8x_0)</f>
        <v>9249.09</v>
      </c>
      <c r="I60" s="1"/>
      <c r="J60" s="5">
        <f t="shared" si="31"/>
        <v>9.9996291664580947E-2</v>
      </c>
      <c r="K60" s="1"/>
      <c r="L60" s="1">
        <f t="shared" si="32"/>
        <v>-8196.01</v>
      </c>
      <c r="M60" s="1"/>
      <c r="N60" s="5">
        <f t="shared" si="33"/>
        <v>-0.88614231237883945</v>
      </c>
      <c r="O60" s="13"/>
      <c r="P60" s="1">
        <f>SUM(OSRRefP22_8x_0)</f>
        <v>30432.589999999997</v>
      </c>
      <c r="Q60" s="1"/>
      <c r="R60" s="5">
        <f t="shared" si="34"/>
        <v>0.29148253810931951</v>
      </c>
      <c r="S60" s="1"/>
      <c r="T60" s="1">
        <f>SUM(OSRRefT22_8x_0)</f>
        <v>45765.26</v>
      </c>
      <c r="U60" s="1"/>
      <c r="V60" s="5">
        <f t="shared" si="35"/>
        <v>0.1165726466213967</v>
      </c>
      <c r="W60" s="1"/>
      <c r="X60" s="1">
        <f t="shared" si="36"/>
        <v>-15332.670000000006</v>
      </c>
      <c r="Y60" s="1"/>
      <c r="Z60" s="5">
        <f t="shared" si="37"/>
        <v>-0.33502857844574696</v>
      </c>
    </row>
    <row r="61" spans="1:26" s="24" customFormat="1" hidden="1" outlineLevel="2" x14ac:dyDescent="0.25">
      <c r="A61" s="25"/>
      <c r="B61" s="11" t="str">
        <f>CONCATENATE("          ", "6371", " - ", "COMPUTER SOFTWARE MAINTENANCE")</f>
        <v xml:space="preserve">          6371 - COMPUTER SOFTWARE MAINTENANCE</v>
      </c>
      <c r="C61" s="11"/>
      <c r="D61" s="6"/>
      <c r="E61" s="2"/>
      <c r="F61" s="7">
        <f t="shared" si="30"/>
        <v>0</v>
      </c>
      <c r="G61" s="2"/>
      <c r="H61" s="6"/>
      <c r="I61" s="2"/>
      <c r="J61" s="7">
        <f t="shared" si="31"/>
        <v>0</v>
      </c>
      <c r="K61" s="2"/>
      <c r="L61" s="6">
        <f t="shared" si="32"/>
        <v>0</v>
      </c>
      <c r="M61" s="2"/>
      <c r="N61" s="7">
        <f t="shared" si="33"/>
        <v>0</v>
      </c>
      <c r="O61" s="11"/>
      <c r="P61" s="6">
        <v>7.69</v>
      </c>
      <c r="Q61" s="2"/>
      <c r="R61" s="7">
        <f t="shared" si="34"/>
        <v>7.365461559665698E-5</v>
      </c>
      <c r="S61" s="2"/>
      <c r="T61" s="6"/>
      <c r="U61" s="2"/>
      <c r="V61" s="7">
        <f t="shared" si="35"/>
        <v>0</v>
      </c>
      <c r="W61" s="2"/>
      <c r="X61" s="6">
        <f t="shared" si="36"/>
        <v>7.69</v>
      </c>
      <c r="Y61" s="2"/>
      <c r="Z61" s="7">
        <f t="shared" si="37"/>
        <v>0</v>
      </c>
    </row>
    <row r="62" spans="1:26" s="24" customFormat="1" hidden="1" outlineLevel="2" x14ac:dyDescent="0.25">
      <c r="A62" s="25"/>
      <c r="B62" s="11" t="str">
        <f>CONCATENATE("          ", "6373", " - ", "MAINTENANCE CONTRACTS")</f>
        <v xml:space="preserve">          6373 - MAINTENANCE CONTRACTS</v>
      </c>
      <c r="C62" s="11"/>
      <c r="D62" s="6">
        <v>1053.08</v>
      </c>
      <c r="E62" s="2"/>
      <c r="F62" s="7">
        <f t="shared" si="30"/>
        <v>3.5605294744138087E-2</v>
      </c>
      <c r="G62" s="2"/>
      <c r="H62" s="6">
        <v>8733.11</v>
      </c>
      <c r="I62" s="2"/>
      <c r="J62" s="7">
        <f t="shared" si="31"/>
        <v>9.4417787555193922E-2</v>
      </c>
      <c r="K62" s="2"/>
      <c r="L62" s="6">
        <f t="shared" si="32"/>
        <v>-7680.0300000000007</v>
      </c>
      <c r="M62" s="2"/>
      <c r="N62" s="7">
        <f t="shared" si="33"/>
        <v>-0.87941523695453283</v>
      </c>
      <c r="O62" s="11"/>
      <c r="P62" s="6">
        <v>30424.899999999998</v>
      </c>
      <c r="Q62" s="2"/>
      <c r="R62" s="7">
        <f t="shared" si="34"/>
        <v>0.29140888349372285</v>
      </c>
      <c r="S62" s="2"/>
      <c r="T62" s="6">
        <v>44879.8</v>
      </c>
      <c r="U62" s="2"/>
      <c r="V62" s="7">
        <f t="shared" si="35"/>
        <v>0.11431721497570341</v>
      </c>
      <c r="W62" s="2"/>
      <c r="X62" s="6">
        <f t="shared" si="36"/>
        <v>-14454.900000000005</v>
      </c>
      <c r="Y62" s="2"/>
      <c r="Z62" s="7">
        <f t="shared" si="37"/>
        <v>-0.32208031230085704</v>
      </c>
    </row>
    <row r="63" spans="1:26" s="24" customFormat="1" hidden="1" outlineLevel="2" x14ac:dyDescent="0.25">
      <c r="A63" s="25"/>
      <c r="B63" s="11" t="str">
        <f>CONCATENATE("          ", "6375", " - ", "OUTSIDE REPAIRS &amp; MAINTENANCE")</f>
        <v xml:space="preserve">          6375 - OUTSIDE REPAIRS &amp; MAINTENANCE</v>
      </c>
      <c r="C63" s="11"/>
      <c r="D63" s="6"/>
      <c r="E63" s="2"/>
      <c r="F63" s="7">
        <f t="shared" si="30"/>
        <v>0</v>
      </c>
      <c r="G63" s="2"/>
      <c r="H63" s="6">
        <v>515.98</v>
      </c>
      <c r="I63" s="2"/>
      <c r="J63" s="7">
        <f t="shared" si="31"/>
        <v>5.5785041093870296E-3</v>
      </c>
      <c r="K63" s="2"/>
      <c r="L63" s="6">
        <f t="shared" si="32"/>
        <v>-515.98</v>
      </c>
      <c r="M63" s="2"/>
      <c r="N63" s="7">
        <f t="shared" si="33"/>
        <v>-1</v>
      </c>
      <c r="O63" s="11"/>
      <c r="P63" s="6"/>
      <c r="Q63" s="2"/>
      <c r="R63" s="7">
        <f t="shared" si="34"/>
        <v>0</v>
      </c>
      <c r="S63" s="2"/>
      <c r="T63" s="6">
        <v>885.46</v>
      </c>
      <c r="U63" s="2"/>
      <c r="V63" s="7">
        <f t="shared" si="35"/>
        <v>2.255431645693304E-3</v>
      </c>
      <c r="W63" s="2"/>
      <c r="X63" s="6">
        <f t="shared" si="36"/>
        <v>-885.46</v>
      </c>
      <c r="Y63" s="2"/>
      <c r="Z63" s="7">
        <f t="shared" si="37"/>
        <v>-1</v>
      </c>
    </row>
    <row r="64" spans="1:26" s="26" customFormat="1" outlineLevel="1" collapsed="1" x14ac:dyDescent="0.25">
      <c r="A64" s="27"/>
      <c r="B64" s="13" t="str">
        <f>CONCATENATE("     ","Royalty &amp; Commissions                             ")</f>
        <v xml:space="preserve">     Royalty &amp; Commissions                             </v>
      </c>
      <c r="C64" s="13"/>
      <c r="D64" s="1">
        <f>SUM(OSRRefD22_9x_0)</f>
        <v>3.81</v>
      </c>
      <c r="E64" s="1"/>
      <c r="F64" s="5">
        <f t="shared" ref="F64:F72" si="38">IF(D$12=0,0,D64/D$12)</f>
        <v>1.2881848765066862E-4</v>
      </c>
      <c r="G64" s="1"/>
      <c r="H64" s="1">
        <f>SUM(OSRRefH22_9x_0)</f>
        <v>7840.58</v>
      </c>
      <c r="I64" s="1"/>
      <c r="J64" s="5">
        <f t="shared" ref="J64:J72" si="39">IF(H$12=0,0,H64/H$12)</f>
        <v>8.4768223089999137E-2</v>
      </c>
      <c r="K64" s="1"/>
      <c r="L64" s="1">
        <f t="shared" ref="L64:L72" si="40">+D64-H64</f>
        <v>-7836.7699999999995</v>
      </c>
      <c r="M64" s="1"/>
      <c r="N64" s="5">
        <f t="shared" ref="N64:N72" si="41">IF(H64=0,0,L64/H64)</f>
        <v>-0.99951406656140229</v>
      </c>
      <c r="O64" s="13"/>
      <c r="P64" s="1">
        <f>SUM(OSRRefP22_9x_0)</f>
        <v>10168.07</v>
      </c>
      <c r="Q64" s="1"/>
      <c r="R64" s="5">
        <f t="shared" ref="R64:R72" si="42">IF(P$12=0,0,P64/P$12)</f>
        <v>9.7389504188543558E-2</v>
      </c>
      <c r="S64" s="1"/>
      <c r="T64" s="1">
        <f>SUM(OSRRefT22_9x_0)</f>
        <v>64400.56</v>
      </c>
      <c r="U64" s="1"/>
      <c r="V64" s="5">
        <f t="shared" ref="V64:V72" si="43">IF(T$12=0,0,T64/T$12)</f>
        <v>0.16404022883514821</v>
      </c>
      <c r="W64" s="1"/>
      <c r="X64" s="1">
        <f t="shared" ref="X64:X72" si="44">+P64-T64</f>
        <v>-54232.49</v>
      </c>
      <c r="Y64" s="1"/>
      <c r="Z64" s="5">
        <f t="shared" ref="Z64:Z72" si="45">IF(T64=0,0,X64/T64)</f>
        <v>-0.84211208722408626</v>
      </c>
    </row>
    <row r="65" spans="1:26" s="24" customFormat="1" hidden="1" outlineLevel="2" x14ac:dyDescent="0.25">
      <c r="A65" s="25"/>
      <c r="B65" s="11" t="str">
        <f>CONCATENATE("          ", "6259", " - ", "ROYALTY &amp; COMMISSIONS")</f>
        <v xml:space="preserve">          6259 - ROYALTY &amp; COMMISSIONS</v>
      </c>
      <c r="C65" s="11"/>
      <c r="D65" s="6">
        <v>3.81</v>
      </c>
      <c r="E65" s="2"/>
      <c r="F65" s="7">
        <f t="shared" si="38"/>
        <v>1.2881848765066862E-4</v>
      </c>
      <c r="G65" s="2"/>
      <c r="H65" s="6">
        <v>7840.58</v>
      </c>
      <c r="I65" s="2"/>
      <c r="J65" s="7">
        <f t="shared" si="39"/>
        <v>8.4768223089999137E-2</v>
      </c>
      <c r="K65" s="2"/>
      <c r="L65" s="6">
        <f t="shared" si="40"/>
        <v>-7836.7699999999995</v>
      </c>
      <c r="M65" s="2"/>
      <c r="N65" s="7">
        <f t="shared" si="41"/>
        <v>-0.99951406656140229</v>
      </c>
      <c r="O65" s="11"/>
      <c r="P65" s="6">
        <v>10168.07</v>
      </c>
      <c r="Q65" s="2"/>
      <c r="R65" s="7">
        <f t="shared" si="42"/>
        <v>9.7389504188543558E-2</v>
      </c>
      <c r="S65" s="2"/>
      <c r="T65" s="6">
        <v>64400.56</v>
      </c>
      <c r="U65" s="2"/>
      <c r="V65" s="7">
        <f t="shared" si="43"/>
        <v>0.16404022883514821</v>
      </c>
      <c r="W65" s="2"/>
      <c r="X65" s="6">
        <f t="shared" si="44"/>
        <v>-54232.49</v>
      </c>
      <c r="Y65" s="2"/>
      <c r="Z65" s="7">
        <f t="shared" si="45"/>
        <v>-0.84211208722408626</v>
      </c>
    </row>
    <row r="66" spans="1:26" s="26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SUM(OSRRefD22_10x_0)</f>
        <v>6267.77</v>
      </c>
      <c r="E66" s="1"/>
      <c r="F66" s="5">
        <f t="shared" si="38"/>
        <v>0.21191723158588749</v>
      </c>
      <c r="G66" s="1"/>
      <c r="H66" s="1">
        <f>SUM(OSRRefH22_10x_0)</f>
        <v>6148.22</v>
      </c>
      <c r="I66" s="1"/>
      <c r="J66" s="5">
        <f t="shared" si="39"/>
        <v>6.6471317755369436E-2</v>
      </c>
      <c r="K66" s="1"/>
      <c r="L66" s="1">
        <f t="shared" si="40"/>
        <v>119.55000000000018</v>
      </c>
      <c r="M66" s="1"/>
      <c r="N66" s="5">
        <f t="shared" si="41"/>
        <v>1.944465227334093E-2</v>
      </c>
      <c r="O66" s="13"/>
      <c r="P66" s="1">
        <f>SUM(OSRRefP22_10x_0)</f>
        <v>32085</v>
      </c>
      <c r="Q66" s="1"/>
      <c r="R66" s="5">
        <f t="shared" si="42"/>
        <v>0.30730927716758638</v>
      </c>
      <c r="S66" s="1"/>
      <c r="T66" s="1">
        <f>SUM(OSRRefT22_10x_0)</f>
        <v>24416.079999999998</v>
      </c>
      <c r="U66" s="1"/>
      <c r="V66" s="5">
        <f t="shared" si="43"/>
        <v>6.2192306254127069E-2</v>
      </c>
      <c r="W66" s="1"/>
      <c r="X66" s="1">
        <f t="shared" si="44"/>
        <v>7668.9200000000019</v>
      </c>
      <c r="Y66" s="1"/>
      <c r="Z66" s="5">
        <f t="shared" si="45"/>
        <v>0.31409300755895303</v>
      </c>
    </row>
    <row r="67" spans="1:26" s="24" customFormat="1" hidden="1" outlineLevel="2" x14ac:dyDescent="0.25">
      <c r="A67" s="25"/>
      <c r="B67" s="11" t="str">
        <f>CONCATENATE("          ", "6234", " - ", "EXPENDABLE SUPPLIES &amp; EQUIPMEN")</f>
        <v xml:space="preserve">          6234 - EXPENDABLE SUPPLIES &amp; EQUIPMEN</v>
      </c>
      <c r="C67" s="11"/>
      <c r="D67" s="6"/>
      <c r="E67" s="2"/>
      <c r="F67" s="7">
        <f t="shared" si="38"/>
        <v>0</v>
      </c>
      <c r="G67" s="2"/>
      <c r="H67" s="6"/>
      <c r="I67" s="2"/>
      <c r="J67" s="7">
        <f t="shared" si="39"/>
        <v>0</v>
      </c>
      <c r="K67" s="2"/>
      <c r="L67" s="6">
        <f t="shared" si="40"/>
        <v>0</v>
      </c>
      <c r="M67" s="2"/>
      <c r="N67" s="7">
        <f t="shared" si="41"/>
        <v>0</v>
      </c>
      <c r="O67" s="11"/>
      <c r="P67" s="6"/>
      <c r="Q67" s="2"/>
      <c r="R67" s="7">
        <f t="shared" si="42"/>
        <v>0</v>
      </c>
      <c r="S67" s="2"/>
      <c r="T67" s="6">
        <v>1017.27</v>
      </c>
      <c r="U67" s="2"/>
      <c r="V67" s="7">
        <f t="shared" si="43"/>
        <v>2.5911762814971053E-3</v>
      </c>
      <c r="W67" s="2"/>
      <c r="X67" s="6">
        <f t="shared" si="44"/>
        <v>-1017.27</v>
      </c>
      <c r="Y67" s="2"/>
      <c r="Z67" s="7">
        <f t="shared" si="45"/>
        <v>-1</v>
      </c>
    </row>
    <row r="68" spans="1:26" s="24" customFormat="1" hidden="1" outlineLevel="2" x14ac:dyDescent="0.25">
      <c r="A68" s="25"/>
      <c r="B68" s="11" t="str">
        <f>CONCATENATE("          ", "6235", " - ", "COVID-19 EXPENSES")</f>
        <v xml:space="preserve">          6235 - COVID-19 EXPENSES</v>
      </c>
      <c r="C68" s="11"/>
      <c r="D68" s="6"/>
      <c r="E68" s="2"/>
      <c r="F68" s="7">
        <f t="shared" si="38"/>
        <v>0</v>
      </c>
      <c r="G68" s="2"/>
      <c r="H68" s="6"/>
      <c r="I68" s="2"/>
      <c r="J68" s="7">
        <f t="shared" si="39"/>
        <v>0</v>
      </c>
      <c r="K68" s="2"/>
      <c r="L68" s="6">
        <f t="shared" si="40"/>
        <v>0</v>
      </c>
      <c r="M68" s="2"/>
      <c r="N68" s="7">
        <f t="shared" si="41"/>
        <v>0</v>
      </c>
      <c r="O68" s="11"/>
      <c r="P68" s="6">
        <v>310.91000000000003</v>
      </c>
      <c r="Q68" s="2"/>
      <c r="R68" s="7">
        <f t="shared" si="42"/>
        <v>2.9778877158851266E-3</v>
      </c>
      <c r="S68" s="2"/>
      <c r="T68" s="6"/>
      <c r="U68" s="2"/>
      <c r="V68" s="7">
        <f t="shared" si="43"/>
        <v>0</v>
      </c>
      <c r="W68" s="2"/>
      <c r="X68" s="6">
        <f t="shared" si="44"/>
        <v>310.91000000000003</v>
      </c>
      <c r="Y68" s="2"/>
      <c r="Z68" s="7">
        <f t="shared" si="45"/>
        <v>0</v>
      </c>
    </row>
    <row r="69" spans="1:26" s="24" customFormat="1" hidden="1" outlineLevel="2" x14ac:dyDescent="0.25">
      <c r="A69" s="25"/>
      <c r="B69" s="11" t="str">
        <f>CONCATENATE("          ", "6241", " - ", "OFFICE EXPENSE")</f>
        <v xml:space="preserve">          6241 - OFFICE EXPENSE</v>
      </c>
      <c r="C69" s="11"/>
      <c r="D69" s="6"/>
      <c r="E69" s="2"/>
      <c r="F69" s="7">
        <f t="shared" si="38"/>
        <v>0</v>
      </c>
      <c r="G69" s="2"/>
      <c r="H69" s="6">
        <v>1524.87</v>
      </c>
      <c r="I69" s="2"/>
      <c r="J69" s="7">
        <f t="shared" si="39"/>
        <v>1.6486091633941234E-2</v>
      </c>
      <c r="K69" s="2"/>
      <c r="L69" s="6">
        <f t="shared" si="40"/>
        <v>-1524.87</v>
      </c>
      <c r="M69" s="2"/>
      <c r="N69" s="7">
        <f t="shared" si="41"/>
        <v>-1</v>
      </c>
      <c r="O69" s="11"/>
      <c r="P69" s="6">
        <v>4596.8599999999997</v>
      </c>
      <c r="Q69" s="2"/>
      <c r="R69" s="7">
        <f t="shared" si="42"/>
        <v>4.4028602893582389E-2</v>
      </c>
      <c r="S69" s="2"/>
      <c r="T69" s="6">
        <v>1568.02</v>
      </c>
      <c r="U69" s="2"/>
      <c r="V69" s="7">
        <f t="shared" si="43"/>
        <v>3.9940391763377383E-3</v>
      </c>
      <c r="W69" s="2"/>
      <c r="X69" s="6">
        <f t="shared" si="44"/>
        <v>3028.8399999999997</v>
      </c>
      <c r="Y69" s="2"/>
      <c r="Z69" s="7">
        <f t="shared" si="45"/>
        <v>1.931633525082588</v>
      </c>
    </row>
    <row r="70" spans="1:26" s="24" customFormat="1" hidden="1" outlineLevel="2" x14ac:dyDescent="0.25">
      <c r="A70" s="25"/>
      <c r="B70" s="11" t="str">
        <f>CONCATENATE("          ", "6243", " - ", "PAPER SUPPLIES")</f>
        <v xml:space="preserve">          6243 - PAPER SUPPLIES</v>
      </c>
      <c r="C70" s="11"/>
      <c r="D70" s="6">
        <v>1080</v>
      </c>
      <c r="E70" s="2"/>
      <c r="F70" s="7">
        <f t="shared" si="38"/>
        <v>3.6515476814362756E-2</v>
      </c>
      <c r="G70" s="2"/>
      <c r="H70" s="6">
        <v>2294.33</v>
      </c>
      <c r="I70" s="2"/>
      <c r="J70" s="7">
        <f t="shared" si="39"/>
        <v>2.4805088052424401E-2</v>
      </c>
      <c r="K70" s="2"/>
      <c r="L70" s="6">
        <f t="shared" si="40"/>
        <v>-1214.33</v>
      </c>
      <c r="M70" s="2"/>
      <c r="N70" s="7">
        <f t="shared" si="41"/>
        <v>-0.52927434152889952</v>
      </c>
      <c r="O70" s="11"/>
      <c r="P70" s="6">
        <v>6173.4</v>
      </c>
      <c r="Q70" s="2"/>
      <c r="R70" s="7">
        <f t="shared" si="42"/>
        <v>5.9128661108504836E-2</v>
      </c>
      <c r="S70" s="2"/>
      <c r="T70" s="6">
        <v>11852.83</v>
      </c>
      <c r="U70" s="2"/>
      <c r="V70" s="7">
        <f t="shared" si="43"/>
        <v>3.0191367055567683E-2</v>
      </c>
      <c r="W70" s="2"/>
      <c r="X70" s="6">
        <f t="shared" si="44"/>
        <v>-5679.43</v>
      </c>
      <c r="Y70" s="2"/>
      <c r="Z70" s="7">
        <f t="shared" si="45"/>
        <v>-0.47916236038144477</v>
      </c>
    </row>
    <row r="71" spans="1:26" s="24" customFormat="1" hidden="1" outlineLevel="2" x14ac:dyDescent="0.25">
      <c r="A71" s="25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38"/>
        <v>0</v>
      </c>
      <c r="G71" s="2"/>
      <c r="H71" s="6">
        <v>794.09</v>
      </c>
      <c r="I71" s="2"/>
      <c r="J71" s="7">
        <f t="shared" si="39"/>
        <v>8.585283011401889E-3</v>
      </c>
      <c r="K71" s="2"/>
      <c r="L71" s="6">
        <f t="shared" si="40"/>
        <v>-794.09</v>
      </c>
      <c r="M71" s="2"/>
      <c r="N71" s="7">
        <f t="shared" si="41"/>
        <v>-1</v>
      </c>
      <c r="O71" s="11"/>
      <c r="P71" s="6">
        <v>439.61</v>
      </c>
      <c r="Q71" s="2"/>
      <c r="R71" s="7">
        <f t="shared" si="42"/>
        <v>4.2105728949865251E-3</v>
      </c>
      <c r="S71" s="2"/>
      <c r="T71" s="6">
        <v>2007.27</v>
      </c>
      <c r="U71" s="2"/>
      <c r="V71" s="7">
        <f t="shared" si="43"/>
        <v>5.1128907906069134E-3</v>
      </c>
      <c r="W71" s="2"/>
      <c r="X71" s="6">
        <f t="shared" si="44"/>
        <v>-1567.6599999999999</v>
      </c>
      <c r="Y71" s="2"/>
      <c r="Z71" s="7">
        <f t="shared" si="45"/>
        <v>-0.7809910973610924</v>
      </c>
    </row>
    <row r="72" spans="1:26" s="24" customFormat="1" hidden="1" outlineLevel="2" x14ac:dyDescent="0.25">
      <c r="A72" s="25"/>
      <c r="B72" s="11" t="str">
        <f>CONCATENATE("          ", "6247", " - ", "STORE SUPPLIES")</f>
        <v xml:space="preserve">          6247 - STORE SUPPLIES</v>
      </c>
      <c r="C72" s="11"/>
      <c r="D72" s="6">
        <v>5187.7700000000004</v>
      </c>
      <c r="E72" s="2"/>
      <c r="F72" s="7">
        <f t="shared" si="38"/>
        <v>0.17540175477152473</v>
      </c>
      <c r="G72" s="2"/>
      <c r="H72" s="6">
        <v>1534.93</v>
      </c>
      <c r="I72" s="2"/>
      <c r="J72" s="7">
        <f t="shared" si="39"/>
        <v>1.6594855057601908E-2</v>
      </c>
      <c r="K72" s="2"/>
      <c r="L72" s="6">
        <f t="shared" si="40"/>
        <v>3652.84</v>
      </c>
      <c r="M72" s="2"/>
      <c r="N72" s="7">
        <f t="shared" si="41"/>
        <v>2.3798088512179709</v>
      </c>
      <c r="O72" s="11"/>
      <c r="P72" s="6">
        <v>20564.22</v>
      </c>
      <c r="Q72" s="2"/>
      <c r="R72" s="7">
        <f t="shared" si="42"/>
        <v>0.1969635525546275</v>
      </c>
      <c r="S72" s="2"/>
      <c r="T72" s="6">
        <v>7970.69</v>
      </c>
      <c r="U72" s="2"/>
      <c r="V72" s="7">
        <f t="shared" si="43"/>
        <v>2.030283295011763E-2</v>
      </c>
      <c r="W72" s="2"/>
      <c r="X72" s="6">
        <f t="shared" si="44"/>
        <v>12593.530000000002</v>
      </c>
      <c r="Y72" s="2"/>
      <c r="Z72" s="7">
        <f t="shared" si="45"/>
        <v>1.5799799013636213</v>
      </c>
    </row>
    <row r="73" spans="1:26" s="26" customFormat="1" outlineLevel="1" collapsed="1" x14ac:dyDescent="0.25">
      <c r="A73" s="27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SUM(OSRRefD22_11x_0)</f>
        <v>82.2</v>
      </c>
      <c r="E73" s="1"/>
      <c r="F73" s="5">
        <f t="shared" ref="F73:F78" si="46">IF(D$12=0,0,D73/D$12)</f>
        <v>2.7792335130931655E-3</v>
      </c>
      <c r="G73" s="1"/>
      <c r="H73" s="1">
        <f>SUM(OSRRefH22_11x_0)</f>
        <v>151.4</v>
      </c>
      <c r="I73" s="1"/>
      <c r="J73" s="5">
        <f t="shared" ref="J73:J78" si="47">IF(H$12=0,0,H73/H$12)</f>
        <v>1.6368570916725383E-3</v>
      </c>
      <c r="K73" s="1"/>
      <c r="L73" s="1">
        <f t="shared" ref="L73:L78" si="48">+D73-H73</f>
        <v>-69.2</v>
      </c>
      <c r="M73" s="1"/>
      <c r="N73" s="5">
        <f t="shared" ref="N73:N78" si="49">IF(H73=0,0,L73/H73)</f>
        <v>-0.4570673712021136</v>
      </c>
      <c r="O73" s="13"/>
      <c r="P73" s="1">
        <f>SUM(OSRRefP22_11x_0)</f>
        <v>1339.2</v>
      </c>
      <c r="Q73" s="1"/>
      <c r="R73" s="5">
        <f t="shared" ref="R73:R78" si="50">IF(P$12=0,0,P73/P$12)</f>
        <v>1.2826822003516649E-2</v>
      </c>
      <c r="S73" s="1"/>
      <c r="T73" s="1">
        <f>SUM(OSRRefT22_11x_0)</f>
        <v>966.35</v>
      </c>
      <c r="U73" s="1"/>
      <c r="V73" s="5">
        <f t="shared" ref="V73:V78" si="51">IF(T$12=0,0,T73/T$12)</f>
        <v>2.461473551392185E-3</v>
      </c>
      <c r="W73" s="1"/>
      <c r="X73" s="1">
        <f t="shared" ref="X73:X78" si="52">+P73-T73</f>
        <v>372.85</v>
      </c>
      <c r="Y73" s="1"/>
      <c r="Z73" s="5">
        <f t="shared" ref="Z73:Z78" si="53">IF(T73=0,0,X73/T73)</f>
        <v>0.38583329021576035</v>
      </c>
    </row>
    <row r="74" spans="1:26" s="24" customFormat="1" hidden="1" outlineLevel="2" x14ac:dyDescent="0.25">
      <c r="A74" s="25"/>
      <c r="B74" s="11" t="str">
        <f>CONCATENATE("          ", "6309", " - ", "TELEPHONE")</f>
        <v xml:space="preserve">          6309 - TELEPHONE</v>
      </c>
      <c r="C74" s="11"/>
      <c r="D74" s="6">
        <v>82.2</v>
      </c>
      <c r="E74" s="2"/>
      <c r="F74" s="7">
        <f t="shared" si="46"/>
        <v>2.7792335130931655E-3</v>
      </c>
      <c r="G74" s="2"/>
      <c r="H74" s="6">
        <v>151.4</v>
      </c>
      <c r="I74" s="2"/>
      <c r="J74" s="7">
        <f t="shared" si="47"/>
        <v>1.6368570916725383E-3</v>
      </c>
      <c r="K74" s="2"/>
      <c r="L74" s="6">
        <f t="shared" si="48"/>
        <v>-69.2</v>
      </c>
      <c r="M74" s="2"/>
      <c r="N74" s="7">
        <f t="shared" si="49"/>
        <v>-0.4570673712021136</v>
      </c>
      <c r="O74" s="11"/>
      <c r="P74" s="6">
        <v>1339.2</v>
      </c>
      <c r="Q74" s="2"/>
      <c r="R74" s="7">
        <f t="shared" si="50"/>
        <v>1.2826822003516649E-2</v>
      </c>
      <c r="S74" s="2"/>
      <c r="T74" s="6">
        <v>966.35</v>
      </c>
      <c r="U74" s="2"/>
      <c r="V74" s="7">
        <f t="shared" si="51"/>
        <v>2.461473551392185E-3</v>
      </c>
      <c r="W74" s="2"/>
      <c r="X74" s="6">
        <f t="shared" si="52"/>
        <v>372.85</v>
      </c>
      <c r="Y74" s="2"/>
      <c r="Z74" s="7">
        <f t="shared" si="53"/>
        <v>0.38583329021576035</v>
      </c>
    </row>
    <row r="75" spans="1:26" s="26" customFormat="1" outlineLevel="1" collapsed="1" x14ac:dyDescent="0.25">
      <c r="A75" s="27"/>
      <c r="B75" s="13" t="str">
        <f>CONCATENATE("     ","Training                                          ")</f>
        <v xml:space="preserve">     Training                                          </v>
      </c>
      <c r="C75" s="13"/>
      <c r="D75" s="1">
        <f>SUM(OSRRefD22_12x_0)</f>
        <v>0</v>
      </c>
      <c r="E75" s="1"/>
      <c r="F75" s="5">
        <f t="shared" si="46"/>
        <v>0</v>
      </c>
      <c r="G75" s="1"/>
      <c r="H75" s="1">
        <f>SUM(OSRRefH22_12x_0)</f>
        <v>0</v>
      </c>
      <c r="I75" s="1"/>
      <c r="J75" s="5">
        <f t="shared" si="47"/>
        <v>0</v>
      </c>
      <c r="K75" s="1"/>
      <c r="L75" s="1">
        <f t="shared" si="48"/>
        <v>0</v>
      </c>
      <c r="M75" s="1"/>
      <c r="N75" s="5">
        <f t="shared" si="49"/>
        <v>0</v>
      </c>
      <c r="O75" s="13"/>
      <c r="P75" s="1">
        <f>SUM(OSRRefP22_12x_0)</f>
        <v>0</v>
      </c>
      <c r="Q75" s="1"/>
      <c r="R75" s="5">
        <f t="shared" si="50"/>
        <v>0</v>
      </c>
      <c r="S75" s="1"/>
      <c r="T75" s="1">
        <f>SUM(OSRRefT22_12x_0)</f>
        <v>97.71</v>
      </c>
      <c r="U75" s="1"/>
      <c r="V75" s="5">
        <f t="shared" si="51"/>
        <v>2.4888558049001951E-4</v>
      </c>
      <c r="W75" s="1"/>
      <c r="X75" s="1">
        <f t="shared" si="52"/>
        <v>-97.71</v>
      </c>
      <c r="Y75" s="1"/>
      <c r="Z75" s="5">
        <f t="shared" si="53"/>
        <v>-1</v>
      </c>
    </row>
    <row r="76" spans="1:26" s="24" customFormat="1" hidden="1" outlineLevel="2" x14ac:dyDescent="0.25">
      <c r="A76" s="25"/>
      <c r="B76" s="11" t="str">
        <f>CONCATENATE("          ", "6376", " - ", "TRAINING")</f>
        <v xml:space="preserve">          6376 - TRAINING</v>
      </c>
      <c r="C76" s="11"/>
      <c r="D76" s="6"/>
      <c r="E76" s="2"/>
      <c r="F76" s="7">
        <f t="shared" si="46"/>
        <v>0</v>
      </c>
      <c r="G76" s="2"/>
      <c r="H76" s="6"/>
      <c r="I76" s="2"/>
      <c r="J76" s="7">
        <f t="shared" si="47"/>
        <v>0</v>
      </c>
      <c r="K76" s="2"/>
      <c r="L76" s="6">
        <f t="shared" si="48"/>
        <v>0</v>
      </c>
      <c r="M76" s="2"/>
      <c r="N76" s="7">
        <f t="shared" si="49"/>
        <v>0</v>
      </c>
      <c r="O76" s="11"/>
      <c r="P76" s="6"/>
      <c r="Q76" s="2"/>
      <c r="R76" s="7">
        <f t="shared" si="50"/>
        <v>0</v>
      </c>
      <c r="S76" s="2"/>
      <c r="T76" s="6">
        <v>97.71</v>
      </c>
      <c r="U76" s="2"/>
      <c r="V76" s="7">
        <f t="shared" si="51"/>
        <v>2.4888558049001951E-4</v>
      </c>
      <c r="W76" s="2"/>
      <c r="X76" s="6">
        <f t="shared" si="52"/>
        <v>-97.71</v>
      </c>
      <c r="Y76" s="2"/>
      <c r="Z76" s="7">
        <f t="shared" si="53"/>
        <v>-1</v>
      </c>
    </row>
    <row r="77" spans="1:26" s="26" customFormat="1" outlineLevel="1" collapsed="1" x14ac:dyDescent="0.25">
      <c r="A77" s="27"/>
      <c r="B77" s="13" t="str">
        <f>CONCATENATE("     ","Utilities                                         ")</f>
        <v xml:space="preserve">     Utilities                                         </v>
      </c>
      <c r="C77" s="13"/>
      <c r="D77" s="1">
        <f>SUM(OSRRefD22_13x_0)</f>
        <v>0</v>
      </c>
      <c r="E77" s="1"/>
      <c r="F77" s="5">
        <f t="shared" si="46"/>
        <v>0</v>
      </c>
      <c r="G77" s="1"/>
      <c r="H77" s="1">
        <f>SUM(OSRRefH22_13x_0)</f>
        <v>0</v>
      </c>
      <c r="I77" s="1"/>
      <c r="J77" s="5">
        <f t="shared" si="47"/>
        <v>0</v>
      </c>
      <c r="K77" s="1"/>
      <c r="L77" s="1">
        <f t="shared" si="48"/>
        <v>0</v>
      </c>
      <c r="M77" s="1"/>
      <c r="N77" s="5">
        <f t="shared" si="49"/>
        <v>0</v>
      </c>
      <c r="O77" s="13"/>
      <c r="P77" s="1">
        <f>SUM(OSRRefP22_13x_0)</f>
        <v>15.02</v>
      </c>
      <c r="Q77" s="1"/>
      <c r="R77" s="5">
        <f t="shared" si="50"/>
        <v>1.438611607622611E-4</v>
      </c>
      <c r="S77" s="1"/>
      <c r="T77" s="1">
        <f>SUM(OSRRefT22_13x_0)</f>
        <v>0</v>
      </c>
      <c r="U77" s="1"/>
      <c r="V77" s="5">
        <f t="shared" si="51"/>
        <v>0</v>
      </c>
      <c r="W77" s="1"/>
      <c r="X77" s="1">
        <f t="shared" si="52"/>
        <v>15.02</v>
      </c>
      <c r="Y77" s="1"/>
      <c r="Z77" s="5">
        <f t="shared" si="53"/>
        <v>0</v>
      </c>
    </row>
    <row r="78" spans="1:26" s="24" customFormat="1" hidden="1" outlineLevel="2" x14ac:dyDescent="0.25">
      <c r="A78" s="25"/>
      <c r="B78" s="11" t="str">
        <f>CONCATENATE("          ", "6274", " - ", "UTILITIES")</f>
        <v xml:space="preserve">          6274 - UTILITIES</v>
      </c>
      <c r="C78" s="11"/>
      <c r="D78" s="6"/>
      <c r="E78" s="2"/>
      <c r="F78" s="7">
        <f t="shared" si="46"/>
        <v>0</v>
      </c>
      <c r="G78" s="2"/>
      <c r="H78" s="6"/>
      <c r="I78" s="2"/>
      <c r="J78" s="7">
        <f t="shared" si="47"/>
        <v>0</v>
      </c>
      <c r="K78" s="2"/>
      <c r="L78" s="6">
        <f t="shared" si="48"/>
        <v>0</v>
      </c>
      <c r="M78" s="2"/>
      <c r="N78" s="7">
        <f t="shared" si="49"/>
        <v>0</v>
      </c>
      <c r="O78" s="11"/>
      <c r="P78" s="6">
        <v>15.02</v>
      </c>
      <c r="Q78" s="2"/>
      <c r="R78" s="7">
        <f t="shared" si="50"/>
        <v>1.438611607622611E-4</v>
      </c>
      <c r="S78" s="2"/>
      <c r="T78" s="6"/>
      <c r="U78" s="2"/>
      <c r="V78" s="7">
        <f t="shared" si="51"/>
        <v>0</v>
      </c>
      <c r="W78" s="2"/>
      <c r="X78" s="6">
        <f t="shared" si="52"/>
        <v>15.02</v>
      </c>
      <c r="Y78" s="2"/>
      <c r="Z78" s="7">
        <f t="shared" si="53"/>
        <v>0</v>
      </c>
    </row>
    <row r="79" spans="1:26" s="61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25">
      <c r="A80" s="10"/>
      <c r="B80" s="29" t="s">
        <v>0</v>
      </c>
      <c r="C80" s="10"/>
      <c r="D80" s="4">
        <f>SUM(OSRRefD25x_0)</f>
        <v>6782</v>
      </c>
      <c r="E80" s="4"/>
      <c r="F80" s="12">
        <f t="shared" ref="F80:F81" si="54">IF(D$12=0,0,D80/D$12)</f>
        <v>0.22930367014352615</v>
      </c>
      <c r="G80" s="4"/>
      <c r="H80" s="4">
        <f>SUM(OSRRefH25x_0)</f>
        <v>13269</v>
      </c>
      <c r="I80" s="4"/>
      <c r="J80" s="12">
        <f t="shared" ref="J80:J81" si="55">IF(H$12=0,0,H80/H$12)</f>
        <v>0.14345744220213283</v>
      </c>
      <c r="K80" s="4"/>
      <c r="L80" s="4">
        <f t="shared" ref="L80:L81" si="56">+D80-H80</f>
        <v>-6487</v>
      </c>
      <c r="M80" s="4"/>
      <c r="N80" s="12">
        <f t="shared" ref="N80:N81" si="57">IF(H80=0,0,L80/H80)</f>
        <v>-0.48888386464692141</v>
      </c>
      <c r="O80" s="10"/>
      <c r="P80" s="4">
        <f>SUM(OSRRefP25x_0)</f>
        <v>47474</v>
      </c>
      <c r="Q80" s="4"/>
      <c r="R80" s="12">
        <f t="shared" ref="R80:R81" si="58">IF(P$12=0,0,P80/P$12)</f>
        <v>0.45470471012167668</v>
      </c>
      <c r="S80" s="4"/>
      <c r="T80" s="4">
        <f>SUM(OSRRefT25x_0)</f>
        <v>92883</v>
      </c>
      <c r="U80" s="4"/>
      <c r="V80" s="12">
        <f t="shared" ref="V80:V81" si="59">IF(T$12=0,0,T80/T$12)</f>
        <v>0.2365903118683296</v>
      </c>
      <c r="W80" s="4"/>
      <c r="X80" s="4">
        <f t="shared" ref="X80:X81" si="60">+P80-T80</f>
        <v>-45409</v>
      </c>
      <c r="Y80" s="4"/>
      <c r="Z80" s="12">
        <f t="shared" ref="Z80:Z81" si="61">IF(T80=0,0,X80/T80)</f>
        <v>-0.48888386464692141</v>
      </c>
    </row>
    <row r="81" spans="1:26" s="24" customFormat="1" hidden="1" outlineLevel="1" x14ac:dyDescent="0.25">
      <c r="A81" s="44"/>
      <c r="B81" s="11" t="str">
        <f>CONCATENATE("          ", "9150", " - ", "MISC. INCOME")</f>
        <v xml:space="preserve">          9150 - MISC. INCOME</v>
      </c>
      <c r="C81" s="11"/>
      <c r="D81" s="2">
        <f>--6782</f>
        <v>6782</v>
      </c>
      <c r="E81" s="2"/>
      <c r="F81" s="19">
        <f t="shared" si="54"/>
        <v>0.22930367014352615</v>
      </c>
      <c r="G81" s="2"/>
      <c r="H81" s="2">
        <f>--13269</f>
        <v>13269</v>
      </c>
      <c r="I81" s="2"/>
      <c r="J81" s="19">
        <f t="shared" si="55"/>
        <v>0.14345744220213283</v>
      </c>
      <c r="K81" s="2"/>
      <c r="L81" s="2">
        <f t="shared" si="56"/>
        <v>-6487</v>
      </c>
      <c r="M81" s="2"/>
      <c r="N81" s="19">
        <f t="shared" si="57"/>
        <v>-0.48888386464692141</v>
      </c>
      <c r="O81" s="11"/>
      <c r="P81" s="2">
        <f>--47474</f>
        <v>47474</v>
      </c>
      <c r="Q81" s="2"/>
      <c r="R81" s="19">
        <f t="shared" si="58"/>
        <v>0.45470471012167668</v>
      </c>
      <c r="S81" s="2"/>
      <c r="T81" s="2">
        <f>--92883</f>
        <v>92883</v>
      </c>
      <c r="U81" s="2"/>
      <c r="V81" s="19">
        <f t="shared" si="59"/>
        <v>0.2365903118683296</v>
      </c>
      <c r="W81" s="2"/>
      <c r="X81" s="2">
        <f t="shared" si="60"/>
        <v>-45409</v>
      </c>
      <c r="Y81" s="2"/>
      <c r="Z81" s="19">
        <f t="shared" si="61"/>
        <v>-0.48888386464692141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8" t="s">
        <v>3</v>
      </c>
      <c r="C83" s="28"/>
      <c r="D83" s="20">
        <f>+D30-D32+D80</f>
        <v>18251.210000000003</v>
      </c>
      <c r="E83" s="14"/>
      <c r="F83" s="22">
        <f>IF(D$12=0,0,D83/D$12)</f>
        <v>0.61708484776765349</v>
      </c>
      <c r="G83" s="14"/>
      <c r="H83" s="20">
        <f>+H30-H32+H80</f>
        <v>49648.78</v>
      </c>
      <c r="I83" s="14"/>
      <c r="J83" s="22">
        <f>IF(H$12=0,0,H83/H$12)</f>
        <v>0.53677647051446287</v>
      </c>
      <c r="K83" s="15"/>
      <c r="L83" s="20">
        <f>+D83-H83</f>
        <v>-31397.569999999996</v>
      </c>
      <c r="M83" s="15"/>
      <c r="N83" s="22">
        <f>IF(H83=0,0,L83/H83)</f>
        <v>-0.6323935855020002</v>
      </c>
      <c r="O83" s="29"/>
      <c r="P83" s="20">
        <f>+P30-P32+P80</f>
        <v>-58351.530000000028</v>
      </c>
      <c r="Q83" s="14"/>
      <c r="R83" s="22">
        <f>IF(P$12=0,0,P83/P$12)</f>
        <v>-0.55888940333248371</v>
      </c>
      <c r="S83" s="14"/>
      <c r="T83" s="20">
        <f>+T30-T32+T80</f>
        <v>156912.08999999991</v>
      </c>
      <c r="U83" s="14"/>
      <c r="V83" s="22">
        <f>IF(T$12=0,0,T83/T$12)</f>
        <v>0.3996843373815594</v>
      </c>
      <c r="W83" s="15"/>
      <c r="X83" s="20">
        <f>+P83-T83</f>
        <v>-215263.61999999994</v>
      </c>
      <c r="Y83" s="15"/>
      <c r="Z83" s="22">
        <f>IF(T83=0,0,X83/T83)</f>
        <v>-1.3718740219443897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>
        <v>5107.41</v>
      </c>
      <c r="E85" s="4"/>
      <c r="F85" s="12">
        <f>IF(D$12=0,0,D85/D$12)</f>
        <v>0.17268473281152269</v>
      </c>
      <c r="G85" s="4"/>
      <c r="H85" s="4">
        <v>8528.93</v>
      </c>
      <c r="I85" s="4"/>
      <c r="J85" s="12">
        <f>IF(H$12=0,0,H85/H$12)</f>
        <v>9.2210300890876229E-2</v>
      </c>
      <c r="K85" s="4"/>
      <c r="L85" s="4">
        <f>+D85-H85</f>
        <v>-3421.5200000000004</v>
      </c>
      <c r="M85" s="4"/>
      <c r="N85" s="12">
        <f>IF(H85=0,0,L85/H85)</f>
        <v>-0.40116638312191566</v>
      </c>
      <c r="O85" s="10"/>
      <c r="P85" s="4">
        <v>18952.489999999998</v>
      </c>
      <c r="Q85" s="4"/>
      <c r="R85" s="12">
        <f>IF(P$12=0,0,P85/P$12)</f>
        <v>0.1815264454550696</v>
      </c>
      <c r="S85" s="4"/>
      <c r="T85" s="4">
        <v>40941.58</v>
      </c>
      <c r="U85" s="4"/>
      <c r="V85" s="12">
        <f>IF(T$12=0,0,T85/T$12)</f>
        <v>0.10428583465846458</v>
      </c>
      <c r="W85" s="4"/>
      <c r="X85" s="4">
        <f>+P85-T85</f>
        <v>-21989.090000000004</v>
      </c>
      <c r="Y85" s="4"/>
      <c r="Z85" s="12">
        <f>IF(T85=0,0,X85/T85)</f>
        <v>-0.5370845482758605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4</v>
      </c>
      <c r="C87" s="28"/>
      <c r="D87" s="30">
        <f>+D83-D85</f>
        <v>13143.800000000003</v>
      </c>
      <c r="E87" s="14"/>
      <c r="F87" s="36">
        <f>IF(D$12=0,0,D87/D$12)</f>
        <v>0.44440011495613085</v>
      </c>
      <c r="G87" s="14"/>
      <c r="H87" s="30">
        <f>+H83-H85</f>
        <v>41119.85</v>
      </c>
      <c r="I87" s="14"/>
      <c r="J87" s="36">
        <f>IF(H$12=0,0,H87/H$12)</f>
        <v>0.44456616962358664</v>
      </c>
      <c r="K87" s="15"/>
      <c r="L87" s="30">
        <f>D87-H87</f>
        <v>-27976.049999999996</v>
      </c>
      <c r="M87" s="15"/>
      <c r="N87" s="36">
        <f>IF(H87=0,0,L87/H87)</f>
        <v>-0.68035389234153332</v>
      </c>
      <c r="O87" s="29"/>
      <c r="P87" s="30">
        <f>+P83-P85</f>
        <v>-77304.020000000019</v>
      </c>
      <c r="Q87" s="14"/>
      <c r="R87" s="36">
        <f>IF(P$12=0,0,P87/P$12)</f>
        <v>-0.74041584878755329</v>
      </c>
      <c r="S87" s="14"/>
      <c r="T87" s="30">
        <f>+T83-T85</f>
        <v>115970.50999999991</v>
      </c>
      <c r="U87" s="14"/>
      <c r="V87" s="36">
        <f>IF(T$12=0,0,T87/T$12)</f>
        <v>0.29539850272309481</v>
      </c>
      <c r="W87" s="15"/>
      <c r="X87" s="30">
        <f>P87-T87</f>
        <v>-193274.52999999991</v>
      </c>
      <c r="Y87" s="15"/>
      <c r="Z87" s="36">
        <f>IF(T87=0,0,X87/T87)</f>
        <v>-1.6665834271143591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5</v>
      </c>
      <c r="C90" s="28"/>
      <c r="D90" s="32">
        <f>SUM(D87:D89)</f>
        <v>13143.800000000003</v>
      </c>
      <c r="E90" s="14"/>
      <c r="F90" s="31">
        <f>IF(D$12=0,0,D90/D$12)</f>
        <v>0.44440011495613085</v>
      </c>
      <c r="G90" s="14"/>
      <c r="H90" s="32">
        <f>SUM(H87:H89)</f>
        <v>41119.85</v>
      </c>
      <c r="I90" s="14"/>
      <c r="J90" s="31">
        <f>IF(H$12=0,0,H90/H$12)</f>
        <v>0.44456616962358664</v>
      </c>
      <c r="K90" s="15"/>
      <c r="L90" s="32">
        <f>+D90-H90</f>
        <v>-27976.049999999996</v>
      </c>
      <c r="M90" s="15"/>
      <c r="N90" s="31">
        <f>IF(H90=0,0,L90/H90)</f>
        <v>-0.68035389234153332</v>
      </c>
      <c r="O90" s="29"/>
      <c r="P90" s="32">
        <f>SUM(P87:P89)</f>
        <v>-77304.020000000019</v>
      </c>
      <c r="Q90" s="14"/>
      <c r="R90" s="31">
        <f>IF(P$12=0,0,P90/P$12)</f>
        <v>-0.74041584878755329</v>
      </c>
      <c r="S90" s="14"/>
      <c r="T90" s="32">
        <f>SUM(T87:T89)</f>
        <v>115970.50999999991</v>
      </c>
      <c r="U90" s="14"/>
      <c r="V90" s="31">
        <f>IF(T$12=0,0,T90/T$12)</f>
        <v>0.29539850272309481</v>
      </c>
      <c r="W90" s="15"/>
      <c r="X90" s="32">
        <f>+P90-T90</f>
        <v>-193274.52999999991</v>
      </c>
      <c r="Y90" s="15"/>
      <c r="Z90" s="31">
        <f>IF(T90=0,0,X90/T90)</f>
        <v>-1.6665834271143591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62">
        <v>44238.496256944447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9" t="s">
        <v>313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6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","320", " - ", "Customer Service (old)")</f>
        <v>Department 320 - Customer Service (old)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10.94</v>
      </c>
      <c r="I12" s="4"/>
      <c r="J12" s="12"/>
      <c r="K12" s="4"/>
      <c r="L12" s="4">
        <f t="shared" ref="L12:L15" si="0">+D12-H12</f>
        <v>-10.94</v>
      </c>
      <c r="M12" s="4"/>
      <c r="N12" s="12">
        <f t="shared" ref="N12:N15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7559.83</v>
      </c>
      <c r="U12" s="4"/>
      <c r="V12" s="12"/>
      <c r="W12" s="4"/>
      <c r="X12" s="4">
        <f t="shared" ref="X12:X15" si="2">+P12-T12</f>
        <v>-7559.83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"4092", " - ", "TAXABLE SALES-GRAD MERCH")</f>
        <v xml:space="preserve">          4092 - TAXABLE SALES-GRAD MERCH</v>
      </c>
      <c r="C13" s="11"/>
      <c r="D13" s="2">
        <f t="shared" ref="D13:D15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5" si="5">0</f>
        <v>0</v>
      </c>
      <c r="Q13" s="2"/>
      <c r="R13" s="19"/>
      <c r="S13" s="2"/>
      <c r="T13" s="2">
        <f>--7699.32</f>
        <v>7699.32</v>
      </c>
      <c r="U13" s="2"/>
      <c r="V13" s="19"/>
      <c r="W13" s="2"/>
      <c r="X13" s="2">
        <f t="shared" si="2"/>
        <v>-7699.32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 t="shared" si="4"/>
        <v>0</v>
      </c>
      <c r="E14" s="2"/>
      <c r="F14" s="19"/>
      <c r="G14" s="2"/>
      <c r="H14" s="2">
        <f>--10.94</f>
        <v>10.94</v>
      </c>
      <c r="I14" s="2"/>
      <c r="J14" s="19"/>
      <c r="K14" s="2"/>
      <c r="L14" s="2">
        <f t="shared" si="0"/>
        <v>-10.94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--279.56</f>
        <v>279.56</v>
      </c>
      <c r="U14" s="2"/>
      <c r="V14" s="19"/>
      <c r="W14" s="2"/>
      <c r="X14" s="2">
        <f t="shared" si="2"/>
        <v>-279.56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 t="shared" si="4"/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5"/>
        <v>0</v>
      </c>
      <c r="Q15" s="2"/>
      <c r="R15" s="19"/>
      <c r="S15" s="2"/>
      <c r="T15" s="2">
        <f>-419.05</f>
        <v>-419.05</v>
      </c>
      <c r="U15" s="2"/>
      <c r="V15" s="19"/>
      <c r="W15" s="2"/>
      <c r="X15" s="2">
        <f t="shared" si="2"/>
        <v>419.05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0</v>
      </c>
      <c r="E17" s="4"/>
      <c r="F17" s="12">
        <f t="shared" ref="F17:F22" si="6">IF(D$12=0,0,D17/D$12)</f>
        <v>0</v>
      </c>
      <c r="G17" s="4"/>
      <c r="H17" s="4">
        <f>SUM(OSRRefH16x_0)</f>
        <v>0.71999999999999886</v>
      </c>
      <c r="I17" s="4"/>
      <c r="J17" s="12">
        <f t="shared" ref="J17:J22" si="7">IF(H$12=0,0,H17/H$12)</f>
        <v>6.5813528336380156E-2</v>
      </c>
      <c r="K17" s="4"/>
      <c r="L17" s="4">
        <f t="shared" ref="L17:L22" si="8">+D17-H17</f>
        <v>-0.71999999999999886</v>
      </c>
      <c r="M17" s="4"/>
      <c r="N17" s="12">
        <f t="shared" ref="N17:N22" si="9">IF(H17=0,0,L17/H17)</f>
        <v>-1</v>
      </c>
      <c r="O17" s="10"/>
      <c r="P17" s="4">
        <f>SUM(OSRRefP16x_0)</f>
        <v>0</v>
      </c>
      <c r="Q17" s="4"/>
      <c r="R17" s="12">
        <f t="shared" ref="R17:R22" si="10">IF(P$12=0,0,P17/P$12)</f>
        <v>0</v>
      </c>
      <c r="S17" s="4"/>
      <c r="T17" s="4">
        <f>SUM(OSRRefT16x_0)</f>
        <v>3803.84</v>
      </c>
      <c r="U17" s="4"/>
      <c r="V17" s="12">
        <f t="shared" ref="V17:V22" si="11">IF(T$12=0,0,T17/T$12)</f>
        <v>0.50316475370477909</v>
      </c>
      <c r="W17" s="4"/>
      <c r="X17" s="4">
        <f t="shared" ref="X17:X22" si="12">+P17-T17</f>
        <v>-3803.84</v>
      </c>
      <c r="Y17" s="4"/>
      <c r="Z17" s="12">
        <f t="shared" ref="Z17:Z22" si="13">IF(T17=0,0,X17/T17)</f>
        <v>-1</v>
      </c>
    </row>
    <row r="18" spans="1:26" s="24" customFormat="1" hidden="1" outlineLevel="1" x14ac:dyDescent="0.25">
      <c r="A18" s="44"/>
      <c r="B18" s="11" t="str">
        <f>CONCATENATE("          ", "5092", " - ", "PURCHASES @ COST-GRAD MERCH")</f>
        <v xml:space="preserve">          5092 - PURCHASES @ COST-GRAD MERCH</v>
      </c>
      <c r="C18" s="11"/>
      <c r="D18" s="2"/>
      <c r="E18" s="2"/>
      <c r="F18" s="19">
        <f t="shared" si="6"/>
        <v>0</v>
      </c>
      <c r="G18" s="2"/>
      <c r="H18" s="2">
        <v>122.72</v>
      </c>
      <c r="I18" s="2"/>
      <c r="J18" s="19">
        <f t="shared" si="7"/>
        <v>11.217550274223035</v>
      </c>
      <c r="K18" s="2"/>
      <c r="L18" s="2">
        <f t="shared" si="8"/>
        <v>-122.72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2107.21</v>
      </c>
      <c r="U18" s="2"/>
      <c r="V18" s="19">
        <f t="shared" si="11"/>
        <v>0.27873774939383561</v>
      </c>
      <c r="W18" s="2"/>
      <c r="X18" s="2">
        <f t="shared" si="12"/>
        <v>-2107.21</v>
      </c>
      <c r="Y18" s="2"/>
      <c r="Z18" s="19">
        <f t="shared" si="13"/>
        <v>-1</v>
      </c>
    </row>
    <row r="19" spans="1:26" s="24" customFormat="1" hidden="1" outlineLevel="1" x14ac:dyDescent="0.25">
      <c r="A19" s="44"/>
      <c r="B19" s="11" t="str">
        <f>CONCATENATE("          ", "5095", " - ", "PURCHASES @ COST-CUSTOMER SERV")</f>
        <v xml:space="preserve">          5095 - PURCHASES @ COST-CUSTOMER SERV</v>
      </c>
      <c r="C19" s="11"/>
      <c r="D19" s="2"/>
      <c r="E19" s="2"/>
      <c r="F19" s="19">
        <f t="shared" si="6"/>
        <v>0</v>
      </c>
      <c r="G19" s="2"/>
      <c r="H19" s="2"/>
      <c r="I19" s="2"/>
      <c r="J19" s="19">
        <f t="shared" si="7"/>
        <v>0</v>
      </c>
      <c r="K19" s="2"/>
      <c r="L19" s="2">
        <f t="shared" si="8"/>
        <v>0</v>
      </c>
      <c r="M19" s="2"/>
      <c r="N19" s="19">
        <f t="shared" si="9"/>
        <v>0</v>
      </c>
      <c r="O19" s="11"/>
      <c r="P19" s="2"/>
      <c r="Q19" s="2"/>
      <c r="R19" s="19">
        <f t="shared" si="10"/>
        <v>0</v>
      </c>
      <c r="S19" s="2"/>
      <c r="T19" s="2">
        <v>11.85</v>
      </c>
      <c r="U19" s="2"/>
      <c r="V19" s="19">
        <f t="shared" si="11"/>
        <v>1.5674955653764702E-3</v>
      </c>
      <c r="W19" s="2"/>
      <c r="X19" s="2">
        <f t="shared" si="12"/>
        <v>-11.85</v>
      </c>
      <c r="Y19" s="2"/>
      <c r="Z19" s="19">
        <f t="shared" si="13"/>
        <v>-1</v>
      </c>
    </row>
    <row r="20" spans="1:26" s="24" customFormat="1" hidden="1" outlineLevel="1" x14ac:dyDescent="0.25">
      <c r="A20" s="44"/>
      <c r="B20" s="11" t="str">
        <f>CONCATENATE("          ", "5200", " - ", "PURCHASES OFFSET")</f>
        <v xml:space="preserve">          5200 - PURCHASES OFFSET</v>
      </c>
      <c r="C20" s="11"/>
      <c r="D20" s="2"/>
      <c r="E20" s="2"/>
      <c r="F20" s="19">
        <f t="shared" si="6"/>
        <v>0</v>
      </c>
      <c r="G20" s="2"/>
      <c r="H20" s="2">
        <v>-123</v>
      </c>
      <c r="I20" s="2"/>
      <c r="J20" s="19">
        <f t="shared" si="7"/>
        <v>-11.243144424131627</v>
      </c>
      <c r="K20" s="2"/>
      <c r="L20" s="2">
        <f t="shared" si="8"/>
        <v>123</v>
      </c>
      <c r="M20" s="2"/>
      <c r="N20" s="19">
        <f t="shared" si="9"/>
        <v>-1</v>
      </c>
      <c r="O20" s="11"/>
      <c r="P20" s="2"/>
      <c r="Q20" s="2"/>
      <c r="R20" s="19">
        <f t="shared" si="10"/>
        <v>0</v>
      </c>
      <c r="S20" s="2"/>
      <c r="T20" s="2">
        <v>-2226</v>
      </c>
      <c r="U20" s="2"/>
      <c r="V20" s="19">
        <f t="shared" si="11"/>
        <v>-0.29445106569856727</v>
      </c>
      <c r="W20" s="2"/>
      <c r="X20" s="2">
        <f t="shared" si="12"/>
        <v>2226</v>
      </c>
      <c r="Y20" s="2"/>
      <c r="Z20" s="19">
        <f t="shared" si="13"/>
        <v>-1</v>
      </c>
    </row>
    <row r="21" spans="1:26" s="24" customFormat="1" hidden="1" outlineLevel="1" x14ac:dyDescent="0.25">
      <c r="A21" s="44"/>
      <c r="B21" s="11" t="str">
        <f>CONCATENATE("          ", "5300", " - ", "COG$ OFFSET")</f>
        <v xml:space="preserve">          5300 - COG$ OFFSET</v>
      </c>
      <c r="C21" s="11"/>
      <c r="D21" s="2"/>
      <c r="E21" s="2"/>
      <c r="F21" s="19">
        <f t="shared" si="6"/>
        <v>0</v>
      </c>
      <c r="G21" s="2"/>
      <c r="H21" s="2">
        <v>1</v>
      </c>
      <c r="I21" s="2"/>
      <c r="J21" s="19">
        <f t="shared" si="7"/>
        <v>9.1407678244972576E-2</v>
      </c>
      <c r="K21" s="2"/>
      <c r="L21" s="2">
        <f t="shared" si="8"/>
        <v>-1</v>
      </c>
      <c r="M21" s="2"/>
      <c r="N21" s="19">
        <f t="shared" si="9"/>
        <v>-1</v>
      </c>
      <c r="O21" s="11"/>
      <c r="P21" s="2"/>
      <c r="Q21" s="2"/>
      <c r="R21" s="19">
        <f t="shared" si="10"/>
        <v>0</v>
      </c>
      <c r="S21" s="2"/>
      <c r="T21" s="2">
        <v>3805</v>
      </c>
      <c r="U21" s="2"/>
      <c r="V21" s="19">
        <f t="shared" si="11"/>
        <v>0.50331819630864716</v>
      </c>
      <c r="W21" s="2"/>
      <c r="X21" s="2">
        <f t="shared" si="12"/>
        <v>-3805</v>
      </c>
      <c r="Y21" s="2"/>
      <c r="Z21" s="19">
        <f t="shared" si="13"/>
        <v>-1</v>
      </c>
    </row>
    <row r="22" spans="1:26" s="24" customFormat="1" hidden="1" outlineLevel="1" x14ac:dyDescent="0.25">
      <c r="A22" s="44"/>
      <c r="B22" s="11" t="str">
        <f>CONCATENATE("          ", "5592", " - ", "FREIGHT-IN-GRAD MERCH")</f>
        <v xml:space="preserve">          5592 - FREIGHT-IN-GRAD MERCH</v>
      </c>
      <c r="C22" s="11"/>
      <c r="D22" s="2"/>
      <c r="E22" s="2"/>
      <c r="F22" s="19">
        <f t="shared" si="6"/>
        <v>0</v>
      </c>
      <c r="G22" s="2"/>
      <c r="H22" s="2"/>
      <c r="I22" s="2"/>
      <c r="J22" s="19">
        <f t="shared" si="7"/>
        <v>0</v>
      </c>
      <c r="K22" s="2"/>
      <c r="L22" s="2">
        <f t="shared" si="8"/>
        <v>0</v>
      </c>
      <c r="M22" s="2"/>
      <c r="N22" s="19">
        <f t="shared" si="9"/>
        <v>0</v>
      </c>
      <c r="O22" s="11"/>
      <c r="P22" s="2"/>
      <c r="Q22" s="2"/>
      <c r="R22" s="19">
        <f t="shared" si="10"/>
        <v>0</v>
      </c>
      <c r="S22" s="2"/>
      <c r="T22" s="2">
        <v>105.78</v>
      </c>
      <c r="U22" s="2"/>
      <c r="V22" s="19">
        <f t="shared" si="11"/>
        <v>1.3992378135487173E-2</v>
      </c>
      <c r="W22" s="2"/>
      <c r="X22" s="2">
        <f t="shared" si="12"/>
        <v>-105.78</v>
      </c>
      <c r="Y22" s="2"/>
      <c r="Z22" s="19">
        <f t="shared" si="13"/>
        <v>-1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6</v>
      </c>
      <c r="C24" s="28"/>
      <c r="D24" s="20">
        <f>D12-D17</f>
        <v>0</v>
      </c>
      <c r="E24" s="14"/>
      <c r="F24" s="22">
        <f>IF(D$12=0,0,D24/D$12)</f>
        <v>0</v>
      </c>
      <c r="G24" s="14"/>
      <c r="H24" s="20">
        <f>H12-H17</f>
        <v>10.220000000000001</v>
      </c>
      <c r="I24" s="14"/>
      <c r="J24" s="22">
        <f>IF(H$12=0,0,H24/H$12)</f>
        <v>0.9341864716636199</v>
      </c>
      <c r="K24" s="15"/>
      <c r="L24" s="20">
        <f>+D24-H24</f>
        <v>-10.220000000000001</v>
      </c>
      <c r="M24" s="15"/>
      <c r="N24" s="22">
        <f>IF(H24=0,0,L24/H24)</f>
        <v>-1</v>
      </c>
      <c r="O24" s="29"/>
      <c r="P24" s="20">
        <f>P12-P17</f>
        <v>0</v>
      </c>
      <c r="Q24" s="14"/>
      <c r="R24" s="22">
        <f>IF(P$12=0,0,P24/P$12)</f>
        <v>0</v>
      </c>
      <c r="S24" s="14"/>
      <c r="T24" s="20">
        <f>T12-T17</f>
        <v>3755.99</v>
      </c>
      <c r="U24" s="14"/>
      <c r="V24" s="22">
        <f>IF(T$12=0,0,T24/T$12)</f>
        <v>0.49683524629522091</v>
      </c>
      <c r="W24" s="15"/>
      <c r="X24" s="20">
        <f>+P24-T24</f>
        <v>-3755.99</v>
      </c>
      <c r="Y24" s="15"/>
      <c r="Z24" s="22">
        <f>IF(T24=0,0,X24/T24)</f>
        <v>-1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9" t="s">
        <v>9</v>
      </c>
      <c r="C26" s="10"/>
      <c r="D26" s="21">
        <f>SUM(OSRRefD22x_0)</f>
        <v>0</v>
      </c>
      <c r="E26" s="21"/>
      <c r="F26" s="35">
        <f t="shared" ref="F26:F34" si="14">IF(D$12=0,0,D26/D$12)</f>
        <v>0</v>
      </c>
      <c r="G26" s="21"/>
      <c r="H26" s="21">
        <f>SUM(OSRRefH22x_0)</f>
        <v>-13664.85</v>
      </c>
      <c r="I26" s="21"/>
      <c r="J26" s="35">
        <f t="shared" ref="J26:J34" si="15">IF(H$12=0,0,H26/H$12)</f>
        <v>-1249.0722120658136</v>
      </c>
      <c r="K26" s="4"/>
      <c r="L26" s="21">
        <f t="shared" ref="L26:L34" si="16">+D26-H26</f>
        <v>13664.85</v>
      </c>
      <c r="M26" s="4"/>
      <c r="N26" s="35">
        <f t="shared" ref="N26:N34" si="17">IF(H26=0,0,L26/H26)</f>
        <v>-1</v>
      </c>
      <c r="O26" s="10"/>
      <c r="P26" s="21">
        <f>SUM(OSRRefP22x_0)</f>
        <v>0</v>
      </c>
      <c r="Q26" s="21"/>
      <c r="R26" s="35">
        <f t="shared" ref="R26:R34" si="18">IF(P$12=0,0,P26/P$12)</f>
        <v>0</v>
      </c>
      <c r="S26" s="21"/>
      <c r="T26" s="21">
        <f>SUM(OSRRefT22x_0)</f>
        <v>-11148.689999999997</v>
      </c>
      <c r="U26" s="21"/>
      <c r="V26" s="35">
        <f t="shared" ref="V26:V34" si="19">IF(T$12=0,0,T26/T$12)</f>
        <v>-1.474727606308607</v>
      </c>
      <c r="W26" s="4"/>
      <c r="X26" s="21">
        <f t="shared" ref="X26:X34" si="20">+P26-T26</f>
        <v>11148.689999999997</v>
      </c>
      <c r="Y26" s="4"/>
      <c r="Z26" s="35">
        <f t="shared" ref="Z26:Z34" si="21">IF(T26=0,0,X26/T26)</f>
        <v>-1</v>
      </c>
    </row>
    <row r="27" spans="1:26" s="26" customFormat="1" outlineLevel="1" collapsed="1" x14ac:dyDescent="0.25">
      <c r="A27" s="27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0</v>
      </c>
      <c r="E27" s="1"/>
      <c r="F27" s="5">
        <f t="shared" si="14"/>
        <v>0</v>
      </c>
      <c r="G27" s="1"/>
      <c r="H27" s="1">
        <f>SUM(OSRRefH22_0x_0)</f>
        <v>0</v>
      </c>
      <c r="I27" s="1"/>
      <c r="J27" s="5">
        <f t="shared" si="15"/>
        <v>0</v>
      </c>
      <c r="K27" s="1"/>
      <c r="L27" s="1">
        <f t="shared" si="16"/>
        <v>0</v>
      </c>
      <c r="M27" s="1"/>
      <c r="N27" s="5">
        <f t="shared" si="17"/>
        <v>0</v>
      </c>
      <c r="O27" s="13"/>
      <c r="P27" s="1">
        <f>SUM(OSRRefP22_0x_0)</f>
        <v>0</v>
      </c>
      <c r="Q27" s="1"/>
      <c r="R27" s="5">
        <f t="shared" si="18"/>
        <v>0</v>
      </c>
      <c r="S27" s="1"/>
      <c r="T27" s="1">
        <f>SUM(OSRRefT22_0x_0)</f>
        <v>821.29</v>
      </c>
      <c r="U27" s="1"/>
      <c r="V27" s="5">
        <f t="shared" si="19"/>
        <v>0.10863868631966592</v>
      </c>
      <c r="W27" s="1"/>
      <c r="X27" s="1">
        <f t="shared" si="20"/>
        <v>-821.29</v>
      </c>
      <c r="Y27" s="1"/>
      <c r="Z27" s="5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"6111", " - ", "F.I.C.A.")</f>
        <v xml:space="preserve">          6111 - F.I.C.A.</v>
      </c>
      <c r="C28" s="11"/>
      <c r="D28" s="6"/>
      <c r="E28" s="2"/>
      <c r="F28" s="7">
        <f t="shared" si="14"/>
        <v>0</v>
      </c>
      <c r="G28" s="2"/>
      <c r="H28" s="6"/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155.66</v>
      </c>
      <c r="U28" s="2"/>
      <c r="V28" s="7">
        <f t="shared" si="19"/>
        <v>2.059041010181446E-2</v>
      </c>
      <c r="W28" s="2"/>
      <c r="X28" s="6">
        <f t="shared" si="20"/>
        <v>-155.66</v>
      </c>
      <c r="Y28" s="2"/>
      <c r="Z28" s="7">
        <f t="shared" si="21"/>
        <v>-1</v>
      </c>
    </row>
    <row r="29" spans="1:26" s="24" customFormat="1" hidden="1" outlineLevel="2" x14ac:dyDescent="0.25">
      <c r="A29" s="25"/>
      <c r="B29" s="11" t="str">
        <f>CONCATENATE("          ", "6112", " - ", "COMPENSATION INSURANCE")</f>
        <v xml:space="preserve">          6112 - COMPENSATION INSURANCE</v>
      </c>
      <c r="C29" s="11"/>
      <c r="D29" s="6"/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22.05</v>
      </c>
      <c r="U29" s="2"/>
      <c r="V29" s="7">
        <f t="shared" si="19"/>
        <v>2.91673225456128E-3</v>
      </c>
      <c r="W29" s="2"/>
      <c r="X29" s="6">
        <f t="shared" si="20"/>
        <v>-22.05</v>
      </c>
      <c r="Y29" s="2"/>
      <c r="Z29" s="7">
        <f t="shared" si="21"/>
        <v>-1</v>
      </c>
    </row>
    <row r="30" spans="1:26" s="24" customFormat="1" hidden="1" outlineLevel="2" x14ac:dyDescent="0.25">
      <c r="A30" s="25"/>
      <c r="B30" s="11" t="str">
        <f>CONCATENATE("          ", "6113", " - ", "GROUP INSURANCE")</f>
        <v xml:space="preserve">          6113 - GROUP INSURANCE</v>
      </c>
      <c r="C30" s="11"/>
      <c r="D30" s="6"/>
      <c r="E30" s="2"/>
      <c r="F30" s="7">
        <f t="shared" si="14"/>
        <v>0</v>
      </c>
      <c r="G30" s="2"/>
      <c r="H30" s="6"/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/>
      <c r="Q30" s="2"/>
      <c r="R30" s="7">
        <f t="shared" si="18"/>
        <v>0</v>
      </c>
      <c r="S30" s="2"/>
      <c r="T30" s="6">
        <v>305.26</v>
      </c>
      <c r="U30" s="2"/>
      <c r="V30" s="7">
        <f t="shared" si="19"/>
        <v>4.0379214876525002E-2</v>
      </c>
      <c r="W30" s="2"/>
      <c r="X30" s="6">
        <f t="shared" si="20"/>
        <v>-305.26</v>
      </c>
      <c r="Y30" s="2"/>
      <c r="Z30" s="7">
        <f t="shared" si="21"/>
        <v>-1</v>
      </c>
    </row>
    <row r="31" spans="1:26" s="24" customFormat="1" hidden="1" outlineLevel="2" x14ac:dyDescent="0.25">
      <c r="A31" s="25"/>
      <c r="B31" s="11" t="str">
        <f>CONCATENATE("          ", "6114", " - ", "STATE UNEMPLOYMENT INSURANCE")</f>
        <v xml:space="preserve">          6114 - STATE UNEMPLOYMENT INSURANCE</v>
      </c>
      <c r="C31" s="11"/>
      <c r="D31" s="6"/>
      <c r="E31" s="2"/>
      <c r="F31" s="7">
        <f t="shared" si="14"/>
        <v>0</v>
      </c>
      <c r="G31" s="2"/>
      <c r="H31" s="6"/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1"/>
      <c r="P31" s="6"/>
      <c r="Q31" s="2"/>
      <c r="R31" s="7">
        <f t="shared" si="18"/>
        <v>0</v>
      </c>
      <c r="S31" s="2"/>
      <c r="T31" s="6">
        <v>5</v>
      </c>
      <c r="U31" s="2"/>
      <c r="V31" s="7">
        <f t="shared" si="19"/>
        <v>6.6139053391412242E-4</v>
      </c>
      <c r="W31" s="2"/>
      <c r="X31" s="6">
        <f t="shared" si="20"/>
        <v>-5</v>
      </c>
      <c r="Y31" s="2"/>
      <c r="Z31" s="7">
        <f t="shared" si="21"/>
        <v>-1</v>
      </c>
    </row>
    <row r="32" spans="1:26" s="24" customFormat="1" hidden="1" outlineLevel="2" x14ac:dyDescent="0.25">
      <c r="A32" s="25"/>
      <c r="B32" s="11" t="str">
        <f>CONCATENATE("          ", "6115", " - ", "P.E.R.S.")</f>
        <v xml:space="preserve">          6115 - P.E.R.S.</v>
      </c>
      <c r="C32" s="11"/>
      <c r="D32" s="6"/>
      <c r="E32" s="2"/>
      <c r="F32" s="7">
        <f t="shared" si="14"/>
        <v>0</v>
      </c>
      <c r="G32" s="2"/>
      <c r="H32" s="6"/>
      <c r="I32" s="2"/>
      <c r="J32" s="7">
        <f t="shared" si="15"/>
        <v>0</v>
      </c>
      <c r="K32" s="2"/>
      <c r="L32" s="6">
        <f t="shared" si="16"/>
        <v>0</v>
      </c>
      <c r="M32" s="2"/>
      <c r="N32" s="7">
        <f t="shared" si="17"/>
        <v>0</v>
      </c>
      <c r="O32" s="11"/>
      <c r="P32" s="6"/>
      <c r="Q32" s="2"/>
      <c r="R32" s="7">
        <f t="shared" si="18"/>
        <v>0</v>
      </c>
      <c r="S32" s="2"/>
      <c r="T32" s="6">
        <v>134.12</v>
      </c>
      <c r="U32" s="2"/>
      <c r="V32" s="7">
        <f t="shared" si="19"/>
        <v>1.7741139681712419E-2</v>
      </c>
      <c r="W32" s="2"/>
      <c r="X32" s="6">
        <f t="shared" si="20"/>
        <v>-134.12</v>
      </c>
      <c r="Y32" s="2"/>
      <c r="Z32" s="7">
        <f t="shared" si="21"/>
        <v>-1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4"/>
        <v>0</v>
      </c>
      <c r="G33" s="2"/>
      <c r="H33" s="6"/>
      <c r="I33" s="2"/>
      <c r="J33" s="7">
        <f t="shared" si="15"/>
        <v>0</v>
      </c>
      <c r="K33" s="2"/>
      <c r="L33" s="6">
        <f t="shared" si="16"/>
        <v>0</v>
      </c>
      <c r="M33" s="2"/>
      <c r="N33" s="7">
        <f t="shared" si="17"/>
        <v>0</v>
      </c>
      <c r="O33" s="11"/>
      <c r="P33" s="6"/>
      <c r="Q33" s="2"/>
      <c r="R33" s="7">
        <f t="shared" si="18"/>
        <v>0</v>
      </c>
      <c r="S33" s="2"/>
      <c r="T33" s="6">
        <v>110.64</v>
      </c>
      <c r="U33" s="2"/>
      <c r="V33" s="7">
        <f t="shared" si="19"/>
        <v>1.46352497344517E-2</v>
      </c>
      <c r="W33" s="2"/>
      <c r="X33" s="6">
        <f t="shared" si="20"/>
        <v>-110.64</v>
      </c>
      <c r="Y33" s="2"/>
      <c r="Z33" s="7">
        <f t="shared" si="21"/>
        <v>-1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4"/>
        <v>0</v>
      </c>
      <c r="G34" s="2"/>
      <c r="H34" s="6"/>
      <c r="I34" s="2"/>
      <c r="J34" s="7">
        <f t="shared" si="15"/>
        <v>0</v>
      </c>
      <c r="K34" s="2"/>
      <c r="L34" s="6">
        <f t="shared" si="16"/>
        <v>0</v>
      </c>
      <c r="M34" s="2"/>
      <c r="N34" s="7">
        <f t="shared" si="17"/>
        <v>0</v>
      </c>
      <c r="O34" s="11"/>
      <c r="P34" s="6"/>
      <c r="Q34" s="2"/>
      <c r="R34" s="7">
        <f t="shared" si="18"/>
        <v>0</v>
      </c>
      <c r="S34" s="2"/>
      <c r="T34" s="6">
        <v>88.56</v>
      </c>
      <c r="U34" s="2"/>
      <c r="V34" s="7">
        <f t="shared" si="19"/>
        <v>1.1714549136686937E-2</v>
      </c>
      <c r="W34" s="2"/>
      <c r="X34" s="6">
        <f t="shared" si="20"/>
        <v>-88.56</v>
      </c>
      <c r="Y34" s="2"/>
      <c r="Z34" s="7">
        <f t="shared" si="21"/>
        <v>-1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38" si="22">IF(D$12=0,0,D35/D$12)</f>
        <v>0</v>
      </c>
      <c r="G35" s="1"/>
      <c r="H35" s="1">
        <f>SUM(OSRRefH22_1x_0)</f>
        <v>0</v>
      </c>
      <c r="I35" s="1"/>
      <c r="J35" s="5">
        <f t="shared" ref="J35:J38" si="23">IF(H$12=0,0,H35/H$12)</f>
        <v>0</v>
      </c>
      <c r="K35" s="1"/>
      <c r="L35" s="1">
        <f t="shared" ref="L35:L38" si="24">+D35-H35</f>
        <v>0</v>
      </c>
      <c r="M35" s="1"/>
      <c r="N35" s="5">
        <f t="shared" ref="N35:N38" si="25">IF(H35=0,0,L35/H35)</f>
        <v>0</v>
      </c>
      <c r="O35" s="13"/>
      <c r="P35" s="1">
        <f>SUM(OSRRefP22_1x_0)</f>
        <v>0</v>
      </c>
      <c r="Q35" s="1"/>
      <c r="R35" s="5">
        <f t="shared" ref="R35:R38" si="26">IF(P$12=0,0,P35/P$12)</f>
        <v>0</v>
      </c>
      <c r="S35" s="1"/>
      <c r="T35" s="1">
        <f>SUM(OSRRefT22_1x_0)</f>
        <v>1986.7399999999998</v>
      </c>
      <c r="U35" s="1"/>
      <c r="V35" s="5">
        <f t="shared" ref="V35:V38" si="27">IF(T$12=0,0,T35/T$12)</f>
        <v>0.2628022058697087</v>
      </c>
      <c r="W35" s="1"/>
      <c r="X35" s="1">
        <f t="shared" ref="X35:X38" si="28">+P35-T35</f>
        <v>-1986.7399999999998</v>
      </c>
      <c r="Y35" s="1"/>
      <c r="Z35" s="5">
        <f t="shared" ref="Z35:Z38" si="29">IF(T35=0,0,X35/T35)</f>
        <v>-1</v>
      </c>
    </row>
    <row r="36" spans="1:26" s="24" customFormat="1" hidden="1" outlineLevel="2" x14ac:dyDescent="0.25">
      <c r="A36" s="25"/>
      <c r="B36" s="11" t="str">
        <f>CONCATENATE("          ", "6002", " - ", "STAFF SALARIES")</f>
        <v xml:space="preserve">          6002 - STAFF SALARIES</v>
      </c>
      <c r="C36" s="11"/>
      <c r="D36" s="6"/>
      <c r="E36" s="2"/>
      <c r="F36" s="7">
        <f t="shared" si="22"/>
        <v>0</v>
      </c>
      <c r="G36" s="2"/>
      <c r="H36" s="6"/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1872</v>
      </c>
      <c r="U36" s="2"/>
      <c r="V36" s="7">
        <f t="shared" si="27"/>
        <v>0.24762461589744744</v>
      </c>
      <c r="W36" s="2"/>
      <c r="X36" s="6">
        <f t="shared" si="28"/>
        <v>-1872</v>
      </c>
      <c r="Y36" s="2"/>
      <c r="Z36" s="7">
        <f t="shared" si="29"/>
        <v>-1</v>
      </c>
    </row>
    <row r="37" spans="1:26" s="24" customFormat="1" hidden="1" outlineLevel="2" x14ac:dyDescent="0.25">
      <c r="A37" s="25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57.37</v>
      </c>
      <c r="U37" s="2"/>
      <c r="V37" s="7">
        <f t="shared" si="27"/>
        <v>7.5887949861306401E-3</v>
      </c>
      <c r="W37" s="2"/>
      <c r="X37" s="6">
        <f t="shared" si="28"/>
        <v>-57.37</v>
      </c>
      <c r="Y37" s="2"/>
      <c r="Z37" s="7">
        <f t="shared" si="29"/>
        <v>-1</v>
      </c>
    </row>
    <row r="38" spans="1:26" s="24" customFormat="1" hidden="1" outlineLevel="2" x14ac:dyDescent="0.25">
      <c r="A38" s="25"/>
      <c r="B38" s="11" t="str">
        <f>CONCATENATE("          ", "6007", " - ", "STUDENT HOURLY")</f>
        <v xml:space="preserve">          6007 - STUDENT HOURLY</v>
      </c>
      <c r="C38" s="11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57.37</v>
      </c>
      <c r="U38" s="2"/>
      <c r="V38" s="7">
        <f t="shared" si="27"/>
        <v>7.5887949861306401E-3</v>
      </c>
      <c r="W38" s="2"/>
      <c r="X38" s="6">
        <f t="shared" si="28"/>
        <v>-57.37</v>
      </c>
      <c r="Y38" s="2"/>
      <c r="Z38" s="7">
        <f t="shared" si="29"/>
        <v>-1</v>
      </c>
    </row>
    <row r="39" spans="1:26" s="26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45" si="30">IF(D$12=0,0,D39/D$12)</f>
        <v>0</v>
      </c>
      <c r="G39" s="1"/>
      <c r="H39" s="1">
        <f>SUM(OSRRefH22_2x_0)</f>
        <v>0</v>
      </c>
      <c r="I39" s="1"/>
      <c r="J39" s="5">
        <f t="shared" ref="J39:J45" si="31">IF(H$12=0,0,H39/H$12)</f>
        <v>0</v>
      </c>
      <c r="K39" s="1"/>
      <c r="L39" s="1">
        <f t="shared" ref="L39:L45" si="32">+D39-H39</f>
        <v>0</v>
      </c>
      <c r="M39" s="1"/>
      <c r="N39" s="5">
        <f t="shared" ref="N39:N45" si="33">IF(H39=0,0,L39/H39)</f>
        <v>0</v>
      </c>
      <c r="O39" s="13"/>
      <c r="P39" s="1">
        <f>SUM(OSRRefP22_2x_0)</f>
        <v>0</v>
      </c>
      <c r="Q39" s="1"/>
      <c r="R39" s="5">
        <f t="shared" ref="R39:R45" si="34">IF(P$12=0,0,P39/P$12)</f>
        <v>0</v>
      </c>
      <c r="S39" s="1"/>
      <c r="T39" s="1">
        <f>SUM(OSRRefT22_2x_0)</f>
        <v>-857.46</v>
      </c>
      <c r="U39" s="1"/>
      <c r="V39" s="5">
        <f t="shared" ref="V39:V45" si="35">IF(T$12=0,0,T39/T$12)</f>
        <v>-0.11342318544200068</v>
      </c>
      <c r="W39" s="1"/>
      <c r="X39" s="1">
        <f t="shared" ref="X39:X45" si="36">+P39-T39</f>
        <v>857.46</v>
      </c>
      <c r="Y39" s="1"/>
      <c r="Z39" s="5">
        <f t="shared" ref="Z39:Z45" si="37">IF(T39=0,0,X39/T39)</f>
        <v>-1</v>
      </c>
    </row>
    <row r="40" spans="1:26" s="24" customFormat="1" hidden="1" outlineLevel="2" x14ac:dyDescent="0.25">
      <c r="A40" s="25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30"/>
        <v>0</v>
      </c>
      <c r="G40" s="2"/>
      <c r="H40" s="6"/>
      <c r="I40" s="2"/>
      <c r="J40" s="7">
        <f t="shared" si="31"/>
        <v>0</v>
      </c>
      <c r="K40" s="2"/>
      <c r="L40" s="6">
        <f t="shared" si="32"/>
        <v>0</v>
      </c>
      <c r="M40" s="2"/>
      <c r="N40" s="7">
        <f t="shared" si="33"/>
        <v>0</v>
      </c>
      <c r="O40" s="11"/>
      <c r="P40" s="6"/>
      <c r="Q40" s="2"/>
      <c r="R40" s="7">
        <f t="shared" si="34"/>
        <v>0</v>
      </c>
      <c r="S40" s="2"/>
      <c r="T40" s="6">
        <v>-857.46</v>
      </c>
      <c r="U40" s="2"/>
      <c r="V40" s="7">
        <f t="shared" si="35"/>
        <v>-0.11342318544200068</v>
      </c>
      <c r="W40" s="2"/>
      <c r="X40" s="6">
        <f t="shared" si="36"/>
        <v>857.46</v>
      </c>
      <c r="Y40" s="2"/>
      <c r="Z40" s="7">
        <f t="shared" si="37"/>
        <v>-1</v>
      </c>
    </row>
    <row r="41" spans="1:26" s="26" customFormat="1" outlineLevel="1" collapsed="1" x14ac:dyDescent="0.25">
      <c r="A41" s="27"/>
      <c r="B41" s="13" t="str">
        <f>CONCATENATE("     ","Discounts and Markdowns                           ")</f>
        <v xml:space="preserve">     Discounts and Markdowns                           </v>
      </c>
      <c r="C41" s="13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0</v>
      </c>
      <c r="I41" s="1"/>
      <c r="J41" s="5">
        <f t="shared" si="31"/>
        <v>0</v>
      </c>
      <c r="K41" s="1"/>
      <c r="L41" s="1">
        <f t="shared" si="32"/>
        <v>0</v>
      </c>
      <c r="M41" s="1"/>
      <c r="N41" s="5">
        <f t="shared" si="33"/>
        <v>0</v>
      </c>
      <c r="O41" s="13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287.29000000000002</v>
      </c>
      <c r="U41" s="1"/>
      <c r="V41" s="5">
        <f t="shared" si="35"/>
        <v>3.8002177297637649E-2</v>
      </c>
      <c r="W41" s="1"/>
      <c r="X41" s="1">
        <f t="shared" si="36"/>
        <v>-287.29000000000002</v>
      </c>
      <c r="Y41" s="1"/>
      <c r="Z41" s="5">
        <f t="shared" si="37"/>
        <v>-1</v>
      </c>
    </row>
    <row r="42" spans="1:26" s="24" customFormat="1" hidden="1" outlineLevel="2" x14ac:dyDescent="0.25">
      <c r="A42" s="25"/>
      <c r="B42" s="11" t="str">
        <f>CONCATENATE("          ", "6382", " - ", "DISCOUNTS/MARK DOWNS")</f>
        <v xml:space="preserve">          6382 - DISCOUNTS/MARK DOWNS</v>
      </c>
      <c r="C42" s="11"/>
      <c r="D42" s="6"/>
      <c r="E42" s="2"/>
      <c r="F42" s="7">
        <f t="shared" si="30"/>
        <v>0</v>
      </c>
      <c r="G42" s="2"/>
      <c r="H42" s="6"/>
      <c r="I42" s="2"/>
      <c r="J42" s="7">
        <f t="shared" si="31"/>
        <v>0</v>
      </c>
      <c r="K42" s="2"/>
      <c r="L42" s="6">
        <f t="shared" si="32"/>
        <v>0</v>
      </c>
      <c r="M42" s="2"/>
      <c r="N42" s="7">
        <f t="shared" si="33"/>
        <v>0</v>
      </c>
      <c r="O42" s="11"/>
      <c r="P42" s="6"/>
      <c r="Q42" s="2"/>
      <c r="R42" s="7">
        <f t="shared" si="34"/>
        <v>0</v>
      </c>
      <c r="S42" s="2"/>
      <c r="T42" s="6">
        <v>287.29000000000002</v>
      </c>
      <c r="U42" s="2"/>
      <c r="V42" s="7">
        <f t="shared" si="35"/>
        <v>3.8002177297637649E-2</v>
      </c>
      <c r="W42" s="2"/>
      <c r="X42" s="6">
        <f t="shared" si="36"/>
        <v>-287.29000000000002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-13804.1</v>
      </c>
      <c r="I43" s="1"/>
      <c r="J43" s="5">
        <f t="shared" si="31"/>
        <v>-1261.8007312614261</v>
      </c>
      <c r="K43" s="1"/>
      <c r="L43" s="1">
        <f t="shared" si="32"/>
        <v>13804.1</v>
      </c>
      <c r="M43" s="1"/>
      <c r="N43" s="5">
        <f t="shared" si="33"/>
        <v>-1</v>
      </c>
      <c r="O43" s="13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-19697.549999999996</v>
      </c>
      <c r="U43" s="1"/>
      <c r="V43" s="5">
        <f t="shared" si="35"/>
        <v>-2.6055546222600237</v>
      </c>
      <c r="W43" s="1"/>
      <c r="X43" s="1">
        <f t="shared" si="36"/>
        <v>19697.549999999996</v>
      </c>
      <c r="Y43" s="1"/>
      <c r="Z43" s="5">
        <f t="shared" si="37"/>
        <v>-1</v>
      </c>
    </row>
    <row r="44" spans="1:26" s="24" customFormat="1" hidden="1" outlineLevel="2" x14ac:dyDescent="0.25">
      <c r="A44" s="25"/>
      <c r="B44" s="11" t="str">
        <f>CONCATENATE("          ", "6305", " - ", "FREIGHT OUT")</f>
        <v xml:space="preserve">          6305 - FREIGHT OUT</v>
      </c>
      <c r="C44" s="11"/>
      <c r="D44" s="6"/>
      <c r="E44" s="2"/>
      <c r="F44" s="7">
        <f t="shared" si="30"/>
        <v>0</v>
      </c>
      <c r="G44" s="2"/>
      <c r="H44" s="6">
        <v>2286.77</v>
      </c>
      <c r="I44" s="2"/>
      <c r="J44" s="7">
        <f t="shared" si="31"/>
        <v>209.02833638025595</v>
      </c>
      <c r="K44" s="2"/>
      <c r="L44" s="6">
        <f t="shared" si="32"/>
        <v>-2286.77</v>
      </c>
      <c r="M44" s="2"/>
      <c r="N44" s="7">
        <f t="shared" si="33"/>
        <v>-1</v>
      </c>
      <c r="O44" s="11"/>
      <c r="P44" s="6"/>
      <c r="Q44" s="2"/>
      <c r="R44" s="7">
        <f t="shared" si="34"/>
        <v>0</v>
      </c>
      <c r="S44" s="2"/>
      <c r="T44" s="6">
        <v>24962.550000000003</v>
      </c>
      <c r="U44" s="2"/>
      <c r="V44" s="7">
        <f t="shared" si="35"/>
        <v>3.3019988544715955</v>
      </c>
      <c r="W44" s="2"/>
      <c r="X44" s="6">
        <f t="shared" si="36"/>
        <v>-24962.550000000003</v>
      </c>
      <c r="Y44" s="2"/>
      <c r="Z44" s="7">
        <f t="shared" si="37"/>
        <v>-1</v>
      </c>
    </row>
    <row r="45" spans="1:26" s="24" customFormat="1" hidden="1" outlineLevel="2" x14ac:dyDescent="0.25">
      <c r="A45" s="25"/>
      <c r="B45" s="11" t="str">
        <f>CONCATENATE("          ", "6307", " - ", "POSTAGE")</f>
        <v xml:space="preserve">          6307 - POSTAGE</v>
      </c>
      <c r="C45" s="11"/>
      <c r="D45" s="6"/>
      <c r="E45" s="2"/>
      <c r="F45" s="7">
        <f t="shared" si="30"/>
        <v>0</v>
      </c>
      <c r="G45" s="2"/>
      <c r="H45" s="6">
        <v>-16090.87</v>
      </c>
      <c r="I45" s="2"/>
      <c r="J45" s="7">
        <f t="shared" si="31"/>
        <v>-1470.8290676416821</v>
      </c>
      <c r="K45" s="2"/>
      <c r="L45" s="6">
        <f t="shared" si="32"/>
        <v>16090.87</v>
      </c>
      <c r="M45" s="2"/>
      <c r="N45" s="7">
        <f t="shared" si="33"/>
        <v>-1</v>
      </c>
      <c r="O45" s="11"/>
      <c r="P45" s="6"/>
      <c r="Q45" s="2"/>
      <c r="R45" s="7">
        <f t="shared" si="34"/>
        <v>0</v>
      </c>
      <c r="S45" s="2"/>
      <c r="T45" s="6">
        <v>-44660.1</v>
      </c>
      <c r="U45" s="2"/>
      <c r="V45" s="7">
        <f t="shared" si="35"/>
        <v>-5.9075534767316196</v>
      </c>
      <c r="W45" s="2"/>
      <c r="X45" s="6">
        <f t="shared" si="36"/>
        <v>44660.1</v>
      </c>
      <c r="Y45" s="2"/>
      <c r="Z45" s="7">
        <f t="shared" si="37"/>
        <v>-1</v>
      </c>
    </row>
    <row r="46" spans="1:26" s="26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0</v>
      </c>
      <c r="E46" s="1"/>
      <c r="F46" s="5">
        <f t="shared" ref="F46:F52" si="38">IF(D$12=0,0,D46/D$12)</f>
        <v>0</v>
      </c>
      <c r="G46" s="1"/>
      <c r="H46" s="1">
        <f>SUM(OSRRefH22_5x_0)</f>
        <v>0</v>
      </c>
      <c r="I46" s="1"/>
      <c r="J46" s="5">
        <f t="shared" ref="J46:J52" si="39">IF(H$12=0,0,H46/H$12)</f>
        <v>0</v>
      </c>
      <c r="K46" s="1"/>
      <c r="L46" s="1">
        <f t="shared" ref="L46:L52" si="40">+D46-H46</f>
        <v>0</v>
      </c>
      <c r="M46" s="1"/>
      <c r="N46" s="5">
        <f t="shared" ref="N46:N52" si="41">IF(H46=0,0,L46/H46)</f>
        <v>0</v>
      </c>
      <c r="O46" s="13"/>
      <c r="P46" s="1">
        <f>SUM(OSRRefP22_5x_0)</f>
        <v>0</v>
      </c>
      <c r="Q46" s="1"/>
      <c r="R46" s="5">
        <f t="shared" ref="R46:R52" si="42">IF(P$12=0,0,P46/P$12)</f>
        <v>0</v>
      </c>
      <c r="S46" s="1"/>
      <c r="T46" s="1">
        <f>SUM(OSRRefT22_5x_0)</f>
        <v>80.17</v>
      </c>
      <c r="U46" s="1"/>
      <c r="V46" s="5">
        <f t="shared" ref="V46:V52" si="43">IF(T$12=0,0,T46/T$12)</f>
        <v>1.0604735820779039E-2</v>
      </c>
      <c r="W46" s="1"/>
      <c r="X46" s="1">
        <f t="shared" ref="X46:X52" si="44">+P46-T46</f>
        <v>-80.17</v>
      </c>
      <c r="Y46" s="1"/>
      <c r="Z46" s="5">
        <f t="shared" ref="Z46:Z52" si="45">IF(T46=0,0,X46/T46)</f>
        <v>-1</v>
      </c>
    </row>
    <row r="47" spans="1:26" s="24" customFormat="1" hidden="1" outlineLevel="2" x14ac:dyDescent="0.25">
      <c r="A47" s="25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38"/>
        <v>0</v>
      </c>
      <c r="G47" s="2"/>
      <c r="H47" s="6"/>
      <c r="I47" s="2"/>
      <c r="J47" s="7">
        <f t="shared" si="39"/>
        <v>0</v>
      </c>
      <c r="K47" s="2"/>
      <c r="L47" s="6">
        <f t="shared" si="40"/>
        <v>0</v>
      </c>
      <c r="M47" s="2"/>
      <c r="N47" s="7">
        <f t="shared" si="41"/>
        <v>0</v>
      </c>
      <c r="O47" s="11"/>
      <c r="P47" s="6"/>
      <c r="Q47" s="2"/>
      <c r="R47" s="7">
        <f t="shared" si="42"/>
        <v>0</v>
      </c>
      <c r="S47" s="2"/>
      <c r="T47" s="6">
        <v>80.17</v>
      </c>
      <c r="U47" s="2"/>
      <c r="V47" s="7">
        <f t="shared" si="43"/>
        <v>1.0604735820779039E-2</v>
      </c>
      <c r="W47" s="2"/>
      <c r="X47" s="6">
        <f t="shared" si="44"/>
        <v>-80.17</v>
      </c>
      <c r="Y47" s="2"/>
      <c r="Z47" s="7">
        <f t="shared" si="45"/>
        <v>-1</v>
      </c>
    </row>
    <row r="48" spans="1:26" s="26" customFormat="1" outlineLevel="1" collapsed="1" x14ac:dyDescent="0.25">
      <c r="A48" s="27"/>
      <c r="B48" s="13" t="str">
        <f>CONCATENATE("     ","Inventory Adjustment                              ")</f>
        <v xml:space="preserve">     Inventory Adjustment                              </v>
      </c>
      <c r="C48" s="13"/>
      <c r="D48" s="1">
        <f>SUM(OSRRefD22_6x_0)</f>
        <v>0</v>
      </c>
      <c r="E48" s="1"/>
      <c r="F48" s="5">
        <f t="shared" si="38"/>
        <v>0</v>
      </c>
      <c r="G48" s="1"/>
      <c r="H48" s="1">
        <f>SUM(OSRRefH22_6x_0)</f>
        <v>100</v>
      </c>
      <c r="I48" s="1"/>
      <c r="J48" s="5">
        <f t="shared" si="39"/>
        <v>9.1407678244972583</v>
      </c>
      <c r="K48" s="1"/>
      <c r="L48" s="1">
        <f t="shared" si="40"/>
        <v>-100</v>
      </c>
      <c r="M48" s="1"/>
      <c r="N48" s="5">
        <f t="shared" si="41"/>
        <v>-1</v>
      </c>
      <c r="O48" s="13"/>
      <c r="P48" s="1">
        <f>SUM(OSRRefP22_6x_0)</f>
        <v>0</v>
      </c>
      <c r="Q48" s="1"/>
      <c r="R48" s="5">
        <f t="shared" si="42"/>
        <v>0</v>
      </c>
      <c r="S48" s="1"/>
      <c r="T48" s="1">
        <f>SUM(OSRRefT22_6x_0)</f>
        <v>600</v>
      </c>
      <c r="U48" s="1"/>
      <c r="V48" s="5">
        <f t="shared" si="43"/>
        <v>7.936686406969469E-2</v>
      </c>
      <c r="W48" s="1"/>
      <c r="X48" s="1">
        <f t="shared" si="44"/>
        <v>-600</v>
      </c>
      <c r="Y48" s="1"/>
      <c r="Z48" s="5">
        <f t="shared" si="45"/>
        <v>-1</v>
      </c>
    </row>
    <row r="49" spans="1:26" s="24" customFormat="1" hidden="1" outlineLevel="2" x14ac:dyDescent="0.25">
      <c r="A49" s="25"/>
      <c r="B49" s="11" t="str">
        <f>CONCATENATE("          ", "6408", " - ", "INVENTORY ADJUSTMENT")</f>
        <v xml:space="preserve">          6408 - INVENTORY ADJUSTMENT</v>
      </c>
      <c r="C49" s="11"/>
      <c r="D49" s="6"/>
      <c r="E49" s="2"/>
      <c r="F49" s="7">
        <f t="shared" si="38"/>
        <v>0</v>
      </c>
      <c r="G49" s="2"/>
      <c r="H49" s="6">
        <v>100</v>
      </c>
      <c r="I49" s="2"/>
      <c r="J49" s="7">
        <f t="shared" si="39"/>
        <v>9.1407678244972583</v>
      </c>
      <c r="K49" s="2"/>
      <c r="L49" s="6">
        <f t="shared" si="40"/>
        <v>-100</v>
      </c>
      <c r="M49" s="2"/>
      <c r="N49" s="7">
        <f t="shared" si="41"/>
        <v>-1</v>
      </c>
      <c r="O49" s="11"/>
      <c r="P49" s="6"/>
      <c r="Q49" s="2"/>
      <c r="R49" s="7">
        <f t="shared" si="42"/>
        <v>0</v>
      </c>
      <c r="S49" s="2"/>
      <c r="T49" s="6">
        <v>600</v>
      </c>
      <c r="U49" s="2"/>
      <c r="V49" s="7">
        <f t="shared" si="43"/>
        <v>7.936686406969469E-2</v>
      </c>
      <c r="W49" s="2"/>
      <c r="X49" s="6">
        <f t="shared" si="44"/>
        <v>-600</v>
      </c>
      <c r="Y49" s="2"/>
      <c r="Z49" s="7">
        <f t="shared" si="45"/>
        <v>-1</v>
      </c>
    </row>
    <row r="50" spans="1:26" s="26" customFormat="1" outlineLevel="1" collapsed="1" x14ac:dyDescent="0.25">
      <c r="A50" s="27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0</v>
      </c>
      <c r="E50" s="1"/>
      <c r="F50" s="5">
        <f t="shared" si="38"/>
        <v>0</v>
      </c>
      <c r="G50" s="1"/>
      <c r="H50" s="1">
        <f>SUM(OSRRefH22_7x_0)</f>
        <v>0</v>
      </c>
      <c r="I50" s="1"/>
      <c r="J50" s="5">
        <f t="shared" si="39"/>
        <v>0</v>
      </c>
      <c r="K50" s="1"/>
      <c r="L50" s="1">
        <f t="shared" si="40"/>
        <v>0</v>
      </c>
      <c r="M50" s="1"/>
      <c r="N50" s="5">
        <f t="shared" si="41"/>
        <v>0</v>
      </c>
      <c r="O50" s="13"/>
      <c r="P50" s="1">
        <f>SUM(OSRRefP22_7x_0)</f>
        <v>0</v>
      </c>
      <c r="Q50" s="1"/>
      <c r="R50" s="5">
        <f t="shared" si="42"/>
        <v>0</v>
      </c>
      <c r="S50" s="1"/>
      <c r="T50" s="1">
        <f>SUM(OSRRefT22_7x_0)</f>
        <v>5180.68</v>
      </c>
      <c r="U50" s="1"/>
      <c r="V50" s="5">
        <f t="shared" si="43"/>
        <v>0.68529054224764319</v>
      </c>
      <c r="W50" s="1"/>
      <c r="X50" s="1">
        <f t="shared" si="44"/>
        <v>-5180.68</v>
      </c>
      <c r="Y50" s="1"/>
      <c r="Z50" s="5">
        <f t="shared" si="45"/>
        <v>-1</v>
      </c>
    </row>
    <row r="51" spans="1:26" s="24" customFormat="1" hidden="1" outlineLevel="2" x14ac:dyDescent="0.25">
      <c r="A51" s="25"/>
      <c r="B51" s="11" t="str">
        <f>CONCATENATE("          ", "6241", " - ", "OFFICE EXPENSE")</f>
        <v xml:space="preserve">          6241 - OFFICE EXPENSE</v>
      </c>
      <c r="C51" s="11"/>
      <c r="D51" s="6"/>
      <c r="E51" s="2"/>
      <c r="F51" s="7">
        <f t="shared" si="38"/>
        <v>0</v>
      </c>
      <c r="G51" s="2"/>
      <c r="H51" s="6"/>
      <c r="I51" s="2"/>
      <c r="J51" s="7">
        <f t="shared" si="39"/>
        <v>0</v>
      </c>
      <c r="K51" s="2"/>
      <c r="L51" s="6">
        <f t="shared" si="40"/>
        <v>0</v>
      </c>
      <c r="M51" s="2"/>
      <c r="N51" s="7">
        <f t="shared" si="41"/>
        <v>0</v>
      </c>
      <c r="O51" s="11"/>
      <c r="P51" s="6"/>
      <c r="Q51" s="2"/>
      <c r="R51" s="7">
        <f t="shared" si="42"/>
        <v>0</v>
      </c>
      <c r="S51" s="2"/>
      <c r="T51" s="6">
        <v>126.27</v>
      </c>
      <c r="U51" s="2"/>
      <c r="V51" s="7">
        <f t="shared" si="43"/>
        <v>1.6702756543467246E-2</v>
      </c>
      <c r="W51" s="2"/>
      <c r="X51" s="6">
        <f t="shared" si="44"/>
        <v>-126.27</v>
      </c>
      <c r="Y51" s="2"/>
      <c r="Z51" s="7">
        <f t="shared" si="45"/>
        <v>-1</v>
      </c>
    </row>
    <row r="52" spans="1:26" s="24" customFormat="1" hidden="1" outlineLevel="2" x14ac:dyDescent="0.25">
      <c r="A52" s="25"/>
      <c r="B52" s="11" t="str">
        <f>CONCATENATE("          ", "6247", " - ", "STORE SUPPLIES")</f>
        <v xml:space="preserve">          6247 - STORE SUPPLIES</v>
      </c>
      <c r="C52" s="11"/>
      <c r="D52" s="6"/>
      <c r="E52" s="2"/>
      <c r="F52" s="7">
        <f t="shared" si="38"/>
        <v>0</v>
      </c>
      <c r="G52" s="2"/>
      <c r="H52" s="6"/>
      <c r="I52" s="2"/>
      <c r="J52" s="7">
        <f t="shared" si="39"/>
        <v>0</v>
      </c>
      <c r="K52" s="2"/>
      <c r="L52" s="6">
        <f t="shared" si="40"/>
        <v>0</v>
      </c>
      <c r="M52" s="2"/>
      <c r="N52" s="7">
        <f t="shared" si="41"/>
        <v>0</v>
      </c>
      <c r="O52" s="11"/>
      <c r="P52" s="6"/>
      <c r="Q52" s="2"/>
      <c r="R52" s="7">
        <f t="shared" si="42"/>
        <v>0</v>
      </c>
      <c r="S52" s="2"/>
      <c r="T52" s="6">
        <v>5054.41</v>
      </c>
      <c r="U52" s="2"/>
      <c r="V52" s="7">
        <f t="shared" si="43"/>
        <v>0.66858778570417587</v>
      </c>
      <c r="W52" s="2"/>
      <c r="X52" s="6">
        <f t="shared" si="44"/>
        <v>-5054.41</v>
      </c>
      <c r="Y52" s="2"/>
      <c r="Z52" s="7">
        <f t="shared" si="45"/>
        <v>-1</v>
      </c>
    </row>
    <row r="53" spans="1:26" s="26" customFormat="1" outlineLevel="1" collapsed="1" x14ac:dyDescent="0.25">
      <c r="A53" s="27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SUM(OSRRefD22_8x_0)</f>
        <v>0</v>
      </c>
      <c r="E53" s="1"/>
      <c r="F53" s="5">
        <f t="shared" ref="F53:F54" si="46">IF(D$12=0,0,D53/D$12)</f>
        <v>0</v>
      </c>
      <c r="G53" s="1"/>
      <c r="H53" s="1">
        <f>SUM(OSRRefH22_8x_0)</f>
        <v>39.25</v>
      </c>
      <c r="I53" s="1"/>
      <c r="J53" s="5">
        <f t="shared" ref="J53:J54" si="47">IF(H$12=0,0,H53/H$12)</f>
        <v>3.5877513711151741</v>
      </c>
      <c r="K53" s="1"/>
      <c r="L53" s="1">
        <f t="shared" ref="L53:L54" si="48">+D53-H53</f>
        <v>-39.25</v>
      </c>
      <c r="M53" s="1"/>
      <c r="N53" s="5">
        <f t="shared" ref="N53:N54" si="49">IF(H53=0,0,L53/H53)</f>
        <v>-1</v>
      </c>
      <c r="O53" s="13"/>
      <c r="P53" s="1">
        <f>SUM(OSRRefP22_8x_0)</f>
        <v>0</v>
      </c>
      <c r="Q53" s="1"/>
      <c r="R53" s="5">
        <f t="shared" ref="R53:R54" si="50">IF(P$12=0,0,P53/P$12)</f>
        <v>0</v>
      </c>
      <c r="S53" s="1"/>
      <c r="T53" s="1">
        <f>SUM(OSRRefT22_8x_0)</f>
        <v>450.15</v>
      </c>
      <c r="U53" s="1"/>
      <c r="V53" s="5">
        <f t="shared" ref="V53:V54" si="51">IF(T$12=0,0,T53/T$12)</f>
        <v>5.9544989768288439E-2</v>
      </c>
      <c r="W53" s="1"/>
      <c r="X53" s="1">
        <f t="shared" ref="X53:X54" si="52">+P53-T53</f>
        <v>-450.15</v>
      </c>
      <c r="Y53" s="1"/>
      <c r="Z53" s="5">
        <f t="shared" ref="Z53:Z54" si="53">IF(T53=0,0,X53/T53)</f>
        <v>-1</v>
      </c>
    </row>
    <row r="54" spans="1:26" s="24" customFormat="1" hidden="1" outlineLevel="2" x14ac:dyDescent="0.25">
      <c r="A54" s="25"/>
      <c r="B54" s="11" t="str">
        <f>CONCATENATE("          ", "6309", " - ", "TELEPHONE")</f>
        <v xml:space="preserve">          6309 - TELEPHONE</v>
      </c>
      <c r="C54" s="11"/>
      <c r="D54" s="6"/>
      <c r="E54" s="2"/>
      <c r="F54" s="7">
        <f t="shared" si="46"/>
        <v>0</v>
      </c>
      <c r="G54" s="2"/>
      <c r="H54" s="6">
        <v>39.25</v>
      </c>
      <c r="I54" s="2"/>
      <c r="J54" s="7">
        <f t="shared" si="47"/>
        <v>3.5877513711151741</v>
      </c>
      <c r="K54" s="2"/>
      <c r="L54" s="6">
        <f t="shared" si="48"/>
        <v>-39.25</v>
      </c>
      <c r="M54" s="2"/>
      <c r="N54" s="7">
        <f t="shared" si="49"/>
        <v>-1</v>
      </c>
      <c r="O54" s="11"/>
      <c r="P54" s="6"/>
      <c r="Q54" s="2"/>
      <c r="R54" s="7">
        <f t="shared" si="50"/>
        <v>0</v>
      </c>
      <c r="S54" s="2"/>
      <c r="T54" s="6">
        <v>450.15</v>
      </c>
      <c r="U54" s="2"/>
      <c r="V54" s="7">
        <f t="shared" si="51"/>
        <v>5.9544989768288439E-2</v>
      </c>
      <c r="W54" s="2"/>
      <c r="X54" s="6">
        <f t="shared" si="52"/>
        <v>-450.15</v>
      </c>
      <c r="Y54" s="2"/>
      <c r="Z54" s="7">
        <f t="shared" si="53"/>
        <v>-1</v>
      </c>
    </row>
    <row r="55" spans="1:26" s="61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collapsed="1" x14ac:dyDescent="0.25">
      <c r="A56" s="10"/>
      <c r="B56" s="29" t="s">
        <v>0</v>
      </c>
      <c r="C56" s="10"/>
      <c r="D56" s="4">
        <f>SUM(OSRRefD25x_0)</f>
        <v>0</v>
      </c>
      <c r="E56" s="4"/>
      <c r="F56" s="12">
        <f t="shared" ref="F56:F61" si="54">IF(D$12=0,0,D56/D$12)</f>
        <v>0</v>
      </c>
      <c r="G56" s="4"/>
      <c r="H56" s="4">
        <f>SUM(OSRRefH25x_0)</f>
        <v>3557.1</v>
      </c>
      <c r="I56" s="4"/>
      <c r="J56" s="12">
        <f t="shared" ref="J56:J61" si="55">IF(H$12=0,0,H56/H$12)</f>
        <v>325.14625228519196</v>
      </c>
      <c r="K56" s="4"/>
      <c r="L56" s="4">
        <f t="shared" ref="L56:L61" si="56">+D56-H56</f>
        <v>-3557.1</v>
      </c>
      <c r="M56" s="4"/>
      <c r="N56" s="12">
        <f t="shared" ref="N56:N61" si="57">IF(H56=0,0,L56/H56)</f>
        <v>-1</v>
      </c>
      <c r="O56" s="10"/>
      <c r="P56" s="4">
        <f>SUM(OSRRefP25x_0)</f>
        <v>0</v>
      </c>
      <c r="Q56" s="4"/>
      <c r="R56" s="12">
        <f t="shared" ref="R56:R61" si="58">IF(P$12=0,0,P56/P$12)</f>
        <v>0</v>
      </c>
      <c r="S56" s="4"/>
      <c r="T56" s="4">
        <f>SUM(OSRRefT25x_0)</f>
        <v>89290.5</v>
      </c>
      <c r="U56" s="4"/>
      <c r="V56" s="12">
        <f t="shared" ref="V56:V61" si="59">IF(T$12=0,0,T56/T$12)</f>
        <v>11.811178293691789</v>
      </c>
      <c r="W56" s="4"/>
      <c r="X56" s="4">
        <f t="shared" ref="X56:X61" si="60">+P56-T56</f>
        <v>-89290.5</v>
      </c>
      <c r="Y56" s="4"/>
      <c r="Z56" s="12">
        <f t="shared" ref="Z56:Z61" si="61">IF(T56=0,0,X56/T56)</f>
        <v>-1</v>
      </c>
    </row>
    <row r="57" spans="1:26" s="24" customFormat="1" hidden="1" outlineLevel="1" x14ac:dyDescent="0.25">
      <c r="A57" s="44"/>
      <c r="B57" s="11" t="str">
        <f>CONCATENATE("          ", "4098", " - ", "TAXABLE SALES-GRAD RENTALS")</f>
        <v xml:space="preserve">          4098 - TAXABLE SALES-GRAD RENTALS</v>
      </c>
      <c r="C57" s="11"/>
      <c r="D57" s="2">
        <f t="shared" ref="D57:D61" si="62">0</f>
        <v>0</v>
      </c>
      <c r="E57" s="2"/>
      <c r="F57" s="19">
        <f t="shared" si="54"/>
        <v>0</v>
      </c>
      <c r="G57" s="2"/>
      <c r="H57" s="2">
        <f>--320</f>
        <v>320</v>
      </c>
      <c r="I57" s="2"/>
      <c r="J57" s="19">
        <f t="shared" si="55"/>
        <v>29.250457038391225</v>
      </c>
      <c r="K57" s="2"/>
      <c r="L57" s="2">
        <f t="shared" si="56"/>
        <v>-320</v>
      </c>
      <c r="M57" s="2"/>
      <c r="N57" s="19">
        <f t="shared" si="57"/>
        <v>-1</v>
      </c>
      <c r="O57" s="11"/>
      <c r="P57" s="2">
        <f t="shared" ref="P57:P61" si="63">0</f>
        <v>0</v>
      </c>
      <c r="Q57" s="2"/>
      <c r="R57" s="19">
        <f t="shared" si="58"/>
        <v>0</v>
      </c>
      <c r="S57" s="2"/>
      <c r="T57" s="2">
        <f>--1946.85</f>
        <v>1946.85</v>
      </c>
      <c r="U57" s="2"/>
      <c r="V57" s="19">
        <f t="shared" si="59"/>
        <v>0.25752563219014185</v>
      </c>
      <c r="W57" s="2"/>
      <c r="X57" s="2">
        <f t="shared" si="60"/>
        <v>-1946.85</v>
      </c>
      <c r="Y57" s="2"/>
      <c r="Z57" s="19">
        <f t="shared" si="61"/>
        <v>-1</v>
      </c>
    </row>
    <row r="58" spans="1:26" s="24" customFormat="1" hidden="1" outlineLevel="1" x14ac:dyDescent="0.25">
      <c r="A58" s="44"/>
      <c r="B58" s="11" t="str">
        <f>CONCATENATE("          ", "4197", " - ", "NON-TAXABLE SALES-RETURNED CHE")</f>
        <v xml:space="preserve">          4197 - NON-TAXABLE SALES-RETURNED CHE</v>
      </c>
      <c r="C58" s="11"/>
      <c r="D58" s="2">
        <f t="shared" si="62"/>
        <v>0</v>
      </c>
      <c r="E58" s="2"/>
      <c r="F58" s="19">
        <f t="shared" si="54"/>
        <v>0</v>
      </c>
      <c r="G58" s="2"/>
      <c r="H58" s="2">
        <f>0</f>
        <v>0</v>
      </c>
      <c r="I58" s="2"/>
      <c r="J58" s="19">
        <f t="shared" si="55"/>
        <v>0</v>
      </c>
      <c r="K58" s="2"/>
      <c r="L58" s="2">
        <f t="shared" si="56"/>
        <v>0</v>
      </c>
      <c r="M58" s="2"/>
      <c r="N58" s="19">
        <f t="shared" si="57"/>
        <v>0</v>
      </c>
      <c r="O58" s="11"/>
      <c r="P58" s="2">
        <f t="shared" si="63"/>
        <v>0</v>
      </c>
      <c r="Q58" s="2"/>
      <c r="R58" s="19">
        <f t="shared" si="58"/>
        <v>0</v>
      </c>
      <c r="S58" s="2"/>
      <c r="T58" s="2">
        <f>--30</f>
        <v>30</v>
      </c>
      <c r="U58" s="2"/>
      <c r="V58" s="19">
        <f t="shared" si="59"/>
        <v>3.9683432034847343E-3</v>
      </c>
      <c r="W58" s="2"/>
      <c r="X58" s="2">
        <f t="shared" si="60"/>
        <v>-30</v>
      </c>
      <c r="Y58" s="2"/>
      <c r="Z58" s="19">
        <f t="shared" si="61"/>
        <v>-1</v>
      </c>
    </row>
    <row r="59" spans="1:26" s="24" customFormat="1" hidden="1" outlineLevel="1" x14ac:dyDescent="0.25">
      <c r="A59" s="44"/>
      <c r="B59" s="11" t="str">
        <f>CONCATENATE("          ", "4198", " - ", "NON-TAXABLE SALES-GRAD RENTALS")</f>
        <v xml:space="preserve">          4198 - NON-TAXABLE SALES-GRAD RENTALS</v>
      </c>
      <c r="C59" s="11"/>
      <c r="D59" s="2">
        <f t="shared" si="62"/>
        <v>0</v>
      </c>
      <c r="E59" s="2"/>
      <c r="F59" s="19">
        <f t="shared" si="54"/>
        <v>0</v>
      </c>
      <c r="G59" s="2"/>
      <c r="H59" s="2">
        <f>--3237.1</f>
        <v>3237.1</v>
      </c>
      <c r="I59" s="2"/>
      <c r="J59" s="19">
        <f t="shared" si="55"/>
        <v>295.89579524680073</v>
      </c>
      <c r="K59" s="2"/>
      <c r="L59" s="2">
        <f t="shared" si="56"/>
        <v>-3237.1</v>
      </c>
      <c r="M59" s="2"/>
      <c r="N59" s="19">
        <f t="shared" si="57"/>
        <v>-1</v>
      </c>
      <c r="O59" s="11"/>
      <c r="P59" s="2">
        <f t="shared" si="63"/>
        <v>0</v>
      </c>
      <c r="Q59" s="2"/>
      <c r="R59" s="19">
        <f t="shared" si="58"/>
        <v>0</v>
      </c>
      <c r="S59" s="2"/>
      <c r="T59" s="2">
        <f>--3732.1</f>
        <v>3732.1</v>
      </c>
      <c r="U59" s="2"/>
      <c r="V59" s="19">
        <f t="shared" si="59"/>
        <v>0.49367512232417926</v>
      </c>
      <c r="W59" s="2"/>
      <c r="X59" s="2">
        <f t="shared" si="60"/>
        <v>-3732.1</v>
      </c>
      <c r="Y59" s="2"/>
      <c r="Z59" s="19">
        <f t="shared" si="61"/>
        <v>-1</v>
      </c>
    </row>
    <row r="60" spans="1:26" s="24" customFormat="1" hidden="1" outlineLevel="1" x14ac:dyDescent="0.25">
      <c r="A60" s="44"/>
      <c r="B60" s="11" t="str">
        <f>CONCATENATE("          ", "9160", " - ", "MISC. INCOME")</f>
        <v xml:space="preserve">          9160 - MISC. INCOME</v>
      </c>
      <c r="C60" s="11"/>
      <c r="D60" s="2">
        <f t="shared" si="62"/>
        <v>0</v>
      </c>
      <c r="E60" s="2"/>
      <c r="F60" s="19">
        <f t="shared" si="54"/>
        <v>0</v>
      </c>
      <c r="G60" s="2"/>
      <c r="H60" s="2">
        <f t="shared" ref="H60:H61" si="64">0</f>
        <v>0</v>
      </c>
      <c r="I60" s="2"/>
      <c r="J60" s="19">
        <f t="shared" si="55"/>
        <v>0</v>
      </c>
      <c r="K60" s="2"/>
      <c r="L60" s="2">
        <f t="shared" si="56"/>
        <v>0</v>
      </c>
      <c r="M60" s="2"/>
      <c r="N60" s="19">
        <f t="shared" si="57"/>
        <v>0</v>
      </c>
      <c r="O60" s="11"/>
      <c r="P60" s="2">
        <f t="shared" si="63"/>
        <v>0</v>
      </c>
      <c r="Q60" s="2"/>
      <c r="R60" s="19">
        <f t="shared" si="58"/>
        <v>0</v>
      </c>
      <c r="S60" s="2"/>
      <c r="T60" s="2">
        <f>--22475</f>
        <v>22475</v>
      </c>
      <c r="U60" s="2"/>
      <c r="V60" s="19">
        <f t="shared" si="59"/>
        <v>2.9729504499439803</v>
      </c>
      <c r="W60" s="2"/>
      <c r="X60" s="2">
        <f t="shared" si="60"/>
        <v>-22475</v>
      </c>
      <c r="Y60" s="2"/>
      <c r="Z60" s="19">
        <f t="shared" si="61"/>
        <v>-1</v>
      </c>
    </row>
    <row r="61" spans="1:26" s="24" customFormat="1" hidden="1" outlineLevel="1" x14ac:dyDescent="0.25">
      <c r="A61" s="44"/>
      <c r="B61" s="11" t="str">
        <f>CONCATENATE("          ", "9163", " - ", "MISC. INCOME")</f>
        <v xml:space="preserve">          9163 - MISC. INCOME</v>
      </c>
      <c r="C61" s="11"/>
      <c r="D61" s="2">
        <f t="shared" si="62"/>
        <v>0</v>
      </c>
      <c r="E61" s="2"/>
      <c r="F61" s="19">
        <f t="shared" si="54"/>
        <v>0</v>
      </c>
      <c r="G61" s="2"/>
      <c r="H61" s="2">
        <f t="shared" si="64"/>
        <v>0</v>
      </c>
      <c r="I61" s="2"/>
      <c r="J61" s="19">
        <f t="shared" si="55"/>
        <v>0</v>
      </c>
      <c r="K61" s="2"/>
      <c r="L61" s="2">
        <f t="shared" si="56"/>
        <v>0</v>
      </c>
      <c r="M61" s="2"/>
      <c r="N61" s="19">
        <f t="shared" si="57"/>
        <v>0</v>
      </c>
      <c r="O61" s="11"/>
      <c r="P61" s="2">
        <f t="shared" si="63"/>
        <v>0</v>
      </c>
      <c r="Q61" s="2"/>
      <c r="R61" s="19">
        <f t="shared" si="58"/>
        <v>0</v>
      </c>
      <c r="S61" s="2"/>
      <c r="T61" s="2">
        <f>--61106.55</f>
        <v>61106.55</v>
      </c>
      <c r="U61" s="2"/>
      <c r="V61" s="19">
        <f t="shared" si="59"/>
        <v>8.0830587460300034</v>
      </c>
      <c r="W61" s="2"/>
      <c r="X61" s="2">
        <f t="shared" si="60"/>
        <v>-61106.55</v>
      </c>
      <c r="Y61" s="2"/>
      <c r="Z61" s="19">
        <f t="shared" si="61"/>
        <v>-1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8" t="s">
        <v>3</v>
      </c>
      <c r="C63" s="28"/>
      <c r="D63" s="20">
        <f>+D24-D26+D56</f>
        <v>0</v>
      </c>
      <c r="E63" s="14"/>
      <c r="F63" s="22">
        <f>IF(D$12=0,0,D63/D$12)</f>
        <v>0</v>
      </c>
      <c r="G63" s="14"/>
      <c r="H63" s="20">
        <f>+H24-H26+H56</f>
        <v>17232.169999999998</v>
      </c>
      <c r="I63" s="14"/>
      <c r="J63" s="22">
        <f>IF(H$12=0,0,H63/H$12)</f>
        <v>1575.1526508226691</v>
      </c>
      <c r="K63" s="15"/>
      <c r="L63" s="20">
        <f>+D63-H63</f>
        <v>-17232.169999999998</v>
      </c>
      <c r="M63" s="15"/>
      <c r="N63" s="22">
        <f>IF(H63=0,0,L63/H63)</f>
        <v>-1</v>
      </c>
      <c r="O63" s="29"/>
      <c r="P63" s="20">
        <f>+P24-P26+P56</f>
        <v>0</v>
      </c>
      <c r="Q63" s="14"/>
      <c r="R63" s="22">
        <f>IF(P$12=0,0,P63/P$12)</f>
        <v>0</v>
      </c>
      <c r="S63" s="14"/>
      <c r="T63" s="20">
        <f>+T24-T26+T56</f>
        <v>104195.18</v>
      </c>
      <c r="U63" s="14"/>
      <c r="V63" s="22">
        <f>IF(T$12=0,0,T63/T$12)</f>
        <v>13.782741146295617</v>
      </c>
      <c r="W63" s="15"/>
      <c r="X63" s="20">
        <f>+P63-T63</f>
        <v>-104195.18</v>
      </c>
      <c r="Y63" s="15"/>
      <c r="Z63" s="22">
        <f>IF(T63=0,0,X63/T63)</f>
        <v>-1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/>
      <c r="E65" s="4"/>
      <c r="F65" s="12">
        <f>IF(D$12=0,0,D65/D$12)</f>
        <v>0</v>
      </c>
      <c r="G65" s="4"/>
      <c r="H65" s="4">
        <v>-26.96</v>
      </c>
      <c r="I65" s="4"/>
      <c r="J65" s="12">
        <f>IF(H$12=0,0,H65/H$12)</f>
        <v>-2.4643510054844611</v>
      </c>
      <c r="K65" s="4"/>
      <c r="L65" s="4">
        <f>+D65-H65</f>
        <v>26.96</v>
      </c>
      <c r="M65" s="4"/>
      <c r="N65" s="12">
        <f>IF(H65=0,0,L65/H65)</f>
        <v>-1</v>
      </c>
      <c r="O65" s="10"/>
      <c r="P65" s="4"/>
      <c r="Q65" s="4"/>
      <c r="R65" s="12">
        <f>IF(P$12=0,0,P65/P$12)</f>
        <v>0</v>
      </c>
      <c r="S65" s="4"/>
      <c r="T65" s="4">
        <v>788.38</v>
      </c>
      <c r="U65" s="4"/>
      <c r="V65" s="12">
        <f>IF(T$12=0,0,T65/T$12)</f>
        <v>0.10428541382544317</v>
      </c>
      <c r="W65" s="4"/>
      <c r="X65" s="4">
        <f>+P65-T65</f>
        <v>-788.38</v>
      </c>
      <c r="Y65" s="4"/>
      <c r="Z65" s="12">
        <f>IF(T65=0,0,X65/T65)</f>
        <v>-1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4</v>
      </c>
      <c r="C67" s="28"/>
      <c r="D67" s="30">
        <f>+D63-D65</f>
        <v>0</v>
      </c>
      <c r="E67" s="14"/>
      <c r="F67" s="36">
        <f>IF(D$12=0,0,D67/D$12)</f>
        <v>0</v>
      </c>
      <c r="G67" s="14"/>
      <c r="H67" s="30">
        <f>+H63-H65</f>
        <v>17259.129999999997</v>
      </c>
      <c r="I67" s="14"/>
      <c r="J67" s="36">
        <f>IF(H$12=0,0,H67/H$12)</f>
        <v>1577.6170018281534</v>
      </c>
      <c r="K67" s="15"/>
      <c r="L67" s="30">
        <f>D67-H67</f>
        <v>-17259.129999999997</v>
      </c>
      <c r="M67" s="15"/>
      <c r="N67" s="36">
        <f>IF(H67=0,0,L67/H67)</f>
        <v>-1</v>
      </c>
      <c r="O67" s="29"/>
      <c r="P67" s="30">
        <f>+P63-P65</f>
        <v>0</v>
      </c>
      <c r="Q67" s="14"/>
      <c r="R67" s="36">
        <f>IF(P$12=0,0,P67/P$12)</f>
        <v>0</v>
      </c>
      <c r="S67" s="14"/>
      <c r="T67" s="30">
        <f>+T63-T65</f>
        <v>103406.79999999999</v>
      </c>
      <c r="U67" s="14"/>
      <c r="V67" s="36">
        <f>IF(T$12=0,0,T67/T$12)</f>
        <v>13.678455732470173</v>
      </c>
      <c r="W67" s="15"/>
      <c r="X67" s="30">
        <f>P67-T67</f>
        <v>-103406.79999999999</v>
      </c>
      <c r="Y67" s="15"/>
      <c r="Z67" s="36">
        <f>IF(T67=0,0,X67/T67)</f>
        <v>-1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5</v>
      </c>
      <c r="C70" s="28"/>
      <c r="D70" s="32">
        <f>SUM(D67:D69)</f>
        <v>0</v>
      </c>
      <c r="E70" s="14"/>
      <c r="F70" s="31">
        <f>IF(D$12=0,0,D70/D$12)</f>
        <v>0</v>
      </c>
      <c r="G70" s="14"/>
      <c r="H70" s="32">
        <f>SUM(H67:H69)</f>
        <v>17259.129999999997</v>
      </c>
      <c r="I70" s="14"/>
      <c r="J70" s="31">
        <f>IF(H$12=0,0,H70/H$12)</f>
        <v>1577.6170018281534</v>
      </c>
      <c r="K70" s="15"/>
      <c r="L70" s="32">
        <f>+D70-H70</f>
        <v>-17259.129999999997</v>
      </c>
      <c r="M70" s="15"/>
      <c r="N70" s="31">
        <f>IF(H70=0,0,L70/H70)</f>
        <v>-1</v>
      </c>
      <c r="O70" s="29"/>
      <c r="P70" s="32">
        <f>SUM(P67:P69)</f>
        <v>0</v>
      </c>
      <c r="Q70" s="14"/>
      <c r="R70" s="31">
        <f>IF(P$12=0,0,P70/P$12)</f>
        <v>0</v>
      </c>
      <c r="S70" s="14"/>
      <c r="T70" s="32">
        <f>SUM(T67:T69)</f>
        <v>103406.79999999999</v>
      </c>
      <c r="U70" s="14"/>
      <c r="V70" s="31">
        <f>IF(T$12=0,0,T70/T$12)</f>
        <v>13.678455732470173</v>
      </c>
      <c r="W70" s="15"/>
      <c r="X70" s="32">
        <f>+P70-T70</f>
        <v>-103406.79999999999</v>
      </c>
      <c r="Y70" s="15"/>
      <c r="Z70" s="31">
        <f>IF(T70=0,0,X70/T70)</f>
        <v>-1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62">
        <v>44238.49629328704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9" t="s">
        <v>313</v>
      </c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56"/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310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129191.81000000001</v>
      </c>
      <c r="E12" s="4"/>
      <c r="F12" s="12"/>
      <c r="G12" s="4"/>
      <c r="H12" s="4">
        <f>SUM(OSRRefH13x_0)</f>
        <v>215124.26000000007</v>
      </c>
      <c r="I12" s="4"/>
      <c r="J12" s="12"/>
      <c r="K12" s="4"/>
      <c r="L12" s="4">
        <f t="shared" ref="L12:L37" si="0">+D12-H12</f>
        <v>-85932.450000000055</v>
      </c>
      <c r="M12" s="4"/>
      <c r="N12" s="12">
        <f t="shared" ref="N12:N37" si="1">IF(H12=0,0,L12/H12)</f>
        <v>-0.39945494757309113</v>
      </c>
      <c r="O12" s="10"/>
      <c r="P12" s="4">
        <f>SUM(OSRRefP13x_0)</f>
        <v>1404536.33</v>
      </c>
      <c r="Q12" s="4"/>
      <c r="R12" s="12"/>
      <c r="S12" s="4"/>
      <c r="T12" s="4">
        <f>SUM(OSRRefT13x_0)</f>
        <v>1798506.0199999998</v>
      </c>
      <c r="U12" s="4"/>
      <c r="V12" s="12"/>
      <c r="W12" s="4"/>
      <c r="X12" s="4">
        <f t="shared" ref="X12:X37" si="2">+P12-T12</f>
        <v>-393969.68999999971</v>
      </c>
      <c r="Y12" s="4"/>
      <c r="Z12" s="12">
        <f t="shared" ref="Z12:Z37" si="3">IF(T12=0,0,X12/T12)</f>
        <v>-0.21905386227175361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-339.19</f>
        <v>-339.19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-339.19</v>
      </c>
      <c r="M13" s="2"/>
      <c r="N13" s="19">
        <f t="shared" si="1"/>
        <v>0</v>
      </c>
      <c r="O13" s="11"/>
      <c r="P13" s="2">
        <f>-2647.96</f>
        <v>-2647.96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-2647.96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--2318.54</f>
        <v>2318.54</v>
      </c>
      <c r="E14" s="2"/>
      <c r="F14" s="19"/>
      <c r="G14" s="2"/>
      <c r="H14" s="2">
        <f>--27353.95</f>
        <v>27353.95</v>
      </c>
      <c r="I14" s="2"/>
      <c r="J14" s="19"/>
      <c r="K14" s="2"/>
      <c r="L14" s="2">
        <f t="shared" si="0"/>
        <v>-25035.41</v>
      </c>
      <c r="M14" s="2"/>
      <c r="N14" s="19">
        <f t="shared" si="1"/>
        <v>-0.91523929816351934</v>
      </c>
      <c r="O14" s="11"/>
      <c r="P14" s="2">
        <f>--59198.06</f>
        <v>59198.06</v>
      </c>
      <c r="Q14" s="2"/>
      <c r="R14" s="19"/>
      <c r="S14" s="2"/>
      <c r="T14" s="2">
        <f>--271489</f>
        <v>271489</v>
      </c>
      <c r="U14" s="2"/>
      <c r="V14" s="19"/>
      <c r="W14" s="2"/>
      <c r="X14" s="2">
        <f t="shared" si="2"/>
        <v>-212290.94</v>
      </c>
      <c r="Y14" s="2"/>
      <c r="Z14" s="19">
        <f t="shared" si="3"/>
        <v>-0.78195042893082223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--91766.28</f>
        <v>91766.28</v>
      </c>
      <c r="E15" s="2"/>
      <c r="F15" s="19"/>
      <c r="G15" s="2"/>
      <c r="H15" s="2">
        <f>--164778.22</f>
        <v>164778.22</v>
      </c>
      <c r="I15" s="2"/>
      <c r="J15" s="19"/>
      <c r="K15" s="2"/>
      <c r="L15" s="2">
        <f t="shared" si="0"/>
        <v>-73011.94</v>
      </c>
      <c r="M15" s="2"/>
      <c r="N15" s="19">
        <f t="shared" si="1"/>
        <v>-0.44309217565282599</v>
      </c>
      <c r="O15" s="11"/>
      <c r="P15" s="2">
        <f>--1085023.17</f>
        <v>1085023.17</v>
      </c>
      <c r="Q15" s="2"/>
      <c r="R15" s="19"/>
      <c r="S15" s="2"/>
      <c r="T15" s="2">
        <f>--1507113.48</f>
        <v>1507113.48</v>
      </c>
      <c r="U15" s="2"/>
      <c r="V15" s="19"/>
      <c r="W15" s="2"/>
      <c r="X15" s="2">
        <f t="shared" si="2"/>
        <v>-422090.31000000006</v>
      </c>
      <c r="Y15" s="2"/>
      <c r="Z15" s="19">
        <f t="shared" si="3"/>
        <v>-0.28006538034548006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--8639.61</f>
        <v>8639.61</v>
      </c>
      <c r="E16" s="2"/>
      <c r="F16" s="19"/>
      <c r="G16" s="2"/>
      <c r="H16" s="2">
        <f>--13898.03</f>
        <v>13898.03</v>
      </c>
      <c r="I16" s="2"/>
      <c r="J16" s="19"/>
      <c r="K16" s="2"/>
      <c r="L16" s="2">
        <f t="shared" si="0"/>
        <v>-5258.42</v>
      </c>
      <c r="M16" s="2"/>
      <c r="N16" s="19">
        <f t="shared" si="1"/>
        <v>-0.37835722041181374</v>
      </c>
      <c r="O16" s="11"/>
      <c r="P16" s="2">
        <f>--93277.59</f>
        <v>93277.59</v>
      </c>
      <c r="Q16" s="2"/>
      <c r="R16" s="19"/>
      <c r="S16" s="2"/>
      <c r="T16" s="2">
        <f>--84329.23</f>
        <v>84329.23</v>
      </c>
      <c r="U16" s="2"/>
      <c r="V16" s="19"/>
      <c r="W16" s="2"/>
      <c r="X16" s="2">
        <f t="shared" si="2"/>
        <v>8948.36</v>
      </c>
      <c r="Y16" s="2"/>
      <c r="Z16" s="19">
        <f t="shared" si="3"/>
        <v>0.10611219858167804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>
        <f t="shared" ref="H17:H18" si="4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--149.99</f>
        <v>149.99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149.99</v>
      </c>
      <c r="M18" s="2"/>
      <c r="N18" s="19">
        <f t="shared" si="1"/>
        <v>0</v>
      </c>
      <c r="O18" s="11"/>
      <c r="P18" s="2">
        <f>--2878.93</f>
        <v>2878.93</v>
      </c>
      <c r="Q18" s="2"/>
      <c r="R18" s="19"/>
      <c r="S18" s="2"/>
      <c r="T18" s="2">
        <f>--4407.94</f>
        <v>4407.9399999999996</v>
      </c>
      <c r="U18" s="2"/>
      <c r="V18" s="19"/>
      <c r="W18" s="2"/>
      <c r="X18" s="2">
        <f t="shared" si="2"/>
        <v>-1529.0099999999998</v>
      </c>
      <c r="Y18" s="2"/>
      <c r="Z18" s="19">
        <f t="shared" si="3"/>
        <v>-0.3468763186431757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--734.26</f>
        <v>734.26</v>
      </c>
      <c r="E19" s="2"/>
      <c r="F19" s="19"/>
      <c r="G19" s="2"/>
      <c r="H19" s="2">
        <f>--7282.64</f>
        <v>7282.64</v>
      </c>
      <c r="I19" s="2"/>
      <c r="J19" s="19"/>
      <c r="K19" s="2"/>
      <c r="L19" s="2">
        <f t="shared" si="0"/>
        <v>-6548.38</v>
      </c>
      <c r="M19" s="2"/>
      <c r="N19" s="19">
        <f t="shared" si="1"/>
        <v>-0.89917667219579711</v>
      </c>
      <c r="O19" s="11"/>
      <c r="P19" s="2">
        <f>--57869.84</f>
        <v>57869.84</v>
      </c>
      <c r="Q19" s="2"/>
      <c r="R19" s="19"/>
      <c r="S19" s="2"/>
      <c r="T19" s="2">
        <f>--40361.11</f>
        <v>40361.11</v>
      </c>
      <c r="U19" s="2"/>
      <c r="V19" s="19"/>
      <c r="W19" s="2"/>
      <c r="X19" s="2">
        <f t="shared" si="2"/>
        <v>17508.729999999996</v>
      </c>
      <c r="Y19" s="2"/>
      <c r="Z19" s="19">
        <f t="shared" si="3"/>
        <v>0.433801994048231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0</f>
        <v>0</v>
      </c>
      <c r="E20" s="2"/>
      <c r="F20" s="19"/>
      <c r="G20" s="2"/>
      <c r="H20" s="2">
        <f>--118.97</f>
        <v>118.97</v>
      </c>
      <c r="I20" s="2"/>
      <c r="J20" s="19"/>
      <c r="K20" s="2"/>
      <c r="L20" s="2">
        <f t="shared" si="0"/>
        <v>-118.97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--1055.88</f>
        <v>1055.8800000000001</v>
      </c>
      <c r="U20" s="2"/>
      <c r="V20" s="19"/>
      <c r="W20" s="2"/>
      <c r="X20" s="2">
        <f t="shared" si="2"/>
        <v>-1055.8800000000001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"4181", " - ", "NON-TAXABLE SALES-ELECTRONICS")</f>
        <v xml:space="preserve">          4181 - NON-TAXABLE SALES-ELECTRONICS</v>
      </c>
      <c r="C21" s="11"/>
      <c r="D21" s="2">
        <f>--2038.6</f>
        <v>2038.6</v>
      </c>
      <c r="E21" s="2"/>
      <c r="F21" s="19"/>
      <c r="G21" s="2"/>
      <c r="H21" s="2">
        <f>--343.91</f>
        <v>343.91</v>
      </c>
      <c r="I21" s="2"/>
      <c r="J21" s="19"/>
      <c r="K21" s="2"/>
      <c r="L21" s="2">
        <f t="shared" si="0"/>
        <v>1694.6899999999998</v>
      </c>
      <c r="M21" s="2"/>
      <c r="N21" s="19">
        <f t="shared" si="1"/>
        <v>4.9277136460120374</v>
      </c>
      <c r="O21" s="11"/>
      <c r="P21" s="2">
        <f>--5572.72</f>
        <v>5572.72</v>
      </c>
      <c r="Q21" s="2"/>
      <c r="R21" s="19"/>
      <c r="S21" s="2"/>
      <c r="T21" s="2">
        <f>--1806.42</f>
        <v>1806.42</v>
      </c>
      <c r="U21" s="2"/>
      <c r="V21" s="19"/>
      <c r="W21" s="2"/>
      <c r="X21" s="2">
        <f t="shared" si="2"/>
        <v>3766.3</v>
      </c>
      <c r="Y21" s="2"/>
      <c r="Z21" s="19">
        <f t="shared" si="3"/>
        <v>2.0849525580983381</v>
      </c>
    </row>
    <row r="22" spans="1:26" s="24" customFormat="1" hidden="1" outlineLevel="1" x14ac:dyDescent="0.25">
      <c r="A22" s="44"/>
      <c r="B22" s="11" t="str">
        <f>CONCATENATE("          ", "4182", " - ", "NON-TAXABLE SALES-COMPUTER HAR")</f>
        <v xml:space="preserve">          4182 - NON-TAXABLE SALES-COMPUTER HAR</v>
      </c>
      <c r="C22" s="11"/>
      <c r="D22" s="2">
        <f>--22090.89</f>
        <v>22090.89</v>
      </c>
      <c r="E22" s="2"/>
      <c r="F22" s="19"/>
      <c r="G22" s="2"/>
      <c r="H22" s="2">
        <f>--16176.97</f>
        <v>16176.97</v>
      </c>
      <c r="I22" s="2"/>
      <c r="J22" s="19"/>
      <c r="K22" s="2"/>
      <c r="L22" s="2">
        <f t="shared" si="0"/>
        <v>5913.92</v>
      </c>
      <c r="M22" s="2"/>
      <c r="N22" s="19">
        <f t="shared" si="1"/>
        <v>0.36557649547473975</v>
      </c>
      <c r="O22" s="11"/>
      <c r="P22" s="2">
        <f>--186399.2</f>
        <v>186399.2</v>
      </c>
      <c r="Q22" s="2"/>
      <c r="R22" s="19"/>
      <c r="S22" s="2"/>
      <c r="T22" s="2">
        <f>--86971.97</f>
        <v>86971.97</v>
      </c>
      <c r="U22" s="2"/>
      <c r="V22" s="19"/>
      <c r="W22" s="2"/>
      <c r="X22" s="2">
        <f t="shared" si="2"/>
        <v>99427.23000000001</v>
      </c>
      <c r="Y22" s="2"/>
      <c r="Z22" s="19">
        <f t="shared" si="3"/>
        <v>1.1432100480189193</v>
      </c>
    </row>
    <row r="23" spans="1:26" s="24" customFormat="1" hidden="1" outlineLevel="1" x14ac:dyDescent="0.25">
      <c r="A23" s="44"/>
      <c r="B23" s="11" t="str">
        <f>CONCATENATE("          ", "4183", " - ", "NON-TAXABLE SALES-COMPUTER EQU")</f>
        <v xml:space="preserve">          4183 - NON-TAXABLE SALES-COMPUTER EQU</v>
      </c>
      <c r="C23" s="11"/>
      <c r="D23" s="2">
        <f>--2888.95</f>
        <v>2888.95</v>
      </c>
      <c r="E23" s="2"/>
      <c r="F23" s="19"/>
      <c r="G23" s="2"/>
      <c r="H23" s="2">
        <f>--777.81</f>
        <v>777.81</v>
      </c>
      <c r="I23" s="2"/>
      <c r="J23" s="19"/>
      <c r="K23" s="2"/>
      <c r="L23" s="2">
        <f t="shared" si="0"/>
        <v>2111.14</v>
      </c>
      <c r="M23" s="2"/>
      <c r="N23" s="19">
        <f t="shared" si="1"/>
        <v>2.714210411282961</v>
      </c>
      <c r="O23" s="11"/>
      <c r="P23" s="2">
        <f>--10518.14</f>
        <v>10518.14</v>
      </c>
      <c r="Q23" s="2"/>
      <c r="R23" s="19"/>
      <c r="S23" s="2"/>
      <c r="T23" s="2">
        <f>--4349.44</f>
        <v>4349.4399999999996</v>
      </c>
      <c r="U23" s="2"/>
      <c r="V23" s="19"/>
      <c r="W23" s="2"/>
      <c r="X23" s="2">
        <f t="shared" si="2"/>
        <v>6168.7</v>
      </c>
      <c r="Y23" s="2"/>
      <c r="Z23" s="19">
        <f t="shared" si="3"/>
        <v>1.4182745364920541</v>
      </c>
    </row>
    <row r="24" spans="1:26" s="24" customFormat="1" hidden="1" outlineLevel="1" x14ac:dyDescent="0.25">
      <c r="A24" s="44"/>
      <c r="B24" s="11" t="str">
        <f>CONCATENATE("          ", "4184", " - ", "NON-TAXABLE SALES-SOFTWARE LIC")</f>
        <v xml:space="preserve">          4184 - NON-TAXABLE SALES-SOFTWARE LIC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--2728</f>
        <v>2728</v>
      </c>
      <c r="U24" s="2"/>
      <c r="V24" s="19"/>
      <c r="W24" s="2"/>
      <c r="X24" s="2">
        <f t="shared" si="2"/>
        <v>-2728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"4185", " - ", "NON-TAXABLE SALES-SOFTWARE")</f>
        <v xml:space="preserve">          4185 - NON-TAXABLE SALES-SOFTWARE</v>
      </c>
      <c r="C25" s="11"/>
      <c r="D25" s="2">
        <f>--3149.85</f>
        <v>3149.85</v>
      </c>
      <c r="E25" s="2"/>
      <c r="F25" s="19"/>
      <c r="G25" s="2"/>
      <c r="H25" s="2">
        <f>--1925.98</f>
        <v>1925.98</v>
      </c>
      <c r="I25" s="2"/>
      <c r="J25" s="19"/>
      <c r="K25" s="2"/>
      <c r="L25" s="2">
        <f t="shared" si="0"/>
        <v>1223.8699999999999</v>
      </c>
      <c r="M25" s="2"/>
      <c r="N25" s="19">
        <f t="shared" si="1"/>
        <v>0.63545311997009313</v>
      </c>
      <c r="O25" s="11"/>
      <c r="P25" s="2">
        <f>--29830.52</f>
        <v>29830.52</v>
      </c>
      <c r="Q25" s="2"/>
      <c r="R25" s="19"/>
      <c r="S25" s="2"/>
      <c r="T25" s="2">
        <f>--11327.82</f>
        <v>11327.82</v>
      </c>
      <c r="U25" s="2"/>
      <c r="V25" s="19"/>
      <c r="W25" s="2"/>
      <c r="X25" s="2">
        <f t="shared" si="2"/>
        <v>18502.7</v>
      </c>
      <c r="Y25" s="2"/>
      <c r="Z25" s="19">
        <f t="shared" si="3"/>
        <v>1.6333857706072308</v>
      </c>
    </row>
    <row r="26" spans="1:26" s="24" customFormat="1" hidden="1" outlineLevel="1" x14ac:dyDescent="0.25">
      <c r="A26" s="44"/>
      <c r="B26" s="11" t="str">
        <f>CONCATENATE("          ", "4186", " - ", "NON-TAXABLE SALES-COMPUTER SUP")</f>
        <v xml:space="preserve">          4186 - NON-TAXABLE SALES-COMPUTER SUP</v>
      </c>
      <c r="C26" s="11"/>
      <c r="D26" s="2">
        <f>--535.04</f>
        <v>535.04</v>
      </c>
      <c r="E26" s="2"/>
      <c r="F26" s="19"/>
      <c r="G26" s="2"/>
      <c r="H26" s="2">
        <f>--326.92</f>
        <v>326.92</v>
      </c>
      <c r="I26" s="2"/>
      <c r="J26" s="19"/>
      <c r="K26" s="2"/>
      <c r="L26" s="2">
        <f t="shared" si="0"/>
        <v>208.11999999999995</v>
      </c>
      <c r="M26" s="2"/>
      <c r="N26" s="19">
        <f t="shared" si="1"/>
        <v>0.63660834454912496</v>
      </c>
      <c r="O26" s="11"/>
      <c r="P26" s="2">
        <f>--2485.03</f>
        <v>2485.0300000000002</v>
      </c>
      <c r="Q26" s="2"/>
      <c r="R26" s="19"/>
      <c r="S26" s="2"/>
      <c r="T26" s="2">
        <f>--1980.28</f>
        <v>1980.28</v>
      </c>
      <c r="U26" s="2"/>
      <c r="V26" s="19"/>
      <c r="W26" s="2"/>
      <c r="X26" s="2">
        <f t="shared" si="2"/>
        <v>504.75000000000023</v>
      </c>
      <c r="Y26" s="2"/>
      <c r="Z26" s="19">
        <f t="shared" si="3"/>
        <v>0.25488819762861831</v>
      </c>
    </row>
    <row r="27" spans="1:26" s="24" customFormat="1" hidden="1" outlineLevel="1" x14ac:dyDescent="0.25">
      <c r="A27" s="44"/>
      <c r="B27" s="11" t="str">
        <f>CONCATENATE("          ", "4188", " - ", "NON-TAXABLE SALES-MUSIC")</f>
        <v xml:space="preserve">          4188 - NON-TAXABLE SALES-MUSIC</v>
      </c>
      <c r="C27" s="11"/>
      <c r="D27" s="2">
        <f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--219.96</f>
        <v>219.96</v>
      </c>
      <c r="U27" s="2"/>
      <c r="V27" s="19"/>
      <c r="W27" s="2"/>
      <c r="X27" s="2">
        <f t="shared" si="2"/>
        <v>-219.96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"4281", " - ", "SALES RETURN TAXABLE-ELECTRONI")</f>
        <v xml:space="preserve">          4281 - SALES RETURN TAXABLE-ELECTRONI</v>
      </c>
      <c r="C28" s="11"/>
      <c r="D28" s="2">
        <f>-129.99</f>
        <v>-129.99</v>
      </c>
      <c r="E28" s="2"/>
      <c r="F28" s="19"/>
      <c r="G28" s="2"/>
      <c r="H28" s="2">
        <f>-642.85</f>
        <v>-642.85</v>
      </c>
      <c r="I28" s="2"/>
      <c r="J28" s="19"/>
      <c r="K28" s="2"/>
      <c r="L28" s="2">
        <f t="shared" si="0"/>
        <v>512.86</v>
      </c>
      <c r="M28" s="2"/>
      <c r="N28" s="19">
        <f t="shared" si="1"/>
        <v>-0.79779108656762854</v>
      </c>
      <c r="O28" s="11"/>
      <c r="P28" s="2">
        <f>-14762.14</f>
        <v>-14762.14</v>
      </c>
      <c r="Q28" s="2"/>
      <c r="R28" s="19"/>
      <c r="S28" s="2"/>
      <c r="T28" s="2">
        <f>-6449.84</f>
        <v>-6449.84</v>
      </c>
      <c r="U28" s="2"/>
      <c r="V28" s="19"/>
      <c r="W28" s="2"/>
      <c r="X28" s="2">
        <f t="shared" si="2"/>
        <v>-8312.2999999999993</v>
      </c>
      <c r="Y28" s="2"/>
      <c r="Z28" s="19">
        <f t="shared" si="3"/>
        <v>1.288760651427012</v>
      </c>
    </row>
    <row r="29" spans="1:26" s="24" customFormat="1" hidden="1" outlineLevel="1" x14ac:dyDescent="0.25">
      <c r="A29" s="44"/>
      <c r="B29" s="11" t="str">
        <f>CONCATENATE("          ", "4282", " - ", "SALES RETURN TAXABLE-COMPUTER")</f>
        <v xml:space="preserve">          4282 - SALES RETURN TAXABLE-COMPUTER</v>
      </c>
      <c r="C29" s="11"/>
      <c r="D29" s="2">
        <f>-4897</f>
        <v>-4897</v>
      </c>
      <c r="E29" s="2"/>
      <c r="F29" s="19"/>
      <c r="G29" s="2"/>
      <c r="H29" s="2">
        <f>-15229.61</f>
        <v>-15229.61</v>
      </c>
      <c r="I29" s="2"/>
      <c r="J29" s="19"/>
      <c r="K29" s="2"/>
      <c r="L29" s="2">
        <f t="shared" si="0"/>
        <v>10332.61</v>
      </c>
      <c r="M29" s="2"/>
      <c r="N29" s="19">
        <f t="shared" si="1"/>
        <v>-0.67845532485730098</v>
      </c>
      <c r="O29" s="11"/>
      <c r="P29" s="2">
        <f>-96917.01</f>
        <v>-96917.01</v>
      </c>
      <c r="Q29" s="2"/>
      <c r="R29" s="19"/>
      <c r="S29" s="2"/>
      <c r="T29" s="2">
        <f>-202883.19</f>
        <v>-202883.19</v>
      </c>
      <c r="U29" s="2"/>
      <c r="V29" s="19"/>
      <c r="W29" s="2"/>
      <c r="X29" s="2">
        <f t="shared" si="2"/>
        <v>105966.18000000001</v>
      </c>
      <c r="Y29" s="2"/>
      <c r="Z29" s="19">
        <f t="shared" si="3"/>
        <v>-0.52230142871866325</v>
      </c>
    </row>
    <row r="30" spans="1:26" s="24" customFormat="1" hidden="1" outlineLevel="1" x14ac:dyDescent="0.25">
      <c r="A30" s="44"/>
      <c r="B30" s="11" t="str">
        <f>CONCATENATE("          ", "4283", " - ", "SALES RETURN TAXABLE-COMPUTER")</f>
        <v xml:space="preserve">          4283 - SALES RETURN TAXABLE-COMPUTER</v>
      </c>
      <c r="C30" s="11"/>
      <c r="D30" s="2">
        <f>--264.97</f>
        <v>264.97000000000003</v>
      </c>
      <c r="E30" s="2"/>
      <c r="F30" s="19"/>
      <c r="G30" s="2"/>
      <c r="H30" s="2">
        <f>-1632.57</f>
        <v>-1632.57</v>
      </c>
      <c r="I30" s="2"/>
      <c r="J30" s="19"/>
      <c r="K30" s="2"/>
      <c r="L30" s="2">
        <f t="shared" si="0"/>
        <v>1897.54</v>
      </c>
      <c r="M30" s="2"/>
      <c r="N30" s="19">
        <f t="shared" si="1"/>
        <v>-1.1623023821336911</v>
      </c>
      <c r="O30" s="11"/>
      <c r="P30" s="2">
        <f>-3146.29</f>
        <v>-3146.29</v>
      </c>
      <c r="Q30" s="2"/>
      <c r="R30" s="19"/>
      <c r="S30" s="2"/>
      <c r="T30" s="2">
        <f>-4914.72</f>
        <v>-4914.72</v>
      </c>
      <c r="U30" s="2"/>
      <c r="V30" s="19"/>
      <c r="W30" s="2"/>
      <c r="X30" s="2">
        <f t="shared" si="2"/>
        <v>1768.4300000000003</v>
      </c>
      <c r="Y30" s="2"/>
      <c r="Z30" s="19">
        <f t="shared" si="3"/>
        <v>-0.35982314353615263</v>
      </c>
    </row>
    <row r="31" spans="1:26" s="24" customFormat="1" hidden="1" outlineLevel="1" x14ac:dyDescent="0.25">
      <c r="A31" s="44"/>
      <c r="B31" s="11" t="str">
        <f>CONCATENATE("          ", "4284", " - ", "SALES RETURN TAXABLE-SOFTWARE")</f>
        <v xml:space="preserve">          4284 - SALES RETURN TAXABLE-SOFTWARE</v>
      </c>
      <c r="C31" s="11"/>
      <c r="D31" s="2">
        <f t="shared" ref="D31:D32" si="5">0</f>
        <v>0</v>
      </c>
      <c r="E31" s="2"/>
      <c r="F31" s="19"/>
      <c r="G31" s="2"/>
      <c r="H31" s="2">
        <f t="shared" ref="H31:H32" si="6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"4285", " - ", "SALES RETURN TAXABLE-SOFTWARE")</f>
        <v xml:space="preserve">          4285 - SALES RETURN TAXABLE-SOFTWARE</v>
      </c>
      <c r="C32" s="11"/>
      <c r="D32" s="2">
        <f t="shared" si="5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-691.98</f>
        <v>-691.98</v>
      </c>
      <c r="Q32" s="2"/>
      <c r="R32" s="19"/>
      <c r="S32" s="2"/>
      <c r="T32" s="2">
        <f>-655.98</f>
        <v>-655.98</v>
      </c>
      <c r="U32" s="2"/>
      <c r="V32" s="19"/>
      <c r="W32" s="2"/>
      <c r="X32" s="2">
        <f t="shared" si="2"/>
        <v>-36</v>
      </c>
      <c r="Y32" s="2"/>
      <c r="Z32" s="19">
        <f t="shared" si="3"/>
        <v>5.4879721942742155E-2</v>
      </c>
    </row>
    <row r="33" spans="1:26" s="24" customFormat="1" hidden="1" outlineLevel="1" x14ac:dyDescent="0.25">
      <c r="A33" s="44"/>
      <c r="B33" s="11" t="str">
        <f>CONCATENATE("          ", "4286", " - ", "SALES RETURN TAXABLE-COMPUTER")</f>
        <v xml:space="preserve">          4286 - SALES RETURN TAXABLE-COMPUTER</v>
      </c>
      <c r="C33" s="11"/>
      <c r="D33" s="2">
        <f>-18.99</f>
        <v>-18.989999999999998</v>
      </c>
      <c r="E33" s="2"/>
      <c r="F33" s="19"/>
      <c r="G33" s="2"/>
      <c r="H33" s="2">
        <f>-304.12</f>
        <v>-304.12</v>
      </c>
      <c r="I33" s="2"/>
      <c r="J33" s="19"/>
      <c r="K33" s="2"/>
      <c r="L33" s="2">
        <f t="shared" si="0"/>
        <v>285.13</v>
      </c>
      <c r="M33" s="2"/>
      <c r="N33" s="19">
        <f t="shared" si="1"/>
        <v>-0.93755754307510186</v>
      </c>
      <c r="O33" s="11"/>
      <c r="P33" s="2">
        <f>-4727.34</f>
        <v>-4727.34</v>
      </c>
      <c r="Q33" s="2"/>
      <c r="R33" s="19"/>
      <c r="S33" s="2"/>
      <c r="T33" s="2">
        <f>-3292.01</f>
        <v>-3292.01</v>
      </c>
      <c r="U33" s="2"/>
      <c r="V33" s="19"/>
      <c r="W33" s="2"/>
      <c r="X33" s="2">
        <f t="shared" si="2"/>
        <v>-1435.33</v>
      </c>
      <c r="Y33" s="2"/>
      <c r="Z33" s="19">
        <f t="shared" si="3"/>
        <v>0.43600414336529958</v>
      </c>
    </row>
    <row r="34" spans="1:26" s="24" customFormat="1" hidden="1" outlineLevel="1" x14ac:dyDescent="0.25">
      <c r="A34" s="44"/>
      <c r="B34" s="11" t="str">
        <f>CONCATENATE("          ", "4288", " - ", "TAXABLE SALES RETURN-MUSIC")</f>
        <v xml:space="preserve">          4288 - TAXABLE SALES RETURN-MUSIC</v>
      </c>
      <c r="C34" s="11"/>
      <c r="D34" s="2">
        <f t="shared" ref="D34:D37" si="7">0</f>
        <v>0</v>
      </c>
      <c r="E34" s="2"/>
      <c r="F34" s="19"/>
      <c r="G34" s="2"/>
      <c r="H34" s="2">
        <f t="shared" ref="H34:H36" si="8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0</f>
        <v>0</v>
      </c>
      <c r="Q34" s="2"/>
      <c r="R34" s="19"/>
      <c r="S34" s="2"/>
      <c r="T34" s="2">
        <f>-3.99</f>
        <v>-3.99</v>
      </c>
      <c r="U34" s="2"/>
      <c r="V34" s="19"/>
      <c r="W34" s="2"/>
      <c r="X34" s="2">
        <f t="shared" si="2"/>
        <v>3.99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"4381", " - ", "SALES RETURN NON TAXABLE-ELECT")</f>
        <v xml:space="preserve">          4381 - SALES RETURN NON TAXABLE-ELECT</v>
      </c>
      <c r="C35" s="11"/>
      <c r="D35" s="2">
        <f t="shared" si="7"/>
        <v>0</v>
      </c>
      <c r="E35" s="2"/>
      <c r="F35" s="19"/>
      <c r="G35" s="2"/>
      <c r="H35" s="2">
        <f t="shared" si="8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-5624.15</f>
        <v>-5624.15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-4344.3099999999995</v>
      </c>
      <c r="Y35" s="2"/>
      <c r="Z35" s="19">
        <f t="shared" si="3"/>
        <v>3.3944164895611948</v>
      </c>
    </row>
    <row r="36" spans="1:26" s="24" customFormat="1" hidden="1" outlineLevel="1" x14ac:dyDescent="0.25">
      <c r="A36" s="44"/>
      <c r="B36" s="11" t="str">
        <f>CONCATENATE("          ", "4383", " - ", "SALES RETURN NON TAXABLE-COMPU")</f>
        <v xml:space="preserve">          4383 - SALES RETURN NON TAXABLE-COMPU</v>
      </c>
      <c r="C36" s="11"/>
      <c r="D36" s="2">
        <f t="shared" si="7"/>
        <v>0</v>
      </c>
      <c r="E36" s="2"/>
      <c r="F36" s="19"/>
      <c r="G36" s="2"/>
      <c r="H36" s="2">
        <f t="shared" si="8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ref="P36:P37" si="9">0</f>
        <v>0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49.98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"4386", " - ", "SALES RETURN NON TAXABLE-COMPU")</f>
        <v xml:space="preserve">          4386 - SALES RETURN NON TAXABLE-COMPU</v>
      </c>
      <c r="C37" s="11"/>
      <c r="D37" s="2">
        <f t="shared" si="7"/>
        <v>0</v>
      </c>
      <c r="E37" s="2"/>
      <c r="F37" s="19"/>
      <c r="G37" s="2"/>
      <c r="H37" s="2">
        <f>-49.99</f>
        <v>-49.99</v>
      </c>
      <c r="I37" s="2"/>
      <c r="J37" s="19"/>
      <c r="K37" s="2"/>
      <c r="L37" s="2">
        <f t="shared" si="0"/>
        <v>49.99</v>
      </c>
      <c r="M37" s="2"/>
      <c r="N37" s="19">
        <f t="shared" si="1"/>
        <v>-1</v>
      </c>
      <c r="O37" s="11"/>
      <c r="P37" s="2">
        <f t="shared" si="9"/>
        <v>0</v>
      </c>
      <c r="Q37" s="2"/>
      <c r="R37" s="19"/>
      <c r="S37" s="2"/>
      <c r="T37" s="2">
        <f>-104.96</f>
        <v>-104.96</v>
      </c>
      <c r="U37" s="2"/>
      <c r="V37" s="19"/>
      <c r="W37" s="2"/>
      <c r="X37" s="2">
        <f t="shared" si="2"/>
        <v>104.96</v>
      </c>
      <c r="Y37" s="2"/>
      <c r="Z37" s="19">
        <f t="shared" si="3"/>
        <v>-1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collapsed="1" x14ac:dyDescent="0.25">
      <c r="A39" s="10"/>
      <c r="B39" s="29" t="s">
        <v>8</v>
      </c>
      <c r="C39" s="10"/>
      <c r="D39" s="4">
        <f>SUM(OSRRefD16x_0)</f>
        <v>110569</v>
      </c>
      <c r="E39" s="4"/>
      <c r="F39" s="12">
        <f t="shared" ref="F39:F52" si="10">IF(D$12=0,0,D39/D$12)</f>
        <v>0.85585146612621954</v>
      </c>
      <c r="G39" s="4"/>
      <c r="H39" s="4">
        <f>SUM(OSRRefH16x_0)</f>
        <v>181262.43</v>
      </c>
      <c r="I39" s="4"/>
      <c r="J39" s="12">
        <f t="shared" ref="J39:J52" si="11">IF(H$12=0,0,H39/H$12)</f>
        <v>0.84259408957409054</v>
      </c>
      <c r="K39" s="4"/>
      <c r="L39" s="4">
        <f t="shared" ref="L39:L52" si="12">+D39-H39</f>
        <v>-70693.429999999993</v>
      </c>
      <c r="M39" s="4"/>
      <c r="N39" s="12">
        <f t="shared" ref="N39:N52" si="13">IF(H39=0,0,L39/H39)</f>
        <v>-0.39000597090086453</v>
      </c>
      <c r="O39" s="10"/>
      <c r="P39" s="4">
        <f>SUM(OSRRefP16x_0)</f>
        <v>1326535.8400000001</v>
      </c>
      <c r="Q39" s="4"/>
      <c r="R39" s="12">
        <f t="shared" ref="R39:R52" si="14">IF(P$12=0,0,P39/P$12)</f>
        <v>0.94446530977237164</v>
      </c>
      <c r="S39" s="4"/>
      <c r="T39" s="4">
        <f>SUM(OSRRefT16x_0)</f>
        <v>1588309.2800000005</v>
      </c>
      <c r="U39" s="4"/>
      <c r="V39" s="12">
        <f t="shared" ref="V39:V52" si="15">IF(T$12=0,0,T39/T$12)</f>
        <v>0.88312703006687776</v>
      </c>
      <c r="W39" s="4"/>
      <c r="X39" s="4">
        <f t="shared" ref="X39:X52" si="16">+P39-T39</f>
        <v>-261773.44000000041</v>
      </c>
      <c r="Y39" s="4"/>
      <c r="Z39" s="12">
        <f t="shared" ref="Z39:Z52" si="17">IF(T39=0,0,X39/T39)</f>
        <v>-0.16481263649104935</v>
      </c>
    </row>
    <row r="40" spans="1:26" s="24" customFormat="1" hidden="1" outlineLevel="1" x14ac:dyDescent="0.25">
      <c r="A40" s="44"/>
      <c r="B40" s="11" t="str">
        <f>CONCATENATE("          ", "5081", " - ", "PURCHASES @ COST-ELECTRONICS")</f>
        <v xml:space="preserve">          5081 - PURCHASES @ COST-ELECTRONICS</v>
      </c>
      <c r="C40" s="11"/>
      <c r="D40" s="2">
        <v>313.26</v>
      </c>
      <c r="E40" s="2"/>
      <c r="F40" s="19">
        <f t="shared" si="10"/>
        <v>2.4247667092828868E-3</v>
      </c>
      <c r="G40" s="2"/>
      <c r="H40" s="2">
        <v>32346.16</v>
      </c>
      <c r="I40" s="2"/>
      <c r="J40" s="19">
        <f t="shared" si="11"/>
        <v>0.15036035452254426</v>
      </c>
      <c r="K40" s="2"/>
      <c r="L40" s="2">
        <f t="shared" si="12"/>
        <v>-32032.9</v>
      </c>
      <c r="M40" s="2"/>
      <c r="N40" s="19">
        <f t="shared" si="13"/>
        <v>-0.99031538828720322</v>
      </c>
      <c r="O40" s="11"/>
      <c r="P40" s="2">
        <v>25573.769999999997</v>
      </c>
      <c r="Q40" s="2"/>
      <c r="R40" s="19">
        <f t="shared" si="14"/>
        <v>1.8207980422977024E-2</v>
      </c>
      <c r="S40" s="2"/>
      <c r="T40" s="2">
        <v>219755.59</v>
      </c>
      <c r="U40" s="2"/>
      <c r="V40" s="19">
        <f t="shared" si="15"/>
        <v>0.12218785344960927</v>
      </c>
      <c r="W40" s="2"/>
      <c r="X40" s="2">
        <f t="shared" si="16"/>
        <v>-194181.82</v>
      </c>
      <c r="Y40" s="2"/>
      <c r="Z40" s="19">
        <f t="shared" si="17"/>
        <v>-0.88362630502368567</v>
      </c>
    </row>
    <row r="41" spans="1:26" s="24" customFormat="1" hidden="1" outlineLevel="1" x14ac:dyDescent="0.25">
      <c r="A41" s="44"/>
      <c r="B41" s="11" t="str">
        <f>CONCATENATE("          ", "5082", " - ", "PURCHASES @ COST-COMPUTER HARD")</f>
        <v xml:space="preserve">          5082 - PURCHASES @ COST-COMPUTER HARD</v>
      </c>
      <c r="C41" s="11"/>
      <c r="D41" s="2">
        <v>98264.71</v>
      </c>
      <c r="E41" s="2"/>
      <c r="F41" s="19">
        <f t="shared" si="10"/>
        <v>0.76061098609888655</v>
      </c>
      <c r="G41" s="2"/>
      <c r="H41" s="2">
        <v>159135.18</v>
      </c>
      <c r="I41" s="2"/>
      <c r="J41" s="19">
        <f t="shared" si="11"/>
        <v>0.73973609485048286</v>
      </c>
      <c r="K41" s="2"/>
      <c r="L41" s="2">
        <f t="shared" si="12"/>
        <v>-60870.469999999987</v>
      </c>
      <c r="M41" s="2"/>
      <c r="N41" s="19">
        <f t="shared" si="13"/>
        <v>-0.38250794073315525</v>
      </c>
      <c r="O41" s="11"/>
      <c r="P41" s="2">
        <v>1079201.53</v>
      </c>
      <c r="Q41" s="2"/>
      <c r="R41" s="19">
        <f t="shared" si="14"/>
        <v>0.76836854052753478</v>
      </c>
      <c r="S41" s="2"/>
      <c r="T41" s="2">
        <v>1167313.1600000001</v>
      </c>
      <c r="U41" s="2"/>
      <c r="V41" s="19">
        <f t="shared" si="15"/>
        <v>0.64904601208952317</v>
      </c>
      <c r="W41" s="2"/>
      <c r="X41" s="2">
        <f t="shared" si="16"/>
        <v>-88111.630000000121</v>
      </c>
      <c r="Y41" s="2"/>
      <c r="Z41" s="19">
        <f t="shared" si="17"/>
        <v>-7.5482426669463837E-2</v>
      </c>
    </row>
    <row r="42" spans="1:26" s="24" customFormat="1" hidden="1" outlineLevel="1" x14ac:dyDescent="0.25">
      <c r="A42" s="44"/>
      <c r="B42" s="11" t="str">
        <f>CONCATENATE("          ", "5083", " - ", "PURCHASES @ COST-COMPUTER EQUI")</f>
        <v xml:space="preserve">          5083 - PURCHASES @ COST-COMPUTER EQUI</v>
      </c>
      <c r="C42" s="11"/>
      <c r="D42" s="2">
        <v>8829.83</v>
      </c>
      <c r="E42" s="2"/>
      <c r="F42" s="19">
        <f t="shared" si="10"/>
        <v>6.8346669963057244E-2</v>
      </c>
      <c r="G42" s="2"/>
      <c r="H42" s="2">
        <v>10446.64</v>
      </c>
      <c r="I42" s="2"/>
      <c r="J42" s="19">
        <f t="shared" si="11"/>
        <v>4.8560957281154601E-2</v>
      </c>
      <c r="K42" s="2"/>
      <c r="L42" s="2">
        <f t="shared" si="12"/>
        <v>-1616.8099999999995</v>
      </c>
      <c r="M42" s="2"/>
      <c r="N42" s="19">
        <f t="shared" si="13"/>
        <v>-0.15476842314849557</v>
      </c>
      <c r="O42" s="11"/>
      <c r="P42" s="2">
        <v>90556.67</v>
      </c>
      <c r="Q42" s="2"/>
      <c r="R42" s="19">
        <f t="shared" si="14"/>
        <v>6.4474423384975735E-2</v>
      </c>
      <c r="S42" s="2"/>
      <c r="T42" s="2">
        <v>64898.07</v>
      </c>
      <c r="U42" s="2"/>
      <c r="V42" s="19">
        <f t="shared" si="15"/>
        <v>3.6084433011794981E-2</v>
      </c>
      <c r="W42" s="2"/>
      <c r="X42" s="2">
        <f t="shared" si="16"/>
        <v>25658.6</v>
      </c>
      <c r="Y42" s="2"/>
      <c r="Z42" s="19">
        <f t="shared" si="17"/>
        <v>0.39536768967089464</v>
      </c>
    </row>
    <row r="43" spans="1:26" s="24" customFormat="1" hidden="1" outlineLevel="1" x14ac:dyDescent="0.25">
      <c r="A43" s="44"/>
      <c r="B43" s="11" t="str">
        <f>CONCATENATE("          ", "5084", " - ", "PURCHASES @ COST-SOFTWARE LICE")</f>
        <v xml:space="preserve">          5084 - PURCHASES @ COST-SOFTWARE LICE</v>
      </c>
      <c r="C43" s="11"/>
      <c r="D43" s="2"/>
      <c r="E43" s="2"/>
      <c r="F43" s="19">
        <f t="shared" si="10"/>
        <v>0</v>
      </c>
      <c r="G43" s="2"/>
      <c r="H43" s="2"/>
      <c r="I43" s="2"/>
      <c r="J43" s="19">
        <f t="shared" si="11"/>
        <v>0</v>
      </c>
      <c r="K43" s="2"/>
      <c r="L43" s="2">
        <f t="shared" si="12"/>
        <v>0</v>
      </c>
      <c r="M43" s="2"/>
      <c r="N43" s="19">
        <f t="shared" si="13"/>
        <v>0</v>
      </c>
      <c r="O43" s="11"/>
      <c r="P43" s="2"/>
      <c r="Q43" s="2"/>
      <c r="R43" s="19">
        <f t="shared" si="14"/>
        <v>0</v>
      </c>
      <c r="S43" s="2"/>
      <c r="T43" s="2">
        <v>2728</v>
      </c>
      <c r="U43" s="2"/>
      <c r="V43" s="19">
        <f t="shared" si="15"/>
        <v>1.5168144947326895E-3</v>
      </c>
      <c r="W43" s="2"/>
      <c r="X43" s="2">
        <f t="shared" si="16"/>
        <v>-2728</v>
      </c>
      <c r="Y43" s="2"/>
      <c r="Z43" s="19">
        <f t="shared" si="17"/>
        <v>-1</v>
      </c>
    </row>
    <row r="44" spans="1:26" s="24" customFormat="1" hidden="1" outlineLevel="1" x14ac:dyDescent="0.25">
      <c r="A44" s="44"/>
      <c r="B44" s="11" t="str">
        <f>CONCATENATE("          ", "5085", " - ", "PURCHASES @ COST-SOFTWARE")</f>
        <v xml:space="preserve">          5085 - PURCHASES @ COST-SOFTWARE</v>
      </c>
      <c r="C44" s="11"/>
      <c r="D44" s="2">
        <v>4174.1400000000003</v>
      </c>
      <c r="E44" s="2"/>
      <c r="F44" s="19">
        <f t="shared" si="10"/>
        <v>3.2309633249971492E-2</v>
      </c>
      <c r="G44" s="2"/>
      <c r="H44" s="2"/>
      <c r="I44" s="2"/>
      <c r="J44" s="19">
        <f t="shared" si="11"/>
        <v>0</v>
      </c>
      <c r="K44" s="2"/>
      <c r="L44" s="2">
        <f t="shared" si="12"/>
        <v>4174.1400000000003</v>
      </c>
      <c r="M44" s="2"/>
      <c r="N44" s="19">
        <f t="shared" si="13"/>
        <v>0</v>
      </c>
      <c r="O44" s="11"/>
      <c r="P44" s="2">
        <v>28746.22</v>
      </c>
      <c r="Q44" s="2"/>
      <c r="R44" s="19">
        <f t="shared" si="14"/>
        <v>2.0466697361968558E-2</v>
      </c>
      <c r="S44" s="2"/>
      <c r="T44" s="2">
        <v>7860.66</v>
      </c>
      <c r="U44" s="2"/>
      <c r="V44" s="19">
        <f t="shared" si="15"/>
        <v>4.3706609333451106E-3</v>
      </c>
      <c r="W44" s="2"/>
      <c r="X44" s="2">
        <f t="shared" si="16"/>
        <v>20885.560000000001</v>
      </c>
      <c r="Y44" s="2"/>
      <c r="Z44" s="19">
        <f t="shared" si="17"/>
        <v>2.6569728241648924</v>
      </c>
    </row>
    <row r="45" spans="1:26" s="24" customFormat="1" hidden="1" outlineLevel="1" x14ac:dyDescent="0.25">
      <c r="A45" s="44"/>
      <c r="B45" s="11" t="str">
        <f>CONCATENATE("          ", "5086", " - ", "PURCHASES @ COST-COMPUTER SUPP")</f>
        <v xml:space="preserve">          5086 - PURCHASES @ COST-COMPUTER SUPP</v>
      </c>
      <c r="C45" s="11"/>
      <c r="D45" s="2">
        <v>21.24</v>
      </c>
      <c r="E45" s="2"/>
      <c r="F45" s="19">
        <f t="shared" si="10"/>
        <v>1.644067065861218E-4</v>
      </c>
      <c r="G45" s="2"/>
      <c r="H45" s="2">
        <v>4327.1400000000003</v>
      </c>
      <c r="I45" s="2"/>
      <c r="J45" s="19">
        <f t="shared" si="11"/>
        <v>2.0114607250711746E-2</v>
      </c>
      <c r="K45" s="2"/>
      <c r="L45" s="2">
        <f t="shared" si="12"/>
        <v>-4305.9000000000005</v>
      </c>
      <c r="M45" s="2"/>
      <c r="N45" s="19">
        <f t="shared" si="13"/>
        <v>-0.99509144608216982</v>
      </c>
      <c r="O45" s="11"/>
      <c r="P45" s="2">
        <v>22739.85</v>
      </c>
      <c r="Q45" s="2"/>
      <c r="R45" s="19">
        <f t="shared" si="14"/>
        <v>1.6190289645266774E-2</v>
      </c>
      <c r="S45" s="2"/>
      <c r="T45" s="2">
        <v>24931.52</v>
      </c>
      <c r="U45" s="2"/>
      <c r="V45" s="19">
        <f t="shared" si="15"/>
        <v>1.3862350040952326E-2</v>
      </c>
      <c r="W45" s="2"/>
      <c r="X45" s="2">
        <f t="shared" si="16"/>
        <v>-2191.6700000000019</v>
      </c>
      <c r="Y45" s="2"/>
      <c r="Z45" s="19">
        <f t="shared" si="17"/>
        <v>-8.7907596488300821E-2</v>
      </c>
    </row>
    <row r="46" spans="1:26" s="24" customFormat="1" hidden="1" outlineLevel="1" x14ac:dyDescent="0.25">
      <c r="A46" s="44"/>
      <c r="B46" s="11" t="str">
        <f>CONCATENATE("          ", "5088", " - ", "PURCHASES @ COST-MUSIC")</f>
        <v xml:space="preserve">          5088 - PURCHASES @ COST-MUSIC</v>
      </c>
      <c r="C46" s="11"/>
      <c r="D46" s="2"/>
      <c r="E46" s="2"/>
      <c r="F46" s="19">
        <f t="shared" si="10"/>
        <v>0</v>
      </c>
      <c r="G46" s="2"/>
      <c r="H46" s="2"/>
      <c r="I46" s="2"/>
      <c r="J46" s="19">
        <f t="shared" si="11"/>
        <v>0</v>
      </c>
      <c r="K46" s="2"/>
      <c r="L46" s="2">
        <f t="shared" si="12"/>
        <v>0</v>
      </c>
      <c r="M46" s="2"/>
      <c r="N46" s="19">
        <f t="shared" si="13"/>
        <v>0</v>
      </c>
      <c r="O46" s="11"/>
      <c r="P46" s="2"/>
      <c r="Q46" s="2"/>
      <c r="R46" s="19">
        <f t="shared" si="14"/>
        <v>0</v>
      </c>
      <c r="S46" s="2"/>
      <c r="T46" s="2">
        <v>88.75</v>
      </c>
      <c r="U46" s="2"/>
      <c r="V46" s="19">
        <f t="shared" si="15"/>
        <v>4.9346512612729545E-5</v>
      </c>
      <c r="W46" s="2"/>
      <c r="X46" s="2">
        <f t="shared" si="16"/>
        <v>-88.75</v>
      </c>
      <c r="Y46" s="2"/>
      <c r="Z46" s="19">
        <f t="shared" si="17"/>
        <v>-1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-111613.24</v>
      </c>
      <c r="E47" s="2"/>
      <c r="F47" s="19">
        <f t="shared" si="10"/>
        <v>-0.86393433144097909</v>
      </c>
      <c r="G47" s="2"/>
      <c r="H47" s="2">
        <v>-206288</v>
      </c>
      <c r="I47" s="2"/>
      <c r="J47" s="19">
        <f t="shared" si="11"/>
        <v>-0.95892485580194409</v>
      </c>
      <c r="K47" s="2"/>
      <c r="L47" s="2">
        <f t="shared" si="12"/>
        <v>94674.76</v>
      </c>
      <c r="M47" s="2"/>
      <c r="N47" s="19">
        <f t="shared" si="13"/>
        <v>-0.45894458233149771</v>
      </c>
      <c r="O47" s="11"/>
      <c r="P47" s="2">
        <v>-1243263.78</v>
      </c>
      <c r="Q47" s="2"/>
      <c r="R47" s="19">
        <f t="shared" si="14"/>
        <v>-0.88517737380278372</v>
      </c>
      <c r="S47" s="2"/>
      <c r="T47" s="2">
        <v>-1487929</v>
      </c>
      <c r="U47" s="2"/>
      <c r="V47" s="19">
        <f t="shared" si="15"/>
        <v>-0.82731388355319502</v>
      </c>
      <c r="W47" s="2"/>
      <c r="X47" s="2">
        <f t="shared" si="16"/>
        <v>244665.21999999997</v>
      </c>
      <c r="Y47" s="2"/>
      <c r="Z47" s="19">
        <f t="shared" si="17"/>
        <v>-0.16443339702364829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110569</v>
      </c>
      <c r="E48" s="2"/>
      <c r="F48" s="19">
        <f t="shared" si="10"/>
        <v>0.85585146612621954</v>
      </c>
      <c r="G48" s="2"/>
      <c r="H48" s="2">
        <v>181262</v>
      </c>
      <c r="I48" s="2"/>
      <c r="J48" s="19">
        <f t="shared" si="11"/>
        <v>0.84259209072932983</v>
      </c>
      <c r="K48" s="2"/>
      <c r="L48" s="2">
        <f t="shared" si="12"/>
        <v>-70693</v>
      </c>
      <c r="M48" s="2"/>
      <c r="N48" s="19">
        <f t="shared" si="13"/>
        <v>-0.39000452383842171</v>
      </c>
      <c r="O48" s="11"/>
      <c r="P48" s="2">
        <v>1322590</v>
      </c>
      <c r="Q48" s="2"/>
      <c r="R48" s="19">
        <f t="shared" si="14"/>
        <v>0.94165595559924031</v>
      </c>
      <c r="S48" s="2"/>
      <c r="T48" s="2">
        <v>1588307</v>
      </c>
      <c r="U48" s="2"/>
      <c r="V48" s="19">
        <f t="shared" si="15"/>
        <v>0.88312576234801832</v>
      </c>
      <c r="W48" s="2"/>
      <c r="X48" s="2">
        <f t="shared" si="16"/>
        <v>-265717</v>
      </c>
      <c r="Y48" s="2"/>
      <c r="Z48" s="19">
        <f t="shared" si="17"/>
        <v>-0.1672957432032976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10"/>
        <v>0</v>
      </c>
      <c r="G49" s="2"/>
      <c r="H49" s="2"/>
      <c r="I49" s="2"/>
      <c r="J49" s="19">
        <f t="shared" si="11"/>
        <v>0</v>
      </c>
      <c r="K49" s="2"/>
      <c r="L49" s="2">
        <f t="shared" si="12"/>
        <v>0</v>
      </c>
      <c r="M49" s="2"/>
      <c r="N49" s="19">
        <f t="shared" si="13"/>
        <v>0</v>
      </c>
      <c r="O49" s="11"/>
      <c r="P49" s="2">
        <v>31</v>
      </c>
      <c r="Q49" s="2"/>
      <c r="R49" s="19">
        <f t="shared" si="14"/>
        <v>2.2071340796147293E-5</v>
      </c>
      <c r="S49" s="2"/>
      <c r="T49" s="2">
        <v>105.75</v>
      </c>
      <c r="U49" s="2"/>
      <c r="V49" s="19">
        <f t="shared" si="15"/>
        <v>5.8798802352632666E-5</v>
      </c>
      <c r="W49" s="2"/>
      <c r="X49" s="2">
        <f t="shared" si="16"/>
        <v>-74.75</v>
      </c>
      <c r="Y49" s="2"/>
      <c r="Z49" s="19">
        <f t="shared" si="17"/>
        <v>-0.70685579196217496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10"/>
        <v>0</v>
      </c>
      <c r="G50" s="2"/>
      <c r="H50" s="2"/>
      <c r="I50" s="2"/>
      <c r="J50" s="19">
        <f t="shared" si="11"/>
        <v>0</v>
      </c>
      <c r="K50" s="2"/>
      <c r="L50" s="2">
        <f t="shared" si="12"/>
        <v>0</v>
      </c>
      <c r="M50" s="2"/>
      <c r="N50" s="19">
        <f t="shared" si="13"/>
        <v>0</v>
      </c>
      <c r="O50" s="11"/>
      <c r="P50" s="2">
        <v>94</v>
      </c>
      <c r="Q50" s="2"/>
      <c r="R50" s="19">
        <f t="shared" si="14"/>
        <v>6.6926001123801467E-5</v>
      </c>
      <c r="S50" s="2"/>
      <c r="T50" s="2">
        <v>4.84</v>
      </c>
      <c r="U50" s="2"/>
      <c r="V50" s="19">
        <f t="shared" si="15"/>
        <v>2.6911224906547717E-6</v>
      </c>
      <c r="W50" s="2"/>
      <c r="X50" s="2">
        <f t="shared" si="16"/>
        <v>89.16</v>
      </c>
      <c r="Y50" s="2"/>
      <c r="Z50" s="19">
        <f t="shared" si="17"/>
        <v>18.421487603305785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>
        <v>10.06</v>
      </c>
      <c r="E51" s="2"/>
      <c r="F51" s="19">
        <f t="shared" si="10"/>
        <v>7.7868713194745076E-5</v>
      </c>
      <c r="G51" s="2"/>
      <c r="H51" s="2"/>
      <c r="I51" s="2"/>
      <c r="J51" s="19">
        <f t="shared" si="11"/>
        <v>0</v>
      </c>
      <c r="K51" s="2"/>
      <c r="L51" s="2">
        <f t="shared" si="12"/>
        <v>10.06</v>
      </c>
      <c r="M51" s="2"/>
      <c r="N51" s="19">
        <f t="shared" si="13"/>
        <v>0</v>
      </c>
      <c r="O51" s="11"/>
      <c r="P51" s="2">
        <v>242.46</v>
      </c>
      <c r="Q51" s="2"/>
      <c r="R51" s="19">
        <f t="shared" si="14"/>
        <v>1.7262636417528622E-4</v>
      </c>
      <c r="S51" s="2"/>
      <c r="T51" s="2">
        <v>49.12</v>
      </c>
      <c r="U51" s="2"/>
      <c r="V51" s="19">
        <f t="shared" si="15"/>
        <v>2.731155717788479E-5</v>
      </c>
      <c r="W51" s="2"/>
      <c r="X51" s="2">
        <f t="shared" si="16"/>
        <v>193.34</v>
      </c>
      <c r="Y51" s="2"/>
      <c r="Z51" s="19">
        <f t="shared" si="17"/>
        <v>3.9360749185667756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/>
      <c r="E52" s="2"/>
      <c r="F52" s="19">
        <f t="shared" si="10"/>
        <v>0</v>
      </c>
      <c r="G52" s="2"/>
      <c r="H52" s="2">
        <v>33.31</v>
      </c>
      <c r="I52" s="2"/>
      <c r="J52" s="19">
        <f t="shared" si="11"/>
        <v>1.5484074181126755E-4</v>
      </c>
      <c r="K52" s="2"/>
      <c r="L52" s="2">
        <f t="shared" si="12"/>
        <v>-33.31</v>
      </c>
      <c r="M52" s="2"/>
      <c r="N52" s="19">
        <f t="shared" si="13"/>
        <v>-1</v>
      </c>
      <c r="O52" s="11"/>
      <c r="P52" s="2">
        <v>24.12</v>
      </c>
      <c r="Q52" s="2"/>
      <c r="R52" s="19">
        <f t="shared" si="14"/>
        <v>1.7172927096873315E-5</v>
      </c>
      <c r="S52" s="2"/>
      <c r="T52" s="2">
        <v>195.82</v>
      </c>
      <c r="U52" s="2"/>
      <c r="V52" s="19">
        <f t="shared" si="15"/>
        <v>1.0887925746281351E-4</v>
      </c>
      <c r="W52" s="2"/>
      <c r="X52" s="2">
        <f t="shared" si="16"/>
        <v>-171.7</v>
      </c>
      <c r="Y52" s="2"/>
      <c r="Z52" s="19">
        <f t="shared" si="17"/>
        <v>-0.87682565621489117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0">
        <f>D12-D39</f>
        <v>18622.810000000012</v>
      </c>
      <c r="E54" s="14"/>
      <c r="F54" s="22">
        <f>IF(D$12=0,0,D54/D$12)</f>
        <v>0.14414853387378046</v>
      </c>
      <c r="G54" s="14"/>
      <c r="H54" s="20">
        <f>H12-H39</f>
        <v>33861.830000000075</v>
      </c>
      <c r="I54" s="14"/>
      <c r="J54" s="22">
        <f>IF(H$12=0,0,H54/H$12)</f>
        <v>0.15740591042590948</v>
      </c>
      <c r="K54" s="15"/>
      <c r="L54" s="20">
        <f>+D54-H54</f>
        <v>-15239.020000000062</v>
      </c>
      <c r="M54" s="15"/>
      <c r="N54" s="22">
        <f>IF(H54=0,0,L54/H54)</f>
        <v>-0.4500353347707442</v>
      </c>
      <c r="O54" s="29"/>
      <c r="P54" s="20">
        <f>P12-P39</f>
        <v>78000.489999999991</v>
      </c>
      <c r="Q54" s="14"/>
      <c r="R54" s="22">
        <f>IF(P$12=0,0,P54/P$12)</f>
        <v>5.5534690227628351E-2</v>
      </c>
      <c r="S54" s="14"/>
      <c r="T54" s="20">
        <f>T12-T39</f>
        <v>210196.73999999929</v>
      </c>
      <c r="U54" s="14"/>
      <c r="V54" s="22">
        <f>IF(T$12=0,0,T54/T$12)</f>
        <v>0.11687296993312223</v>
      </c>
      <c r="W54" s="15"/>
      <c r="X54" s="20">
        <f>+P54-T54</f>
        <v>-132196.2499999993</v>
      </c>
      <c r="Y54" s="15"/>
      <c r="Z54" s="22">
        <f>IF(T54=0,0,X54/T54)</f>
        <v>-0.62891674723404245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1">
        <f>SUM(OSRRefD22x_0)</f>
        <v>14258.260000000002</v>
      </c>
      <c r="E56" s="21"/>
      <c r="F56" s="35">
        <f t="shared" ref="F56:F66" si="18">IF(D$12=0,0,D56/D$12)</f>
        <v>0.11036504558609404</v>
      </c>
      <c r="G56" s="21"/>
      <c r="H56" s="21">
        <f>SUM(OSRRefH22x_0)</f>
        <v>17632.02</v>
      </c>
      <c r="I56" s="21"/>
      <c r="J56" s="35">
        <f t="shared" ref="J56:J66" si="19">IF(H$12=0,0,H56/H$12)</f>
        <v>8.1962025110510525E-2</v>
      </c>
      <c r="K56" s="4"/>
      <c r="L56" s="21">
        <f t="shared" ref="L56:L66" si="20">+D56-H56</f>
        <v>-3373.7599999999984</v>
      </c>
      <c r="M56" s="4"/>
      <c r="N56" s="35">
        <f t="shared" ref="N56:N66" si="21">IF(H56=0,0,L56/H56)</f>
        <v>-0.19134279566379792</v>
      </c>
      <c r="O56" s="10"/>
      <c r="P56" s="21">
        <f>SUM(OSRRefP22x_0)</f>
        <v>94484.689999999988</v>
      </c>
      <c r="Q56" s="21"/>
      <c r="R56" s="35">
        <f t="shared" ref="R56:R66" si="22">IF(P$12=0,0,P56/P$12)</f>
        <v>6.7271090097042907E-2</v>
      </c>
      <c r="S56" s="21"/>
      <c r="T56" s="21">
        <f>SUM(OSRRefT22x_0)</f>
        <v>146065.96</v>
      </c>
      <c r="U56" s="21"/>
      <c r="V56" s="35">
        <f t="shared" ref="V56:V66" si="23">IF(T$12=0,0,T56/T$12)</f>
        <v>8.1215163238652938E-2</v>
      </c>
      <c r="W56" s="4"/>
      <c r="X56" s="21">
        <f t="shared" ref="X56:X66" si="24">+P56-T56</f>
        <v>-51581.270000000004</v>
      </c>
      <c r="Y56" s="4"/>
      <c r="Z56" s="35">
        <f t="shared" ref="Z56:Z66" si="25">IF(T56=0,0,X56/T56)</f>
        <v>-0.35313682941597074</v>
      </c>
    </row>
    <row r="57" spans="1:26" s="26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2747.9300000000003</v>
      </c>
      <c r="E57" s="1"/>
      <c r="F57" s="5">
        <f t="shared" si="18"/>
        <v>2.1270156366723247E-2</v>
      </c>
      <c r="G57" s="1"/>
      <c r="H57" s="1">
        <f>SUM(OSRRefH22_0x_0)</f>
        <v>3177.6899999999996</v>
      </c>
      <c r="I57" s="1"/>
      <c r="J57" s="5">
        <f t="shared" si="19"/>
        <v>1.4771416296795157E-2</v>
      </c>
      <c r="K57" s="1"/>
      <c r="L57" s="1">
        <f t="shared" si="20"/>
        <v>-429.75999999999931</v>
      </c>
      <c r="M57" s="1"/>
      <c r="N57" s="5">
        <f t="shared" si="21"/>
        <v>-0.13524289656952043</v>
      </c>
      <c r="O57" s="13"/>
      <c r="P57" s="1">
        <f>SUM(OSRRefP22_0x_0)</f>
        <v>20566.809999999998</v>
      </c>
      <c r="Q57" s="1"/>
      <c r="R57" s="5">
        <f t="shared" si="22"/>
        <v>1.4643131374180969E-2</v>
      </c>
      <c r="S57" s="1"/>
      <c r="T57" s="1">
        <f>SUM(OSRRefT22_0x_0)</f>
        <v>21398.9</v>
      </c>
      <c r="U57" s="1"/>
      <c r="V57" s="5">
        <f t="shared" si="23"/>
        <v>1.1898153112659586E-2</v>
      </c>
      <c r="W57" s="1"/>
      <c r="X57" s="1">
        <f t="shared" si="24"/>
        <v>-832.09000000000378</v>
      </c>
      <c r="Y57" s="1"/>
      <c r="Z57" s="5">
        <f t="shared" si="25"/>
        <v>-3.8884709027099701E-2</v>
      </c>
    </row>
    <row r="58" spans="1:26" s="24" customFormat="1" hidden="1" outlineLevel="2" x14ac:dyDescent="0.25">
      <c r="A58" s="25"/>
      <c r="B58" s="11" t="str">
        <f>CONCATENATE("          ", "6111", " - ", "F.I.C.A.")</f>
        <v xml:space="preserve">          6111 - F.I.C.A.</v>
      </c>
      <c r="C58" s="11"/>
      <c r="D58" s="6">
        <v>449.24</v>
      </c>
      <c r="E58" s="2"/>
      <c r="F58" s="7">
        <f t="shared" si="18"/>
        <v>3.4773102102989345E-3</v>
      </c>
      <c r="G58" s="2"/>
      <c r="H58" s="6">
        <v>597.77</v>
      </c>
      <c r="I58" s="2"/>
      <c r="J58" s="7">
        <f t="shared" si="19"/>
        <v>2.7787196107031341E-3</v>
      </c>
      <c r="K58" s="2"/>
      <c r="L58" s="6">
        <f t="shared" si="20"/>
        <v>-148.52999999999997</v>
      </c>
      <c r="M58" s="2"/>
      <c r="N58" s="7">
        <f t="shared" si="21"/>
        <v>-0.24847349314953909</v>
      </c>
      <c r="O58" s="11"/>
      <c r="P58" s="6">
        <v>3839.6</v>
      </c>
      <c r="Q58" s="2"/>
      <c r="R58" s="7">
        <f t="shared" si="22"/>
        <v>2.7337135522866821E-3</v>
      </c>
      <c r="S58" s="2"/>
      <c r="T58" s="6">
        <v>4825.51</v>
      </c>
      <c r="U58" s="2"/>
      <c r="V58" s="7">
        <f t="shared" si="23"/>
        <v>2.6830658036941131E-3</v>
      </c>
      <c r="W58" s="2"/>
      <c r="X58" s="6">
        <f t="shared" si="24"/>
        <v>-985.91000000000031</v>
      </c>
      <c r="Y58" s="2"/>
      <c r="Z58" s="7">
        <f t="shared" si="25"/>
        <v>-0.20431208307515689</v>
      </c>
    </row>
    <row r="59" spans="1:26" s="24" customFormat="1" hidden="1" outlineLevel="2" x14ac:dyDescent="0.25">
      <c r="A59" s="25"/>
      <c r="B59" s="11" t="str">
        <f>CONCATENATE("          ", "6112", " - ", "COMPENSATION INSURANCE")</f>
        <v xml:space="preserve">          6112 - COMPENSATION INSURANCE</v>
      </c>
      <c r="C59" s="11"/>
      <c r="D59" s="6">
        <v>46.19</v>
      </c>
      <c r="E59" s="2"/>
      <c r="F59" s="7">
        <f t="shared" si="18"/>
        <v>3.5753040382358595E-4</v>
      </c>
      <c r="G59" s="2"/>
      <c r="H59" s="6">
        <v>192.57</v>
      </c>
      <c r="I59" s="2"/>
      <c r="J59" s="7">
        <f t="shared" si="19"/>
        <v>8.9515705945949532E-4</v>
      </c>
      <c r="K59" s="2"/>
      <c r="L59" s="6">
        <f t="shared" si="20"/>
        <v>-146.38</v>
      </c>
      <c r="M59" s="2"/>
      <c r="N59" s="7">
        <f t="shared" si="21"/>
        <v>-0.76013917017188559</v>
      </c>
      <c r="O59" s="11"/>
      <c r="P59" s="6">
        <v>1028.72</v>
      </c>
      <c r="Q59" s="2"/>
      <c r="R59" s="7">
        <f t="shared" si="22"/>
        <v>7.3242676463911754E-4</v>
      </c>
      <c r="S59" s="2"/>
      <c r="T59" s="6">
        <v>1153.18</v>
      </c>
      <c r="U59" s="2"/>
      <c r="V59" s="7">
        <f t="shared" si="23"/>
        <v>6.4118773425067555E-4</v>
      </c>
      <c r="W59" s="2"/>
      <c r="X59" s="6">
        <f t="shared" si="24"/>
        <v>-124.46000000000004</v>
      </c>
      <c r="Y59" s="2"/>
      <c r="Z59" s="7">
        <f t="shared" si="25"/>
        <v>-0.10792764355954841</v>
      </c>
    </row>
    <row r="60" spans="1:26" s="24" customFormat="1" hidden="1" outlineLevel="2" x14ac:dyDescent="0.25">
      <c r="A60" s="25"/>
      <c r="B60" s="11" t="str">
        <f>CONCATENATE("          ", "6113", " - ", "GROUP INSURANCE")</f>
        <v xml:space="preserve">          6113 - GROUP INSURANCE</v>
      </c>
      <c r="C60" s="11"/>
      <c r="D60" s="6">
        <v>1053.8499999999999</v>
      </c>
      <c r="E60" s="2"/>
      <c r="F60" s="7">
        <f t="shared" si="18"/>
        <v>8.1572508350181011E-3</v>
      </c>
      <c r="G60" s="2"/>
      <c r="H60" s="6">
        <v>1376.77</v>
      </c>
      <c r="I60" s="2"/>
      <c r="J60" s="7">
        <f t="shared" si="19"/>
        <v>6.3998825608975922E-3</v>
      </c>
      <c r="K60" s="2"/>
      <c r="L60" s="6">
        <f t="shared" si="20"/>
        <v>-322.92000000000007</v>
      </c>
      <c r="M60" s="2"/>
      <c r="N60" s="7">
        <f t="shared" si="21"/>
        <v>-0.23454898058499246</v>
      </c>
      <c r="O60" s="11"/>
      <c r="P60" s="6">
        <v>7268.63</v>
      </c>
      <c r="Q60" s="2"/>
      <c r="R60" s="7">
        <f t="shared" si="22"/>
        <v>5.1751099951967781E-3</v>
      </c>
      <c r="S60" s="2"/>
      <c r="T60" s="6">
        <v>7811.59</v>
      </c>
      <c r="U60" s="2"/>
      <c r="V60" s="7">
        <f t="shared" si="23"/>
        <v>4.3433771770194024E-3</v>
      </c>
      <c r="W60" s="2"/>
      <c r="X60" s="6">
        <f t="shared" si="24"/>
        <v>-542.96</v>
      </c>
      <c r="Y60" s="2"/>
      <c r="Z60" s="7">
        <f t="shared" si="25"/>
        <v>-6.9506976172584584E-2</v>
      </c>
    </row>
    <row r="61" spans="1:26" s="24" customFormat="1" hidden="1" outlineLevel="2" x14ac:dyDescent="0.25">
      <c r="A61" s="25"/>
      <c r="B61" s="11" t="str">
        <f>CONCATENATE("          ", "6114", " - ", "STATE UNEMPLOYMENT INSURANCE")</f>
        <v xml:space="preserve">          6114 - STATE UNEMPLOYMENT INSURANCE</v>
      </c>
      <c r="C61" s="11"/>
      <c r="D61" s="6">
        <v>42.59</v>
      </c>
      <c r="E61" s="2"/>
      <c r="F61" s="7">
        <f t="shared" si="18"/>
        <v>3.2966486033441284E-4</v>
      </c>
      <c r="G61" s="2"/>
      <c r="H61" s="6">
        <v>26.35</v>
      </c>
      <c r="I61" s="2"/>
      <c r="J61" s="7">
        <f t="shared" si="19"/>
        <v>1.2248734754508856E-4</v>
      </c>
      <c r="K61" s="2"/>
      <c r="L61" s="6">
        <f t="shared" si="20"/>
        <v>16.240000000000002</v>
      </c>
      <c r="M61" s="2"/>
      <c r="N61" s="7">
        <f t="shared" si="21"/>
        <v>0.61631878557874764</v>
      </c>
      <c r="O61" s="11"/>
      <c r="P61" s="6">
        <v>159.28</v>
      </c>
      <c r="Q61" s="2"/>
      <c r="R61" s="7">
        <f t="shared" si="22"/>
        <v>1.1340397296807552E-4</v>
      </c>
      <c r="S61" s="2"/>
      <c r="T61" s="6">
        <v>186.25</v>
      </c>
      <c r="U61" s="2"/>
      <c r="V61" s="7">
        <f t="shared" si="23"/>
        <v>1.0355817435629157E-4</v>
      </c>
      <c r="W61" s="2"/>
      <c r="X61" s="6">
        <f t="shared" si="24"/>
        <v>-26.97</v>
      </c>
      <c r="Y61" s="2"/>
      <c r="Z61" s="7">
        <f t="shared" si="25"/>
        <v>-0.14480536912751676</v>
      </c>
    </row>
    <row r="62" spans="1:26" s="24" customFormat="1" hidden="1" outlineLevel="2" x14ac:dyDescent="0.25">
      <c r="A62" s="25"/>
      <c r="B62" s="11" t="str">
        <f>CONCATENATE("          ", "6115", " - ", "P.E.R.S.")</f>
        <v xml:space="preserve">          6115 - P.E.R.S.</v>
      </c>
      <c r="C62" s="11"/>
      <c r="D62" s="6">
        <v>264.63</v>
      </c>
      <c r="E62" s="2"/>
      <c r="F62" s="7">
        <f t="shared" si="18"/>
        <v>2.0483496593166391E-3</v>
      </c>
      <c r="G62" s="2"/>
      <c r="H62" s="6">
        <v>400.55</v>
      </c>
      <c r="I62" s="2"/>
      <c r="J62" s="7">
        <f t="shared" si="19"/>
        <v>1.8619471369709761E-3</v>
      </c>
      <c r="K62" s="2"/>
      <c r="L62" s="6">
        <f t="shared" si="20"/>
        <v>-135.92000000000002</v>
      </c>
      <c r="M62" s="2"/>
      <c r="N62" s="7">
        <f t="shared" si="21"/>
        <v>-0.3393334165522407</v>
      </c>
      <c r="O62" s="11"/>
      <c r="P62" s="6">
        <v>1411.36</v>
      </c>
      <c r="Q62" s="2"/>
      <c r="R62" s="7">
        <f t="shared" si="22"/>
        <v>1.0048583079371111E-3</v>
      </c>
      <c r="S62" s="2"/>
      <c r="T62" s="6">
        <v>1686.47</v>
      </c>
      <c r="U62" s="2"/>
      <c r="V62" s="7">
        <f t="shared" si="23"/>
        <v>9.3770606339143659E-4</v>
      </c>
      <c r="W62" s="2"/>
      <c r="X62" s="6">
        <f t="shared" si="24"/>
        <v>-275.11000000000013</v>
      </c>
      <c r="Y62" s="2"/>
      <c r="Z62" s="7">
        <f t="shared" si="25"/>
        <v>-0.16312771647286944</v>
      </c>
    </row>
    <row r="63" spans="1:26" s="24" customFormat="1" hidden="1" outlineLevel="2" x14ac:dyDescent="0.25">
      <c r="A63" s="25"/>
      <c r="B63" s="11" t="str">
        <f>CONCATENATE("          ", "6117", " - ", "RETIREMENT STAFF HOURLY")</f>
        <v xml:space="preserve">          6117 - RETIREMENT STAFF HOURLY</v>
      </c>
      <c r="C63" s="11"/>
      <c r="D63" s="6">
        <v>176</v>
      </c>
      <c r="E63" s="2"/>
      <c r="F63" s="7">
        <f t="shared" si="18"/>
        <v>1.3623154594706892E-3</v>
      </c>
      <c r="G63" s="2"/>
      <c r="H63" s="6">
        <v>163.13</v>
      </c>
      <c r="I63" s="2"/>
      <c r="J63" s="7">
        <f t="shared" si="19"/>
        <v>7.5830592049450833E-4</v>
      </c>
      <c r="K63" s="2"/>
      <c r="L63" s="6">
        <f t="shared" si="20"/>
        <v>12.870000000000005</v>
      </c>
      <c r="M63" s="2"/>
      <c r="N63" s="7">
        <f t="shared" si="21"/>
        <v>7.8894133513149056E-2</v>
      </c>
      <c r="O63" s="11"/>
      <c r="P63" s="6">
        <v>1281.04</v>
      </c>
      <c r="Q63" s="2"/>
      <c r="R63" s="7">
        <f t="shared" si="22"/>
        <v>9.1207323914504926E-4</v>
      </c>
      <c r="S63" s="2"/>
      <c r="T63" s="6">
        <v>1195.3599999999999</v>
      </c>
      <c r="U63" s="2"/>
      <c r="V63" s="7">
        <f t="shared" si="23"/>
        <v>6.6464053314650566E-4</v>
      </c>
      <c r="W63" s="2"/>
      <c r="X63" s="6">
        <f t="shared" si="24"/>
        <v>85.680000000000064</v>
      </c>
      <c r="Y63" s="2"/>
      <c r="Z63" s="7">
        <f t="shared" si="25"/>
        <v>7.1677151653058546E-2</v>
      </c>
    </row>
    <row r="64" spans="1:26" s="24" customFormat="1" hidden="1" outlineLevel="2" x14ac:dyDescent="0.25">
      <c r="A64" s="25"/>
      <c r="B64" s="11" t="str">
        <f>CONCATENATE("          ", "6118", " - ", "VACATION")</f>
        <v xml:space="preserve">          6118 - VACATION</v>
      </c>
      <c r="C64" s="11"/>
      <c r="D64" s="6">
        <v>267.04000000000002</v>
      </c>
      <c r="E64" s="2"/>
      <c r="F64" s="7">
        <f t="shared" si="18"/>
        <v>2.0670040925968914E-3</v>
      </c>
      <c r="G64" s="2"/>
      <c r="H64" s="6">
        <v>67.989999999999995</v>
      </c>
      <c r="I64" s="2"/>
      <c r="J64" s="7">
        <f t="shared" si="19"/>
        <v>3.1604989599964215E-4</v>
      </c>
      <c r="K64" s="2"/>
      <c r="L64" s="6">
        <f t="shared" si="20"/>
        <v>199.05</v>
      </c>
      <c r="M64" s="2"/>
      <c r="N64" s="7">
        <f t="shared" si="21"/>
        <v>2.9276364171201652</v>
      </c>
      <c r="O64" s="11"/>
      <c r="P64" s="6">
        <v>1956.58</v>
      </c>
      <c r="Q64" s="2"/>
      <c r="R64" s="7">
        <f t="shared" si="22"/>
        <v>1.3930433540298669E-3</v>
      </c>
      <c r="S64" s="2"/>
      <c r="T64" s="6">
        <v>1599.08</v>
      </c>
      <c r="U64" s="2"/>
      <c r="V64" s="7">
        <f t="shared" si="23"/>
        <v>8.8911573395789923E-4</v>
      </c>
      <c r="W64" s="2"/>
      <c r="X64" s="6">
        <f t="shared" si="24"/>
        <v>357.5</v>
      </c>
      <c r="Y64" s="2"/>
      <c r="Z64" s="7">
        <f t="shared" si="25"/>
        <v>0.22356605047902545</v>
      </c>
    </row>
    <row r="65" spans="1:26" s="24" customFormat="1" hidden="1" outlineLevel="2" x14ac:dyDescent="0.25">
      <c r="A65" s="25"/>
      <c r="B65" s="11" t="str">
        <f>CONCATENATE("          ", "6119", " - ", "SICK LEAVE")</f>
        <v xml:space="preserve">          6119 - SICK LEAVE</v>
      </c>
      <c r="C65" s="11"/>
      <c r="D65" s="6">
        <v>267.63</v>
      </c>
      <c r="E65" s="2"/>
      <c r="F65" s="7">
        <f t="shared" si="18"/>
        <v>2.0715709455576166E-3</v>
      </c>
      <c r="G65" s="2"/>
      <c r="H65" s="6">
        <v>177.56</v>
      </c>
      <c r="I65" s="2"/>
      <c r="J65" s="7">
        <f t="shared" si="19"/>
        <v>8.2538343188257772E-4</v>
      </c>
      <c r="K65" s="2"/>
      <c r="L65" s="6">
        <f t="shared" si="20"/>
        <v>90.07</v>
      </c>
      <c r="M65" s="2"/>
      <c r="N65" s="7">
        <f t="shared" si="21"/>
        <v>0.50726514980851534</v>
      </c>
      <c r="O65" s="11"/>
      <c r="P65" s="6">
        <v>1951.92</v>
      </c>
      <c r="Q65" s="2"/>
      <c r="R65" s="7">
        <f t="shared" si="22"/>
        <v>1.3897255331230911E-3</v>
      </c>
      <c r="S65" s="2"/>
      <c r="T65" s="6">
        <v>1805.68</v>
      </c>
      <c r="U65" s="2"/>
      <c r="V65" s="7">
        <f t="shared" si="23"/>
        <v>1.0039888551498983E-3</v>
      </c>
      <c r="W65" s="2"/>
      <c r="X65" s="6">
        <f t="shared" si="24"/>
        <v>146.24</v>
      </c>
      <c r="Y65" s="2"/>
      <c r="Z65" s="7">
        <f t="shared" si="25"/>
        <v>8.0988879535687383E-2</v>
      </c>
    </row>
    <row r="66" spans="1:26" s="24" customFormat="1" hidden="1" outlineLevel="2" x14ac:dyDescent="0.25">
      <c r="A66" s="25"/>
      <c r="B66" s="11" t="str">
        <f>CONCATENATE("          ", "6156", " - ", "EMPLOYEE MEALS")</f>
        <v xml:space="preserve">          6156 - EMPLOYEE MEALS</v>
      </c>
      <c r="C66" s="11"/>
      <c r="D66" s="6">
        <v>180.76</v>
      </c>
      <c r="E66" s="2"/>
      <c r="F66" s="7">
        <f t="shared" si="18"/>
        <v>1.3991599003063738E-3</v>
      </c>
      <c r="G66" s="2"/>
      <c r="H66" s="6">
        <v>175</v>
      </c>
      <c r="I66" s="2"/>
      <c r="J66" s="7">
        <f t="shared" si="19"/>
        <v>8.1348333284214408E-4</v>
      </c>
      <c r="K66" s="2"/>
      <c r="L66" s="6">
        <f t="shared" si="20"/>
        <v>5.7599999999999909</v>
      </c>
      <c r="M66" s="2"/>
      <c r="N66" s="7">
        <f t="shared" si="21"/>
        <v>3.291428571428566E-2</v>
      </c>
      <c r="O66" s="11"/>
      <c r="P66" s="6">
        <v>1669.68</v>
      </c>
      <c r="Q66" s="2"/>
      <c r="R66" s="7">
        <f t="shared" si="22"/>
        <v>1.1887766548552006E-3</v>
      </c>
      <c r="S66" s="2"/>
      <c r="T66" s="6">
        <v>1135.78</v>
      </c>
      <c r="U66" s="2"/>
      <c r="V66" s="7">
        <f t="shared" si="23"/>
        <v>6.3151303769336286E-4</v>
      </c>
      <c r="W66" s="2"/>
      <c r="X66" s="6">
        <f t="shared" si="24"/>
        <v>533.90000000000009</v>
      </c>
      <c r="Y66" s="2"/>
      <c r="Z66" s="7">
        <f t="shared" si="25"/>
        <v>0.47007342971350097</v>
      </c>
    </row>
    <row r="67" spans="1:26" s="26" customFormat="1" outlineLevel="1" collapsed="1" x14ac:dyDescent="0.25">
      <c r="A67" s="27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9963.16</v>
      </c>
      <c r="E67" s="1"/>
      <c r="F67" s="5">
        <f t="shared" ref="F67:F72" si="26">IF(D$12=0,0,D67/D$12)</f>
        <v>7.7119130074886313E-2</v>
      </c>
      <c r="G67" s="1"/>
      <c r="H67" s="1">
        <f>SUM(OSRRefH22_1x_0)</f>
        <v>12027.429999999998</v>
      </c>
      <c r="I67" s="1"/>
      <c r="J67" s="5">
        <f t="shared" ref="J67:J72" si="27">IF(H$12=0,0,H67/H$12)</f>
        <v>5.59092219538605E-2</v>
      </c>
      <c r="K67" s="1"/>
      <c r="L67" s="1">
        <f t="shared" ref="L67:L72" si="28">+D67-H67</f>
        <v>-2064.2699999999986</v>
      </c>
      <c r="M67" s="1"/>
      <c r="N67" s="5">
        <f t="shared" ref="N67:N72" si="29">IF(H67=0,0,L67/H67)</f>
        <v>-0.17163018200895777</v>
      </c>
      <c r="O67" s="13"/>
      <c r="P67" s="1">
        <f>SUM(OSRRefP22_1x_0)</f>
        <v>57391.299999999996</v>
      </c>
      <c r="Q67" s="1"/>
      <c r="R67" s="5">
        <f t="shared" ref="R67:R72" si="30">IF(P$12=0,0,P67/P$12)</f>
        <v>4.0861385194642844E-2</v>
      </c>
      <c r="S67" s="1"/>
      <c r="T67" s="1">
        <f>SUM(OSRRefT22_1x_0)</f>
        <v>69315.930000000008</v>
      </c>
      <c r="U67" s="1"/>
      <c r="V67" s="5">
        <f t="shared" ref="V67:V72" si="31">IF(T$12=0,0,T67/T$12)</f>
        <v>3.854083846769666E-2</v>
      </c>
      <c r="W67" s="1"/>
      <c r="X67" s="1">
        <f t="shared" ref="X67:X72" si="32">+P67-T67</f>
        <v>-11924.630000000012</v>
      </c>
      <c r="Y67" s="1"/>
      <c r="Z67" s="5">
        <f t="shared" ref="Z67:Z72" si="33">IF(T67=0,0,X67/T67)</f>
        <v>-0.17203303771586143</v>
      </c>
    </row>
    <row r="68" spans="1:26" s="24" customFormat="1" hidden="1" outlineLevel="2" x14ac:dyDescent="0.25">
      <c r="A68" s="25"/>
      <c r="B68" s="11" t="str">
        <f>CONCATENATE("          ", "6002", " - ", "STAFF SALARIES")</f>
        <v xml:space="preserve">          6002 - STAFF SALARIES</v>
      </c>
      <c r="C68" s="11"/>
      <c r="D68" s="6">
        <v>2928.3</v>
      </c>
      <c r="E68" s="2"/>
      <c r="F68" s="7">
        <f t="shared" si="26"/>
        <v>2.2666297499818293E-2</v>
      </c>
      <c r="G68" s="2"/>
      <c r="H68" s="6">
        <v>4760.5600000000004</v>
      </c>
      <c r="I68" s="2"/>
      <c r="J68" s="7">
        <f t="shared" si="27"/>
        <v>2.2129349799971415E-2</v>
      </c>
      <c r="K68" s="2"/>
      <c r="L68" s="6">
        <f t="shared" si="28"/>
        <v>-1832.2600000000002</v>
      </c>
      <c r="M68" s="2"/>
      <c r="N68" s="7">
        <f t="shared" si="29"/>
        <v>-0.38488329104139007</v>
      </c>
      <c r="O68" s="11"/>
      <c r="P68" s="6">
        <v>16165.649999999998</v>
      </c>
      <c r="Q68" s="2"/>
      <c r="R68" s="7">
        <f t="shared" si="30"/>
        <v>1.1509599043265756E-2</v>
      </c>
      <c r="S68" s="2"/>
      <c r="T68" s="6">
        <v>23538.7</v>
      </c>
      <c r="U68" s="2"/>
      <c r="V68" s="7">
        <f t="shared" si="31"/>
        <v>1.3087918382391628E-2</v>
      </c>
      <c r="W68" s="2"/>
      <c r="X68" s="6">
        <f t="shared" si="32"/>
        <v>-7373.0500000000029</v>
      </c>
      <c r="Y68" s="2"/>
      <c r="Z68" s="7">
        <f t="shared" si="33"/>
        <v>-0.31323097707180103</v>
      </c>
    </row>
    <row r="69" spans="1:26" s="24" customFormat="1" hidden="1" outlineLevel="2" x14ac:dyDescent="0.25">
      <c r="A69" s="25"/>
      <c r="B69" s="11" t="str">
        <f>CONCATENATE("          ", "6004", " - ", "STAFF HOURLY")</f>
        <v xml:space="preserve">          6004 - STAFF HOURLY</v>
      </c>
      <c r="C69" s="11"/>
      <c r="D69" s="6">
        <v>3344</v>
      </c>
      <c r="E69" s="2"/>
      <c r="F69" s="7">
        <f t="shared" si="26"/>
        <v>2.5883993729943097E-2</v>
      </c>
      <c r="G69" s="2"/>
      <c r="H69" s="6"/>
      <c r="I69" s="2"/>
      <c r="J69" s="7">
        <f t="shared" si="27"/>
        <v>0</v>
      </c>
      <c r="K69" s="2"/>
      <c r="L69" s="6">
        <f t="shared" si="28"/>
        <v>3344</v>
      </c>
      <c r="M69" s="2"/>
      <c r="N69" s="7">
        <f t="shared" si="29"/>
        <v>0</v>
      </c>
      <c r="O69" s="11"/>
      <c r="P69" s="6">
        <v>24680.16</v>
      </c>
      <c r="Q69" s="2"/>
      <c r="R69" s="7">
        <f t="shared" si="30"/>
        <v>1.7571749105272341E-2</v>
      </c>
      <c r="S69" s="2"/>
      <c r="T69" s="6"/>
      <c r="U69" s="2"/>
      <c r="V69" s="7">
        <f t="shared" si="31"/>
        <v>0</v>
      </c>
      <c r="W69" s="2"/>
      <c r="X69" s="6">
        <f t="shared" si="32"/>
        <v>24680.16</v>
      </c>
      <c r="Y69" s="2"/>
      <c r="Z69" s="7">
        <f t="shared" si="33"/>
        <v>0</v>
      </c>
    </row>
    <row r="70" spans="1:26" s="24" customFormat="1" hidden="1" outlineLevel="2" x14ac:dyDescent="0.25">
      <c r="A70" s="25"/>
      <c r="B70" s="11" t="str">
        <f>CONCATENATE("          ", "6005", " - ", "TEMPORARY WAGES-HOURLY")</f>
        <v xml:space="preserve">          6005 - TEMPORARY WAGES-HOURLY</v>
      </c>
      <c r="C70" s="11"/>
      <c r="D70" s="6"/>
      <c r="E70" s="2"/>
      <c r="F70" s="7">
        <f t="shared" si="26"/>
        <v>0</v>
      </c>
      <c r="G70" s="2"/>
      <c r="H70" s="6">
        <v>3463.74</v>
      </c>
      <c r="I70" s="2"/>
      <c r="J70" s="7">
        <f t="shared" si="27"/>
        <v>1.6101112910277989E-2</v>
      </c>
      <c r="K70" s="2"/>
      <c r="L70" s="6">
        <f t="shared" si="28"/>
        <v>-3463.74</v>
      </c>
      <c r="M70" s="2"/>
      <c r="N70" s="7">
        <f t="shared" si="29"/>
        <v>-1</v>
      </c>
      <c r="O70" s="11"/>
      <c r="P70" s="6"/>
      <c r="Q70" s="2"/>
      <c r="R70" s="7">
        <f t="shared" si="30"/>
        <v>0</v>
      </c>
      <c r="S70" s="2"/>
      <c r="T70" s="6">
        <v>23123.030000000002</v>
      </c>
      <c r="U70" s="2"/>
      <c r="V70" s="7">
        <f t="shared" si="31"/>
        <v>1.2856798777910126E-2</v>
      </c>
      <c r="W70" s="2"/>
      <c r="X70" s="6">
        <f t="shared" si="32"/>
        <v>-23123.030000000002</v>
      </c>
      <c r="Y70" s="2"/>
      <c r="Z70" s="7">
        <f t="shared" si="33"/>
        <v>-1</v>
      </c>
    </row>
    <row r="71" spans="1:26" s="24" customFormat="1" hidden="1" outlineLevel="2" x14ac:dyDescent="0.25">
      <c r="A71" s="25"/>
      <c r="B71" s="11" t="str">
        <f>CONCATENATE("          ", "6006", " - ", "TEMPORARY PART TIME")</f>
        <v xml:space="preserve">          6006 - TEMPORARY PART TIME</v>
      </c>
      <c r="C71" s="11"/>
      <c r="D71" s="6"/>
      <c r="E71" s="2"/>
      <c r="F71" s="7">
        <f t="shared" si="26"/>
        <v>0</v>
      </c>
      <c r="G71" s="2"/>
      <c r="H71" s="6">
        <v>299.06</v>
      </c>
      <c r="I71" s="2"/>
      <c r="J71" s="7">
        <f t="shared" si="27"/>
        <v>1.3901732886844092E-3</v>
      </c>
      <c r="K71" s="2"/>
      <c r="L71" s="6">
        <f t="shared" si="28"/>
        <v>-299.06</v>
      </c>
      <c r="M71" s="2"/>
      <c r="N71" s="7">
        <f t="shared" si="29"/>
        <v>-1</v>
      </c>
      <c r="O71" s="11"/>
      <c r="P71" s="6"/>
      <c r="Q71" s="2"/>
      <c r="R71" s="7">
        <f t="shared" si="30"/>
        <v>0</v>
      </c>
      <c r="S71" s="2"/>
      <c r="T71" s="6">
        <v>8541.2199999999993</v>
      </c>
      <c r="U71" s="2"/>
      <c r="V71" s="7">
        <f t="shared" si="31"/>
        <v>4.7490638924856093E-3</v>
      </c>
      <c r="W71" s="2"/>
      <c r="X71" s="6">
        <f t="shared" si="32"/>
        <v>-8541.2199999999993</v>
      </c>
      <c r="Y71" s="2"/>
      <c r="Z71" s="7">
        <f t="shared" si="33"/>
        <v>-1</v>
      </c>
    </row>
    <row r="72" spans="1:26" s="24" customFormat="1" hidden="1" outlineLevel="2" x14ac:dyDescent="0.25">
      <c r="A72" s="25"/>
      <c r="B72" s="11" t="str">
        <f>CONCATENATE("          ", "6007", " - ", "STUDENT HOURLY")</f>
        <v xml:space="preserve">          6007 - STUDENT HOURLY</v>
      </c>
      <c r="C72" s="11"/>
      <c r="D72" s="6">
        <v>3690.86</v>
      </c>
      <c r="E72" s="2"/>
      <c r="F72" s="7">
        <f t="shared" si="26"/>
        <v>2.8568838845124934E-2</v>
      </c>
      <c r="G72" s="2"/>
      <c r="H72" s="6">
        <v>3504.07</v>
      </c>
      <c r="I72" s="2"/>
      <c r="J72" s="7">
        <f t="shared" si="27"/>
        <v>1.6288585954926698E-2</v>
      </c>
      <c r="K72" s="2"/>
      <c r="L72" s="6">
        <f t="shared" si="28"/>
        <v>186.78999999999996</v>
      </c>
      <c r="M72" s="2"/>
      <c r="N72" s="7">
        <f t="shared" si="29"/>
        <v>5.3306583487202013E-2</v>
      </c>
      <c r="O72" s="11"/>
      <c r="P72" s="6">
        <v>16545.489999999998</v>
      </c>
      <c r="Q72" s="2"/>
      <c r="R72" s="7">
        <f t="shared" si="30"/>
        <v>1.1780037046104743E-2</v>
      </c>
      <c r="S72" s="2"/>
      <c r="T72" s="6">
        <v>14112.98</v>
      </c>
      <c r="U72" s="2"/>
      <c r="V72" s="7">
        <f t="shared" si="31"/>
        <v>7.8470574149092937E-3</v>
      </c>
      <c r="W72" s="2"/>
      <c r="X72" s="6">
        <f t="shared" si="32"/>
        <v>2432.5099999999984</v>
      </c>
      <c r="Y72" s="2"/>
      <c r="Z72" s="7">
        <f t="shared" si="33"/>
        <v>0.17235977093427457</v>
      </c>
    </row>
    <row r="73" spans="1:26" s="26" customFormat="1" outlineLevel="1" collapsed="1" x14ac:dyDescent="0.25">
      <c r="A73" s="27"/>
      <c r="B73" s="13" t="str">
        <f>CONCATENATE("     ","Advertising/Promo                                 ")</f>
        <v xml:space="preserve">     Advertising/Promo                                 </v>
      </c>
      <c r="C73" s="13"/>
      <c r="D73" s="1">
        <f>SUM(OSRRefD22_2x_0)</f>
        <v>350.05</v>
      </c>
      <c r="E73" s="1"/>
      <c r="F73" s="5">
        <f t="shared" ref="F73:F81" si="34">IF(D$12=0,0,D73/D$12)</f>
        <v>2.709537082884743E-3</v>
      </c>
      <c r="G73" s="1"/>
      <c r="H73" s="1">
        <f>SUM(OSRRefH22_2x_0)</f>
        <v>140.44999999999999</v>
      </c>
      <c r="I73" s="1"/>
      <c r="J73" s="5">
        <f t="shared" ref="J73:J81" si="35">IF(H$12=0,0,H73/H$12)</f>
        <v>6.5287848055816647E-4</v>
      </c>
      <c r="K73" s="1"/>
      <c r="L73" s="1">
        <f t="shared" ref="L73:L81" si="36">+D73-H73</f>
        <v>209.60000000000002</v>
      </c>
      <c r="M73" s="1"/>
      <c r="N73" s="5">
        <f t="shared" ref="N73:N81" si="37">IF(H73=0,0,L73/H73)</f>
        <v>1.4923460306158778</v>
      </c>
      <c r="O73" s="13"/>
      <c r="P73" s="1">
        <f>SUM(OSRRefP22_2x_0)</f>
        <v>598.92999999999995</v>
      </c>
      <c r="Q73" s="1"/>
      <c r="R73" s="5">
        <f t="shared" ref="R73:R81" si="38">IF(P$12=0,0,P73/P$12)</f>
        <v>4.264254239689193E-4</v>
      </c>
      <c r="S73" s="1"/>
      <c r="T73" s="1">
        <f>SUM(OSRRefT22_2x_0)</f>
        <v>1648.83</v>
      </c>
      <c r="U73" s="1"/>
      <c r="V73" s="5">
        <f t="shared" ref="V73:V81" si="39">IF(T$12=0,0,T73/T$12)</f>
        <v>9.1677758187320394E-4</v>
      </c>
      <c r="W73" s="1"/>
      <c r="X73" s="1">
        <f t="shared" ref="X73:X81" si="40">+P73-T73</f>
        <v>-1049.9000000000001</v>
      </c>
      <c r="Y73" s="1"/>
      <c r="Z73" s="5">
        <f t="shared" ref="Z73:Z81" si="41">IF(T73=0,0,X73/T73)</f>
        <v>-0.63675454716374646</v>
      </c>
    </row>
    <row r="74" spans="1:26" s="24" customFormat="1" hidden="1" outlineLevel="2" x14ac:dyDescent="0.25">
      <c r="A74" s="25"/>
      <c r="B74" s="11" t="str">
        <f>CONCATENATE("          ", "6362", " - ", "ADVERTISING EXPENSE")</f>
        <v xml:space="preserve">          6362 - ADVERTISING EXPENSE</v>
      </c>
      <c r="C74" s="11"/>
      <c r="D74" s="6">
        <v>350.05</v>
      </c>
      <c r="E74" s="2"/>
      <c r="F74" s="7">
        <f t="shared" si="34"/>
        <v>2.709537082884743E-3</v>
      </c>
      <c r="G74" s="2"/>
      <c r="H74" s="6">
        <v>140.44999999999999</v>
      </c>
      <c r="I74" s="2"/>
      <c r="J74" s="7">
        <f t="shared" si="35"/>
        <v>6.5287848055816647E-4</v>
      </c>
      <c r="K74" s="2"/>
      <c r="L74" s="6">
        <f t="shared" si="36"/>
        <v>209.60000000000002</v>
      </c>
      <c r="M74" s="2"/>
      <c r="N74" s="7">
        <f t="shared" si="37"/>
        <v>1.4923460306158778</v>
      </c>
      <c r="O74" s="11"/>
      <c r="P74" s="6">
        <v>598.92999999999995</v>
      </c>
      <c r="Q74" s="2"/>
      <c r="R74" s="7">
        <f t="shared" si="38"/>
        <v>4.264254239689193E-4</v>
      </c>
      <c r="S74" s="2"/>
      <c r="T74" s="6">
        <v>1648.83</v>
      </c>
      <c r="U74" s="2"/>
      <c r="V74" s="7">
        <f t="shared" si="39"/>
        <v>9.1677758187320394E-4</v>
      </c>
      <c r="W74" s="2"/>
      <c r="X74" s="6">
        <f t="shared" si="40"/>
        <v>-1049.9000000000001</v>
      </c>
      <c r="Y74" s="2"/>
      <c r="Z74" s="7">
        <f t="shared" si="41"/>
        <v>-0.63675454716374646</v>
      </c>
    </row>
    <row r="75" spans="1:26" s="26" customFormat="1" outlineLevel="1" collapsed="1" x14ac:dyDescent="0.25">
      <c r="A75" s="27"/>
      <c r="B75" s="13" t="str">
        <f>CONCATENATE("     ","Depreciation                                      ")</f>
        <v xml:space="preserve">     Depreciation                                      </v>
      </c>
      <c r="C75" s="13"/>
      <c r="D75" s="1">
        <f>SUM(OSRRefD22_3x_0)</f>
        <v>280.44</v>
      </c>
      <c r="E75" s="1"/>
      <c r="F75" s="5">
        <f t="shared" si="34"/>
        <v>2.1707258378065915E-3</v>
      </c>
      <c r="G75" s="1"/>
      <c r="H75" s="1">
        <f>SUM(OSRRefH22_3x_0)</f>
        <v>280.44</v>
      </c>
      <c r="I75" s="1"/>
      <c r="J75" s="5">
        <f t="shared" si="35"/>
        <v>1.303618662070005E-3</v>
      </c>
      <c r="K75" s="1"/>
      <c r="L75" s="1">
        <f t="shared" si="36"/>
        <v>0</v>
      </c>
      <c r="M75" s="1"/>
      <c r="N75" s="5">
        <f t="shared" si="37"/>
        <v>0</v>
      </c>
      <c r="O75" s="13"/>
      <c r="P75" s="1">
        <f>SUM(OSRRefP22_3x_0)</f>
        <v>1963.08</v>
      </c>
      <c r="Q75" s="1"/>
      <c r="R75" s="5">
        <f t="shared" si="38"/>
        <v>1.3976712158097042E-3</v>
      </c>
      <c r="S75" s="1"/>
      <c r="T75" s="1">
        <f>SUM(OSRRefT22_3x_0)</f>
        <v>1963.08</v>
      </c>
      <c r="U75" s="1"/>
      <c r="V75" s="5">
        <f t="shared" si="39"/>
        <v>1.0915059378005308E-3</v>
      </c>
      <c r="W75" s="1"/>
      <c r="X75" s="1">
        <f t="shared" si="40"/>
        <v>0</v>
      </c>
      <c r="Y75" s="1"/>
      <c r="Z75" s="5">
        <f t="shared" si="41"/>
        <v>0</v>
      </c>
    </row>
    <row r="76" spans="1:26" s="24" customFormat="1" hidden="1" outlineLevel="2" x14ac:dyDescent="0.25">
      <c r="A76" s="25"/>
      <c r="B76" s="11" t="str">
        <f>CONCATENATE("          ", "6322", " - ", "EQUIPMENT DEPRECIATION EXPENSE")</f>
        <v xml:space="preserve">          6322 - EQUIPMENT DEPRECIATION EXPENSE</v>
      </c>
      <c r="C76" s="11"/>
      <c r="D76" s="6">
        <v>280.44</v>
      </c>
      <c r="E76" s="2"/>
      <c r="F76" s="7">
        <f t="shared" si="34"/>
        <v>2.1707258378065915E-3</v>
      </c>
      <c r="G76" s="2"/>
      <c r="H76" s="6">
        <v>280.44</v>
      </c>
      <c r="I76" s="2"/>
      <c r="J76" s="7">
        <f t="shared" si="35"/>
        <v>1.303618662070005E-3</v>
      </c>
      <c r="K76" s="2"/>
      <c r="L76" s="6">
        <f t="shared" si="36"/>
        <v>0</v>
      </c>
      <c r="M76" s="2"/>
      <c r="N76" s="7">
        <f t="shared" si="37"/>
        <v>0</v>
      </c>
      <c r="O76" s="11"/>
      <c r="P76" s="6">
        <v>1963.08</v>
      </c>
      <c r="Q76" s="2"/>
      <c r="R76" s="7">
        <f t="shared" si="38"/>
        <v>1.3976712158097042E-3</v>
      </c>
      <c r="S76" s="2"/>
      <c r="T76" s="6">
        <v>1963.08</v>
      </c>
      <c r="U76" s="2"/>
      <c r="V76" s="7">
        <f t="shared" si="39"/>
        <v>1.0915059378005308E-3</v>
      </c>
      <c r="W76" s="2"/>
      <c r="X76" s="6">
        <f t="shared" si="40"/>
        <v>0</v>
      </c>
      <c r="Y76" s="2"/>
      <c r="Z76" s="7">
        <f t="shared" si="41"/>
        <v>0</v>
      </c>
    </row>
    <row r="77" spans="1:26" s="26" customFormat="1" outlineLevel="1" collapsed="1" x14ac:dyDescent="0.25">
      <c r="A77" s="27"/>
      <c r="B77" s="13" t="str">
        <f>CONCATENATE("     ","Discounts and Markdowns                           ")</f>
        <v xml:space="preserve">     Discounts and Markdowns                           </v>
      </c>
      <c r="C77" s="13"/>
      <c r="D77" s="1">
        <f>SUM(OSRRefD22_4x_0)</f>
        <v>0</v>
      </c>
      <c r="E77" s="1"/>
      <c r="F77" s="5">
        <f t="shared" si="34"/>
        <v>0</v>
      </c>
      <c r="G77" s="1"/>
      <c r="H77" s="1">
        <f>SUM(OSRRefH22_4x_0)</f>
        <v>1440.51</v>
      </c>
      <c r="I77" s="1"/>
      <c r="J77" s="5">
        <f t="shared" si="35"/>
        <v>6.6961764330996402E-3</v>
      </c>
      <c r="K77" s="1"/>
      <c r="L77" s="1">
        <f t="shared" si="36"/>
        <v>-1440.51</v>
      </c>
      <c r="M77" s="1"/>
      <c r="N77" s="5">
        <f t="shared" si="37"/>
        <v>-1</v>
      </c>
      <c r="O77" s="13"/>
      <c r="P77" s="1">
        <f>SUM(OSRRefP22_4x_0)</f>
        <v>0</v>
      </c>
      <c r="Q77" s="1"/>
      <c r="R77" s="5">
        <f t="shared" si="38"/>
        <v>0</v>
      </c>
      <c r="S77" s="1"/>
      <c r="T77" s="1">
        <f>SUM(OSRRefT22_4x_0)</f>
        <v>50711.17</v>
      </c>
      <c r="U77" s="1"/>
      <c r="V77" s="5">
        <f t="shared" si="39"/>
        <v>2.8196274817028417E-2</v>
      </c>
      <c r="W77" s="1"/>
      <c r="X77" s="1">
        <f t="shared" si="40"/>
        <v>-50711.17</v>
      </c>
      <c r="Y77" s="1"/>
      <c r="Z77" s="5">
        <f t="shared" si="41"/>
        <v>-1</v>
      </c>
    </row>
    <row r="78" spans="1:26" s="24" customFormat="1" hidden="1" outlineLevel="2" x14ac:dyDescent="0.25">
      <c r="A78" s="25"/>
      <c r="B78" s="11" t="str">
        <f>CONCATENATE("          ", "6382", " - ", "DISCOUNTS/MARK DOWNS")</f>
        <v xml:space="preserve">          6382 - DISCOUNTS/MARK DOWNS</v>
      </c>
      <c r="C78" s="11"/>
      <c r="D78" s="6"/>
      <c r="E78" s="2"/>
      <c r="F78" s="7">
        <f t="shared" si="34"/>
        <v>0</v>
      </c>
      <c r="G78" s="2"/>
      <c r="H78" s="6">
        <v>1440.51</v>
      </c>
      <c r="I78" s="2"/>
      <c r="J78" s="7">
        <f t="shared" si="35"/>
        <v>6.6961764330996402E-3</v>
      </c>
      <c r="K78" s="2"/>
      <c r="L78" s="6">
        <f t="shared" si="36"/>
        <v>-1440.51</v>
      </c>
      <c r="M78" s="2"/>
      <c r="N78" s="7">
        <f t="shared" si="37"/>
        <v>-1</v>
      </c>
      <c r="O78" s="11"/>
      <c r="P78" s="6"/>
      <c r="Q78" s="2"/>
      <c r="R78" s="7">
        <f t="shared" si="38"/>
        <v>0</v>
      </c>
      <c r="S78" s="2"/>
      <c r="T78" s="6">
        <v>50711.17</v>
      </c>
      <c r="U78" s="2"/>
      <c r="V78" s="7">
        <f t="shared" si="39"/>
        <v>2.8196274817028417E-2</v>
      </c>
      <c r="W78" s="2"/>
      <c r="X78" s="6">
        <f t="shared" si="40"/>
        <v>-50711.17</v>
      </c>
      <c r="Y78" s="2"/>
      <c r="Z78" s="7">
        <f t="shared" si="41"/>
        <v>-1</v>
      </c>
    </row>
    <row r="79" spans="1:26" s="26" customFormat="1" outlineLevel="1" collapsed="1" x14ac:dyDescent="0.25">
      <c r="A79" s="27"/>
      <c r="B79" s="13" t="str">
        <f>CONCATENATE("     ","Freight out/Postage                               ")</f>
        <v xml:space="preserve">     Freight out/Postage                               </v>
      </c>
      <c r="C79" s="13"/>
      <c r="D79" s="1">
        <f>SUM(OSRRefD22_5x_0)</f>
        <v>122.94</v>
      </c>
      <c r="E79" s="1"/>
      <c r="F79" s="5">
        <f t="shared" si="34"/>
        <v>9.5160831015526437E-4</v>
      </c>
      <c r="G79" s="1"/>
      <c r="H79" s="1">
        <f>SUM(OSRRefH22_5x_0)</f>
        <v>0</v>
      </c>
      <c r="I79" s="1"/>
      <c r="J79" s="5">
        <f t="shared" si="35"/>
        <v>0</v>
      </c>
      <c r="K79" s="1"/>
      <c r="L79" s="1">
        <f t="shared" si="36"/>
        <v>122.94</v>
      </c>
      <c r="M79" s="1"/>
      <c r="N79" s="5">
        <f t="shared" si="37"/>
        <v>0</v>
      </c>
      <c r="O79" s="13"/>
      <c r="P79" s="1">
        <f>SUM(OSRRefP22_5x_0)</f>
        <v>994.11</v>
      </c>
      <c r="Q79" s="1"/>
      <c r="R79" s="5">
        <f t="shared" si="38"/>
        <v>7.0778518060832219E-4</v>
      </c>
      <c r="S79" s="1"/>
      <c r="T79" s="1">
        <f>SUM(OSRRefT22_5x_0)</f>
        <v>41.61</v>
      </c>
      <c r="U79" s="1"/>
      <c r="V79" s="5">
        <f t="shared" si="39"/>
        <v>2.3135869181021703E-5</v>
      </c>
      <c r="W79" s="1"/>
      <c r="X79" s="1">
        <f t="shared" si="40"/>
        <v>952.5</v>
      </c>
      <c r="Y79" s="1"/>
      <c r="Z79" s="5">
        <f t="shared" si="41"/>
        <v>22.891131939437635</v>
      </c>
    </row>
    <row r="80" spans="1:26" s="24" customFormat="1" hidden="1" outlineLevel="2" x14ac:dyDescent="0.25">
      <c r="A80" s="25"/>
      <c r="B80" s="11" t="str">
        <f>CONCATENATE("          ", "6305", " - ", "FREIGHT OUT")</f>
        <v xml:space="preserve">          6305 - FREIGHT OUT</v>
      </c>
      <c r="C80" s="11"/>
      <c r="D80" s="6">
        <v>122.94</v>
      </c>
      <c r="E80" s="2"/>
      <c r="F80" s="7">
        <f t="shared" si="34"/>
        <v>9.5160831015526437E-4</v>
      </c>
      <c r="G80" s="2"/>
      <c r="H80" s="6"/>
      <c r="I80" s="2"/>
      <c r="J80" s="7">
        <f t="shared" si="35"/>
        <v>0</v>
      </c>
      <c r="K80" s="2"/>
      <c r="L80" s="6">
        <f t="shared" si="36"/>
        <v>122.94</v>
      </c>
      <c r="M80" s="2"/>
      <c r="N80" s="7">
        <f t="shared" si="37"/>
        <v>0</v>
      </c>
      <c r="O80" s="11"/>
      <c r="P80" s="6">
        <v>981.51</v>
      </c>
      <c r="Q80" s="2"/>
      <c r="R80" s="7">
        <f t="shared" si="38"/>
        <v>6.9881424854279135E-4</v>
      </c>
      <c r="S80" s="2"/>
      <c r="T80" s="6">
        <v>41.61</v>
      </c>
      <c r="U80" s="2"/>
      <c r="V80" s="7">
        <f t="shared" si="39"/>
        <v>2.3135869181021703E-5</v>
      </c>
      <c r="W80" s="2"/>
      <c r="X80" s="6">
        <f t="shared" si="40"/>
        <v>939.9</v>
      </c>
      <c r="Y80" s="2"/>
      <c r="Z80" s="7">
        <f t="shared" si="41"/>
        <v>22.588320115356886</v>
      </c>
    </row>
    <row r="81" spans="1:26" s="24" customFormat="1" hidden="1" outlineLevel="2" x14ac:dyDescent="0.25">
      <c r="A81" s="25"/>
      <c r="B81" s="11" t="str">
        <f>CONCATENATE("          ", "6307", " - ", "POSTAGE")</f>
        <v xml:space="preserve">          6307 - POSTAGE</v>
      </c>
      <c r="C81" s="11"/>
      <c r="D81" s="6"/>
      <c r="E81" s="2"/>
      <c r="F81" s="7">
        <f t="shared" si="34"/>
        <v>0</v>
      </c>
      <c r="G81" s="2"/>
      <c r="H81" s="6"/>
      <c r="I81" s="2"/>
      <c r="J81" s="7">
        <f t="shared" si="35"/>
        <v>0</v>
      </c>
      <c r="K81" s="2"/>
      <c r="L81" s="6">
        <f t="shared" si="36"/>
        <v>0</v>
      </c>
      <c r="M81" s="2"/>
      <c r="N81" s="7">
        <f t="shared" si="37"/>
        <v>0</v>
      </c>
      <c r="O81" s="11"/>
      <c r="P81" s="6">
        <v>12.6</v>
      </c>
      <c r="Q81" s="2"/>
      <c r="R81" s="7">
        <f t="shared" si="38"/>
        <v>8.9709320655308361E-6</v>
      </c>
      <c r="S81" s="2"/>
      <c r="T81" s="6"/>
      <c r="U81" s="2"/>
      <c r="V81" s="7">
        <f t="shared" si="39"/>
        <v>0</v>
      </c>
      <c r="W81" s="2"/>
      <c r="X81" s="6">
        <f t="shared" si="40"/>
        <v>12.6</v>
      </c>
      <c r="Y81" s="2"/>
      <c r="Z81" s="7">
        <f t="shared" si="41"/>
        <v>0</v>
      </c>
    </row>
    <row r="82" spans="1:26" s="26" customFormat="1" outlineLevel="1" collapsed="1" x14ac:dyDescent="0.25">
      <c r="A82" s="27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SUM(OSRRefD22_6x_0)</f>
        <v>0</v>
      </c>
      <c r="E82" s="1"/>
      <c r="F82" s="5">
        <f t="shared" ref="F82:F93" si="42">IF(D$12=0,0,D82/D$12)</f>
        <v>0</v>
      </c>
      <c r="G82" s="1"/>
      <c r="H82" s="1">
        <f>SUM(OSRRefH22_6x_0)</f>
        <v>0</v>
      </c>
      <c r="I82" s="1"/>
      <c r="J82" s="5">
        <f t="shared" ref="J82:J93" si="43">IF(H$12=0,0,H82/H$12)</f>
        <v>0</v>
      </c>
      <c r="K82" s="1"/>
      <c r="L82" s="1">
        <f t="shared" ref="L82:L93" si="44">+D82-H82</f>
        <v>0</v>
      </c>
      <c r="M82" s="1"/>
      <c r="N82" s="5">
        <f t="shared" ref="N82:N93" si="45">IF(H82=0,0,L82/H82)</f>
        <v>0</v>
      </c>
      <c r="O82" s="13"/>
      <c r="P82" s="1">
        <f>SUM(OSRRefP22_6x_0)</f>
        <v>-30.15</v>
      </c>
      <c r="Q82" s="1"/>
      <c r="R82" s="5">
        <f t="shared" ref="R82:R93" si="46">IF(P$12=0,0,P82/P$12)</f>
        <v>-2.146615887109164E-5</v>
      </c>
      <c r="S82" s="1"/>
      <c r="T82" s="1">
        <f>SUM(OSRRefT22_6x_0)</f>
        <v>0</v>
      </c>
      <c r="U82" s="1"/>
      <c r="V82" s="5">
        <f t="shared" ref="V82:V93" si="47">IF(T$12=0,0,T82/T$12)</f>
        <v>0</v>
      </c>
      <c r="W82" s="1"/>
      <c r="X82" s="1">
        <f t="shared" ref="X82:X93" si="48">+P82-T82</f>
        <v>-30.15</v>
      </c>
      <c r="Y82" s="1"/>
      <c r="Z82" s="5">
        <f t="shared" ref="Z82:Z93" si="49">IF(T82=0,0,X82/T82)</f>
        <v>0</v>
      </c>
    </row>
    <row r="83" spans="1:26" s="24" customFormat="1" hidden="1" outlineLevel="2" x14ac:dyDescent="0.25">
      <c r="A83" s="25"/>
      <c r="B83" s="11" t="str">
        <f>CONCATENATE("          ", "6279", " - ", "GENERAL EXPENSE")</f>
        <v xml:space="preserve">          6279 - GENERAL EXPENSE</v>
      </c>
      <c r="C83" s="11"/>
      <c r="D83" s="6"/>
      <c r="E83" s="2"/>
      <c r="F83" s="7">
        <f t="shared" si="42"/>
        <v>0</v>
      </c>
      <c r="G83" s="2"/>
      <c r="H83" s="6"/>
      <c r="I83" s="2"/>
      <c r="J83" s="7">
        <f t="shared" si="43"/>
        <v>0</v>
      </c>
      <c r="K83" s="2"/>
      <c r="L83" s="6">
        <f t="shared" si="44"/>
        <v>0</v>
      </c>
      <c r="M83" s="2"/>
      <c r="N83" s="7">
        <f t="shared" si="45"/>
        <v>0</v>
      </c>
      <c r="O83" s="11"/>
      <c r="P83" s="6">
        <v>-30.15</v>
      </c>
      <c r="Q83" s="2"/>
      <c r="R83" s="7">
        <f t="shared" si="46"/>
        <v>-2.146615887109164E-5</v>
      </c>
      <c r="S83" s="2"/>
      <c r="T83" s="6"/>
      <c r="U83" s="2"/>
      <c r="V83" s="7">
        <f t="shared" si="47"/>
        <v>0</v>
      </c>
      <c r="W83" s="2"/>
      <c r="X83" s="6">
        <f t="shared" si="48"/>
        <v>-30.15</v>
      </c>
      <c r="Y83" s="2"/>
      <c r="Z83" s="7">
        <f t="shared" si="49"/>
        <v>0</v>
      </c>
    </row>
    <row r="84" spans="1:26" s="26" customFormat="1" outlineLevel="1" collapsed="1" x14ac:dyDescent="0.25">
      <c r="A84" s="27"/>
      <c r="B84" s="13" t="str">
        <f>CONCATENATE("     ","Inventory Adjustment                              ")</f>
        <v xml:space="preserve">     Inventory Adjustment                              </v>
      </c>
      <c r="C84" s="13"/>
      <c r="D84" s="1">
        <f>SUM(OSRRefD22_7x_0)</f>
        <v>1250</v>
      </c>
      <c r="E84" s="1"/>
      <c r="F84" s="5">
        <f t="shared" si="42"/>
        <v>9.6755359337406914E-3</v>
      </c>
      <c r="G84" s="1"/>
      <c r="H84" s="1">
        <f>SUM(OSRRefH22_7x_0)</f>
        <v>0</v>
      </c>
      <c r="I84" s="1"/>
      <c r="J84" s="5">
        <f t="shared" si="43"/>
        <v>0</v>
      </c>
      <c r="K84" s="1"/>
      <c r="L84" s="1">
        <f t="shared" si="44"/>
        <v>1250</v>
      </c>
      <c r="M84" s="1"/>
      <c r="N84" s="5">
        <f t="shared" si="45"/>
        <v>0</v>
      </c>
      <c r="O84" s="13"/>
      <c r="P84" s="1">
        <f>SUM(OSRRefP22_7x_0)</f>
        <v>8750</v>
      </c>
      <c r="Q84" s="1"/>
      <c r="R84" s="5">
        <f t="shared" si="46"/>
        <v>6.2298139343964134E-3</v>
      </c>
      <c r="S84" s="1"/>
      <c r="T84" s="1">
        <f>SUM(OSRRefT22_7x_0)</f>
        <v>0</v>
      </c>
      <c r="U84" s="1"/>
      <c r="V84" s="5">
        <f t="shared" si="47"/>
        <v>0</v>
      </c>
      <c r="W84" s="1"/>
      <c r="X84" s="1">
        <f t="shared" si="48"/>
        <v>8750</v>
      </c>
      <c r="Y84" s="1"/>
      <c r="Z84" s="5">
        <f t="shared" si="49"/>
        <v>0</v>
      </c>
    </row>
    <row r="85" spans="1:26" s="24" customFormat="1" hidden="1" outlineLevel="2" x14ac:dyDescent="0.25">
      <c r="A85" s="25"/>
      <c r="B85" s="11" t="str">
        <f>CONCATENATE("          ", "6408", " - ", "INVENTORY ADJUSTMENT")</f>
        <v xml:space="preserve">          6408 - INVENTORY ADJUSTMENT</v>
      </c>
      <c r="C85" s="11"/>
      <c r="D85" s="6">
        <v>1250</v>
      </c>
      <c r="E85" s="2"/>
      <c r="F85" s="7">
        <f t="shared" si="42"/>
        <v>9.6755359337406914E-3</v>
      </c>
      <c r="G85" s="2"/>
      <c r="H85" s="6"/>
      <c r="I85" s="2"/>
      <c r="J85" s="7">
        <f t="shared" si="43"/>
        <v>0</v>
      </c>
      <c r="K85" s="2"/>
      <c r="L85" s="6">
        <f t="shared" si="44"/>
        <v>1250</v>
      </c>
      <c r="M85" s="2"/>
      <c r="N85" s="7">
        <f t="shared" si="45"/>
        <v>0</v>
      </c>
      <c r="O85" s="11"/>
      <c r="P85" s="6">
        <v>8750</v>
      </c>
      <c r="Q85" s="2"/>
      <c r="R85" s="7">
        <f t="shared" si="46"/>
        <v>6.2298139343964134E-3</v>
      </c>
      <c r="S85" s="2"/>
      <c r="T85" s="6"/>
      <c r="U85" s="2"/>
      <c r="V85" s="7">
        <f t="shared" si="47"/>
        <v>0</v>
      </c>
      <c r="W85" s="2"/>
      <c r="X85" s="6">
        <f t="shared" si="48"/>
        <v>8750</v>
      </c>
      <c r="Y85" s="2"/>
      <c r="Z85" s="7">
        <f t="shared" si="49"/>
        <v>0</v>
      </c>
    </row>
    <row r="86" spans="1:26" s="26" customFormat="1" outlineLevel="1" collapsed="1" x14ac:dyDescent="0.25">
      <c r="A86" s="27"/>
      <c r="B86" s="13" t="str">
        <f>CONCATENATE("     ","Repair and Maintenance                            ")</f>
        <v xml:space="preserve">     Repair and Maintenance                            </v>
      </c>
      <c r="C86" s="13"/>
      <c r="D86" s="1">
        <f>SUM(OSRRefD22_8x_0)</f>
        <v>0</v>
      </c>
      <c r="E86" s="1"/>
      <c r="F86" s="5">
        <f t="shared" si="42"/>
        <v>0</v>
      </c>
      <c r="G86" s="1"/>
      <c r="H86" s="1">
        <f>SUM(OSRRefH22_8x_0)</f>
        <v>0</v>
      </c>
      <c r="I86" s="1"/>
      <c r="J86" s="5">
        <f t="shared" si="43"/>
        <v>0</v>
      </c>
      <c r="K86" s="1"/>
      <c r="L86" s="1">
        <f t="shared" si="44"/>
        <v>0</v>
      </c>
      <c r="M86" s="1"/>
      <c r="N86" s="5">
        <f t="shared" si="45"/>
        <v>0</v>
      </c>
      <c r="O86" s="13"/>
      <c r="P86" s="1">
        <f>SUM(OSRRefP22_8x_0)</f>
        <v>0</v>
      </c>
      <c r="Q86" s="1"/>
      <c r="R86" s="5">
        <f t="shared" si="46"/>
        <v>0</v>
      </c>
      <c r="S86" s="1"/>
      <c r="T86" s="1">
        <f>SUM(OSRRefT22_8x_0)</f>
        <v>197.18</v>
      </c>
      <c r="U86" s="1"/>
      <c r="V86" s="5">
        <f t="shared" si="47"/>
        <v>1.0963544064200577E-4</v>
      </c>
      <c r="W86" s="1"/>
      <c r="X86" s="1">
        <f t="shared" si="48"/>
        <v>-197.18</v>
      </c>
      <c r="Y86" s="1"/>
      <c r="Z86" s="5">
        <f t="shared" si="49"/>
        <v>-1</v>
      </c>
    </row>
    <row r="87" spans="1:26" s="24" customFormat="1" hidden="1" outlineLevel="2" x14ac:dyDescent="0.25">
      <c r="A87" s="25"/>
      <c r="B87" s="11" t="str">
        <f>CONCATENATE("          ", "6375", " - ", "OUTSIDE REPAIRS &amp; MAINTENANCE")</f>
        <v xml:space="preserve">          6375 - OUTSIDE REPAIRS &amp; MAINTENANCE</v>
      </c>
      <c r="C87" s="11"/>
      <c r="D87" s="6"/>
      <c r="E87" s="2"/>
      <c r="F87" s="7">
        <f t="shared" si="42"/>
        <v>0</v>
      </c>
      <c r="G87" s="2"/>
      <c r="H87" s="6"/>
      <c r="I87" s="2"/>
      <c r="J87" s="7">
        <f t="shared" si="43"/>
        <v>0</v>
      </c>
      <c r="K87" s="2"/>
      <c r="L87" s="6">
        <f t="shared" si="44"/>
        <v>0</v>
      </c>
      <c r="M87" s="2"/>
      <c r="N87" s="7">
        <f t="shared" si="45"/>
        <v>0</v>
      </c>
      <c r="O87" s="11"/>
      <c r="P87" s="6"/>
      <c r="Q87" s="2"/>
      <c r="R87" s="7">
        <f t="shared" si="46"/>
        <v>0</v>
      </c>
      <c r="S87" s="2"/>
      <c r="T87" s="6">
        <v>197.18</v>
      </c>
      <c r="U87" s="2"/>
      <c r="V87" s="7">
        <f t="shared" si="47"/>
        <v>1.0963544064200577E-4</v>
      </c>
      <c r="W87" s="2"/>
      <c r="X87" s="6">
        <f t="shared" si="48"/>
        <v>-197.18</v>
      </c>
      <c r="Y87" s="2"/>
      <c r="Z87" s="7">
        <f t="shared" si="49"/>
        <v>-1</v>
      </c>
    </row>
    <row r="88" spans="1:26" s="26" customFormat="1" outlineLevel="1" collapsed="1" x14ac:dyDescent="0.25">
      <c r="A88" s="27"/>
      <c r="B88" s="13" t="str">
        <f>CONCATENATE("     ","Subscriptions &amp; Dues                              ")</f>
        <v xml:space="preserve">     Subscriptions &amp; Dues                              </v>
      </c>
      <c r="C88" s="13"/>
      <c r="D88" s="1">
        <f>SUM(OSRRefD22_9x_0)</f>
        <v>0</v>
      </c>
      <c r="E88" s="1"/>
      <c r="F88" s="5">
        <f t="shared" si="42"/>
        <v>0</v>
      </c>
      <c r="G88" s="1"/>
      <c r="H88" s="1">
        <f>SUM(OSRRefH22_9x_0)</f>
        <v>0</v>
      </c>
      <c r="I88" s="1"/>
      <c r="J88" s="5">
        <f t="shared" si="43"/>
        <v>0</v>
      </c>
      <c r="K88" s="1"/>
      <c r="L88" s="1">
        <f t="shared" si="44"/>
        <v>0</v>
      </c>
      <c r="M88" s="1"/>
      <c r="N88" s="5">
        <f t="shared" si="45"/>
        <v>0</v>
      </c>
      <c r="O88" s="13"/>
      <c r="P88" s="1">
        <f>SUM(OSRRefP22_9x_0)</f>
        <v>0</v>
      </c>
      <c r="Q88" s="1"/>
      <c r="R88" s="5">
        <f t="shared" si="46"/>
        <v>0</v>
      </c>
      <c r="S88" s="1"/>
      <c r="T88" s="1">
        <f>SUM(OSRRefT22_9x_0)</f>
        <v>-5000</v>
      </c>
      <c r="U88" s="1"/>
      <c r="V88" s="5">
        <f t="shared" si="47"/>
        <v>-2.7800852176185658E-3</v>
      </c>
      <c r="W88" s="1"/>
      <c r="X88" s="1">
        <f t="shared" si="48"/>
        <v>5000</v>
      </c>
      <c r="Y88" s="1"/>
      <c r="Z88" s="5">
        <f t="shared" si="49"/>
        <v>-1</v>
      </c>
    </row>
    <row r="89" spans="1:26" s="24" customFormat="1" hidden="1" outlineLevel="2" x14ac:dyDescent="0.25">
      <c r="A89" s="25"/>
      <c r="B89" s="11" t="str">
        <f>CONCATENATE("          ", "6258", " - ", "MEMBERSHIP DUES")</f>
        <v xml:space="preserve">          6258 - MEMBERSHIP DUES</v>
      </c>
      <c r="C89" s="11"/>
      <c r="D89" s="6"/>
      <c r="E89" s="2"/>
      <c r="F89" s="7">
        <f t="shared" si="42"/>
        <v>0</v>
      </c>
      <c r="G89" s="2"/>
      <c r="H89" s="6"/>
      <c r="I89" s="2"/>
      <c r="J89" s="7">
        <f t="shared" si="43"/>
        <v>0</v>
      </c>
      <c r="K89" s="2"/>
      <c r="L89" s="6">
        <f t="shared" si="44"/>
        <v>0</v>
      </c>
      <c r="M89" s="2"/>
      <c r="N89" s="7">
        <f t="shared" si="45"/>
        <v>0</v>
      </c>
      <c r="O89" s="11"/>
      <c r="P89" s="6"/>
      <c r="Q89" s="2"/>
      <c r="R89" s="7">
        <f t="shared" si="46"/>
        <v>0</v>
      </c>
      <c r="S89" s="2"/>
      <c r="T89" s="6">
        <v>-5000</v>
      </c>
      <c r="U89" s="2"/>
      <c r="V89" s="7">
        <f t="shared" si="47"/>
        <v>-2.7800852176185658E-3</v>
      </c>
      <c r="W89" s="2"/>
      <c r="X89" s="6">
        <f t="shared" si="48"/>
        <v>5000</v>
      </c>
      <c r="Y89" s="2"/>
      <c r="Z89" s="7">
        <f t="shared" si="49"/>
        <v>-1</v>
      </c>
    </row>
    <row r="90" spans="1:26" s="26" customFormat="1" outlineLevel="1" collapsed="1" x14ac:dyDescent="0.25">
      <c r="A90" s="27"/>
      <c r="B90" s="13" t="str">
        <f>CONCATENATE("     ","Supplies                                          ")</f>
        <v xml:space="preserve">     Supplies                                          </v>
      </c>
      <c r="C90" s="13"/>
      <c r="D90" s="1">
        <f>SUM(OSRRefD22_10x_0)</f>
        <v>-683.71</v>
      </c>
      <c r="E90" s="1"/>
      <c r="F90" s="5">
        <f t="shared" si="42"/>
        <v>-5.2922085386062781E-3</v>
      </c>
      <c r="G90" s="1"/>
      <c r="H90" s="1">
        <f>SUM(OSRRefH22_10x_0)</f>
        <v>311.60000000000002</v>
      </c>
      <c r="I90" s="1"/>
      <c r="J90" s="5">
        <f t="shared" si="43"/>
        <v>1.4484651800777835E-3</v>
      </c>
      <c r="K90" s="1"/>
      <c r="L90" s="1">
        <f t="shared" si="44"/>
        <v>-995.31000000000006</v>
      </c>
      <c r="M90" s="1"/>
      <c r="N90" s="5">
        <f t="shared" si="45"/>
        <v>-3.194191270860077</v>
      </c>
      <c r="O90" s="13"/>
      <c r="P90" s="1">
        <f>SUM(OSRRefP22_10x_0)</f>
        <v>2069.86</v>
      </c>
      <c r="Q90" s="1"/>
      <c r="R90" s="5">
        <f t="shared" si="46"/>
        <v>1.4736963051714012E-3</v>
      </c>
      <c r="S90" s="1"/>
      <c r="T90" s="1">
        <f>SUM(OSRRefT22_10x_0)</f>
        <v>3013.63</v>
      </c>
      <c r="U90" s="1"/>
      <c r="V90" s="5">
        <f t="shared" si="47"/>
        <v>1.6756296428743678E-3</v>
      </c>
      <c r="W90" s="1"/>
      <c r="X90" s="1">
        <f t="shared" si="48"/>
        <v>-943.77</v>
      </c>
      <c r="Y90" s="1"/>
      <c r="Z90" s="5">
        <f t="shared" si="49"/>
        <v>-0.31316717712526088</v>
      </c>
    </row>
    <row r="91" spans="1:26" s="24" customFormat="1" hidden="1" outlineLevel="2" x14ac:dyDescent="0.25">
      <c r="A91" s="25"/>
      <c r="B91" s="11" t="str">
        <f>CONCATENATE("          ", "6235", " - ", "COVID-19 EXPENSES")</f>
        <v xml:space="preserve">          6235 - COVID-19 EXPENSES</v>
      </c>
      <c r="C91" s="11"/>
      <c r="D91" s="6"/>
      <c r="E91" s="2"/>
      <c r="F91" s="7">
        <f t="shared" si="42"/>
        <v>0</v>
      </c>
      <c r="G91" s="2"/>
      <c r="H91" s="6"/>
      <c r="I91" s="2"/>
      <c r="J91" s="7">
        <f t="shared" si="43"/>
        <v>0</v>
      </c>
      <c r="K91" s="2"/>
      <c r="L91" s="6">
        <f t="shared" si="44"/>
        <v>0</v>
      </c>
      <c r="M91" s="2"/>
      <c r="N91" s="7">
        <f t="shared" si="45"/>
        <v>0</v>
      </c>
      <c r="O91" s="11"/>
      <c r="P91" s="6">
        <v>668.12</v>
      </c>
      <c r="Q91" s="2"/>
      <c r="R91" s="7">
        <f t="shared" si="46"/>
        <v>4.7568723266844937E-4</v>
      </c>
      <c r="S91" s="2"/>
      <c r="T91" s="6"/>
      <c r="U91" s="2"/>
      <c r="V91" s="7">
        <f t="shared" si="47"/>
        <v>0</v>
      </c>
      <c r="W91" s="2"/>
      <c r="X91" s="6">
        <f t="shared" si="48"/>
        <v>668.12</v>
      </c>
      <c r="Y91" s="2"/>
      <c r="Z91" s="7">
        <f t="shared" si="49"/>
        <v>0</v>
      </c>
    </row>
    <row r="92" spans="1:26" s="24" customFormat="1" hidden="1" outlineLevel="2" x14ac:dyDescent="0.25">
      <c r="A92" s="25"/>
      <c r="B92" s="11" t="str">
        <f>CONCATENATE("          ", "6241", " - ", "OFFICE EXPENSE")</f>
        <v xml:space="preserve">          6241 - OFFICE EXPENSE</v>
      </c>
      <c r="C92" s="11"/>
      <c r="D92" s="6">
        <v>-683.71</v>
      </c>
      <c r="E92" s="2"/>
      <c r="F92" s="7">
        <f t="shared" si="42"/>
        <v>-5.2922085386062781E-3</v>
      </c>
      <c r="G92" s="2"/>
      <c r="H92" s="6">
        <v>311.60000000000002</v>
      </c>
      <c r="I92" s="2"/>
      <c r="J92" s="7">
        <f t="shared" si="43"/>
        <v>1.4484651800777835E-3</v>
      </c>
      <c r="K92" s="2"/>
      <c r="L92" s="6">
        <f t="shared" si="44"/>
        <v>-995.31000000000006</v>
      </c>
      <c r="M92" s="2"/>
      <c r="N92" s="7">
        <f t="shared" si="45"/>
        <v>-3.194191270860077</v>
      </c>
      <c r="O92" s="11"/>
      <c r="P92" s="6">
        <v>1401.74</v>
      </c>
      <c r="Q92" s="2"/>
      <c r="R92" s="7">
        <f t="shared" si="46"/>
        <v>9.9800907250295178E-4</v>
      </c>
      <c r="S92" s="2"/>
      <c r="T92" s="6">
        <v>1004.25</v>
      </c>
      <c r="U92" s="2"/>
      <c r="V92" s="7">
        <f t="shared" si="47"/>
        <v>5.5838011595868897E-4</v>
      </c>
      <c r="W92" s="2"/>
      <c r="X92" s="6">
        <f t="shared" si="48"/>
        <v>397.49</v>
      </c>
      <c r="Y92" s="2"/>
      <c r="Z92" s="7">
        <f t="shared" si="49"/>
        <v>0.39580781677869059</v>
      </c>
    </row>
    <row r="93" spans="1:26" s="24" customFormat="1" hidden="1" outlineLevel="2" x14ac:dyDescent="0.25">
      <c r="A93" s="25"/>
      <c r="B93" s="11" t="str">
        <f>CONCATENATE("          ", "6247", " - ", "STORE SUPPLIES")</f>
        <v xml:space="preserve">          6247 - STORE SUPPLIES</v>
      </c>
      <c r="C93" s="11"/>
      <c r="D93" s="6"/>
      <c r="E93" s="2"/>
      <c r="F93" s="7">
        <f t="shared" si="42"/>
        <v>0</v>
      </c>
      <c r="G93" s="2"/>
      <c r="H93" s="6"/>
      <c r="I93" s="2"/>
      <c r="J93" s="7">
        <f t="shared" si="43"/>
        <v>0</v>
      </c>
      <c r="K93" s="2"/>
      <c r="L93" s="6">
        <f t="shared" si="44"/>
        <v>0</v>
      </c>
      <c r="M93" s="2"/>
      <c r="N93" s="7">
        <f t="shared" si="45"/>
        <v>0</v>
      </c>
      <c r="O93" s="11"/>
      <c r="P93" s="6"/>
      <c r="Q93" s="2"/>
      <c r="R93" s="7">
        <f t="shared" si="46"/>
        <v>0</v>
      </c>
      <c r="S93" s="2"/>
      <c r="T93" s="6">
        <v>2009.38</v>
      </c>
      <c r="U93" s="2"/>
      <c r="V93" s="7">
        <f t="shared" si="47"/>
        <v>1.1172495269156789E-3</v>
      </c>
      <c r="W93" s="2"/>
      <c r="X93" s="6">
        <f t="shared" si="48"/>
        <v>-2009.38</v>
      </c>
      <c r="Y93" s="2"/>
      <c r="Z93" s="7">
        <f t="shared" si="49"/>
        <v>-1</v>
      </c>
    </row>
    <row r="94" spans="1:26" s="26" customFormat="1" outlineLevel="1" collapsed="1" x14ac:dyDescent="0.25">
      <c r="A94" s="27"/>
      <c r="B94" s="13" t="str">
        <f>CONCATENATE("     ","Telephone/Data Lines                              ")</f>
        <v xml:space="preserve">     Telephone/Data Lines                              </v>
      </c>
      <c r="C94" s="13"/>
      <c r="D94" s="1">
        <f>SUM(OSRRefD22_11x_0)</f>
        <v>227.45</v>
      </c>
      <c r="E94" s="1"/>
      <c r="F94" s="5">
        <f t="shared" ref="F94:F99" si="50">IF(D$12=0,0,D94/D$12)</f>
        <v>1.7605605185034559E-3</v>
      </c>
      <c r="G94" s="1"/>
      <c r="H94" s="1">
        <f>SUM(OSRRefH22_11x_0)</f>
        <v>253.9</v>
      </c>
      <c r="I94" s="1"/>
      <c r="J94" s="5">
        <f t="shared" ref="J94:J99" si="51">IF(H$12=0,0,H94/H$12)</f>
        <v>1.1802481040492593E-3</v>
      </c>
      <c r="K94" s="1"/>
      <c r="L94" s="1">
        <f t="shared" ref="L94:L99" si="52">+D94-H94</f>
        <v>-26.450000000000017</v>
      </c>
      <c r="M94" s="1"/>
      <c r="N94" s="5">
        <f t="shared" ref="N94:N99" si="53">IF(H94=0,0,L94/H94)</f>
        <v>-0.10417487199684922</v>
      </c>
      <c r="O94" s="13"/>
      <c r="P94" s="1">
        <f>SUM(OSRRefP22_11x_0)</f>
        <v>2080.75</v>
      </c>
      <c r="Q94" s="1"/>
      <c r="R94" s="5">
        <f t="shared" ref="R94:R99" si="54">IF(P$12=0,0,P94/P$12)</f>
        <v>1.4814497535994673E-3</v>
      </c>
      <c r="S94" s="1"/>
      <c r="T94" s="1">
        <f>SUM(OSRRefT22_11x_0)</f>
        <v>1790.05</v>
      </c>
      <c r="U94" s="1"/>
      <c r="V94" s="5">
        <f t="shared" ref="V94:V99" si="55">IF(T$12=0,0,T94/T$12)</f>
        <v>9.9529830875962262E-4</v>
      </c>
      <c r="W94" s="1"/>
      <c r="X94" s="1">
        <f t="shared" ref="X94:X99" si="56">+P94-T94</f>
        <v>290.70000000000005</v>
      </c>
      <c r="Y94" s="1"/>
      <c r="Z94" s="5">
        <f t="shared" ref="Z94:Z99" si="57">IF(T94=0,0,X94/T94)</f>
        <v>0.16239769838831319</v>
      </c>
    </row>
    <row r="95" spans="1:26" s="24" customFormat="1" hidden="1" outlineLevel="2" x14ac:dyDescent="0.25">
      <c r="A95" s="25"/>
      <c r="B95" s="11" t="str">
        <f>CONCATENATE("          ", "6309", " - ", "TELEPHONE")</f>
        <v xml:space="preserve">          6309 - TELEPHONE</v>
      </c>
      <c r="C95" s="11"/>
      <c r="D95" s="6">
        <v>227.45</v>
      </c>
      <c r="E95" s="2"/>
      <c r="F95" s="7">
        <f t="shared" si="50"/>
        <v>1.7605605185034559E-3</v>
      </c>
      <c r="G95" s="2"/>
      <c r="H95" s="6">
        <v>253.9</v>
      </c>
      <c r="I95" s="2"/>
      <c r="J95" s="7">
        <f t="shared" si="51"/>
        <v>1.1802481040492593E-3</v>
      </c>
      <c r="K95" s="2"/>
      <c r="L95" s="6">
        <f t="shared" si="52"/>
        <v>-26.450000000000017</v>
      </c>
      <c r="M95" s="2"/>
      <c r="N95" s="7">
        <f t="shared" si="53"/>
        <v>-0.10417487199684922</v>
      </c>
      <c r="O95" s="11"/>
      <c r="P95" s="6">
        <v>2080.75</v>
      </c>
      <c r="Q95" s="2"/>
      <c r="R95" s="7">
        <f t="shared" si="54"/>
        <v>1.4814497535994673E-3</v>
      </c>
      <c r="S95" s="2"/>
      <c r="T95" s="6">
        <v>1790.05</v>
      </c>
      <c r="U95" s="2"/>
      <c r="V95" s="7">
        <f t="shared" si="55"/>
        <v>9.9529830875962262E-4</v>
      </c>
      <c r="W95" s="2"/>
      <c r="X95" s="6">
        <f t="shared" si="56"/>
        <v>290.70000000000005</v>
      </c>
      <c r="Y95" s="2"/>
      <c r="Z95" s="7">
        <f t="shared" si="57"/>
        <v>0.16239769838831319</v>
      </c>
    </row>
    <row r="96" spans="1:26" s="26" customFormat="1" outlineLevel="1" collapsed="1" x14ac:dyDescent="0.25">
      <c r="A96" s="27"/>
      <c r="B96" s="13" t="str">
        <f>CONCATENATE("     ","Training                                          ")</f>
        <v xml:space="preserve">     Training                                          </v>
      </c>
      <c r="C96" s="13"/>
      <c r="D96" s="1">
        <f>SUM(OSRRefD22_12x_0)</f>
        <v>0</v>
      </c>
      <c r="E96" s="1"/>
      <c r="F96" s="5">
        <f t="shared" si="50"/>
        <v>0</v>
      </c>
      <c r="G96" s="1"/>
      <c r="H96" s="1">
        <f>SUM(OSRRefH22_12x_0)</f>
        <v>0</v>
      </c>
      <c r="I96" s="1"/>
      <c r="J96" s="5">
        <f t="shared" si="51"/>
        <v>0</v>
      </c>
      <c r="K96" s="1"/>
      <c r="L96" s="1">
        <f t="shared" si="52"/>
        <v>0</v>
      </c>
      <c r="M96" s="1"/>
      <c r="N96" s="5">
        <f t="shared" si="53"/>
        <v>0</v>
      </c>
      <c r="O96" s="13"/>
      <c r="P96" s="1">
        <f>SUM(OSRRefP22_12x_0)</f>
        <v>100</v>
      </c>
      <c r="Q96" s="1"/>
      <c r="R96" s="5">
        <f t="shared" si="54"/>
        <v>7.1197873535959011E-5</v>
      </c>
      <c r="S96" s="1"/>
      <c r="T96" s="1">
        <f>SUM(OSRRefT22_12x_0)</f>
        <v>1163.6400000000001</v>
      </c>
      <c r="U96" s="1"/>
      <c r="V96" s="5">
        <f t="shared" si="55"/>
        <v>6.4700367252593365E-4</v>
      </c>
      <c r="W96" s="1"/>
      <c r="X96" s="1">
        <f t="shared" si="56"/>
        <v>-1063.6400000000001</v>
      </c>
      <c r="Y96" s="1"/>
      <c r="Z96" s="5">
        <f t="shared" si="57"/>
        <v>-0.91406276855384827</v>
      </c>
    </row>
    <row r="97" spans="1:26" s="24" customFormat="1" hidden="1" outlineLevel="2" x14ac:dyDescent="0.25">
      <c r="A97" s="25"/>
      <c r="B97" s="11" t="str">
        <f>CONCATENATE("          ", "6376", " - ", "TRAINING")</f>
        <v xml:space="preserve">          6376 - TRAINING</v>
      </c>
      <c r="C97" s="11"/>
      <c r="D97" s="6"/>
      <c r="E97" s="2"/>
      <c r="F97" s="7">
        <f t="shared" si="50"/>
        <v>0</v>
      </c>
      <c r="G97" s="2"/>
      <c r="H97" s="6"/>
      <c r="I97" s="2"/>
      <c r="J97" s="7">
        <f t="shared" si="51"/>
        <v>0</v>
      </c>
      <c r="K97" s="2"/>
      <c r="L97" s="6">
        <f t="shared" si="52"/>
        <v>0</v>
      </c>
      <c r="M97" s="2"/>
      <c r="N97" s="7">
        <f t="shared" si="53"/>
        <v>0</v>
      </c>
      <c r="O97" s="11"/>
      <c r="P97" s="6">
        <v>100</v>
      </c>
      <c r="Q97" s="2"/>
      <c r="R97" s="7">
        <f t="shared" si="54"/>
        <v>7.1197873535959011E-5</v>
      </c>
      <c r="S97" s="2"/>
      <c r="T97" s="6">
        <v>1163.6400000000001</v>
      </c>
      <c r="U97" s="2"/>
      <c r="V97" s="7">
        <f t="shared" si="55"/>
        <v>6.4700367252593365E-4</v>
      </c>
      <c r="W97" s="2"/>
      <c r="X97" s="6">
        <f t="shared" si="56"/>
        <v>-1063.6400000000001</v>
      </c>
      <c r="Y97" s="2"/>
      <c r="Z97" s="7">
        <f t="shared" si="57"/>
        <v>-0.91406276855384827</v>
      </c>
    </row>
    <row r="98" spans="1:26" s="26" customFormat="1" outlineLevel="1" collapsed="1" x14ac:dyDescent="0.25">
      <c r="A98" s="27"/>
      <c r="B98" s="13" t="str">
        <f>CONCATENATE("     ","Travel                                            ")</f>
        <v xml:space="preserve">     Travel                                            </v>
      </c>
      <c r="C98" s="13"/>
      <c r="D98" s="1">
        <f>SUM(OSRRefD22_13x_0)</f>
        <v>0</v>
      </c>
      <c r="E98" s="1"/>
      <c r="F98" s="5">
        <f t="shared" si="50"/>
        <v>0</v>
      </c>
      <c r="G98" s="1"/>
      <c r="H98" s="1">
        <f>SUM(OSRRefH22_13x_0)</f>
        <v>0</v>
      </c>
      <c r="I98" s="1"/>
      <c r="J98" s="5">
        <f t="shared" si="51"/>
        <v>0</v>
      </c>
      <c r="K98" s="1"/>
      <c r="L98" s="1">
        <f t="shared" si="52"/>
        <v>0</v>
      </c>
      <c r="M98" s="1"/>
      <c r="N98" s="5">
        <f t="shared" si="53"/>
        <v>0</v>
      </c>
      <c r="O98" s="13"/>
      <c r="P98" s="1">
        <f>SUM(OSRRefP22_13x_0)</f>
        <v>0</v>
      </c>
      <c r="Q98" s="1"/>
      <c r="R98" s="5">
        <f t="shared" si="54"/>
        <v>0</v>
      </c>
      <c r="S98" s="1"/>
      <c r="T98" s="1">
        <f>SUM(OSRRefT22_13x_0)</f>
        <v>-178.06</v>
      </c>
      <c r="U98" s="1"/>
      <c r="V98" s="5">
        <f t="shared" si="55"/>
        <v>-9.9004394769832359E-5</v>
      </c>
      <c r="W98" s="1"/>
      <c r="X98" s="1">
        <f t="shared" si="56"/>
        <v>178.06</v>
      </c>
      <c r="Y98" s="1"/>
      <c r="Z98" s="5">
        <f t="shared" si="57"/>
        <v>-1</v>
      </c>
    </row>
    <row r="99" spans="1:26" s="24" customFormat="1" hidden="1" outlineLevel="2" x14ac:dyDescent="0.25">
      <c r="A99" s="25"/>
      <c r="B99" s="11" t="str">
        <f>CONCATENATE("          ", "6292", " - ", "TRAVEL/CONFERENCE")</f>
        <v xml:space="preserve">          6292 - TRAVEL/CONFERENCE</v>
      </c>
      <c r="C99" s="11"/>
      <c r="D99" s="6"/>
      <c r="E99" s="2"/>
      <c r="F99" s="7">
        <f t="shared" si="50"/>
        <v>0</v>
      </c>
      <c r="G99" s="2"/>
      <c r="H99" s="6"/>
      <c r="I99" s="2"/>
      <c r="J99" s="7">
        <f t="shared" si="51"/>
        <v>0</v>
      </c>
      <c r="K99" s="2"/>
      <c r="L99" s="6">
        <f t="shared" si="52"/>
        <v>0</v>
      </c>
      <c r="M99" s="2"/>
      <c r="N99" s="7">
        <f t="shared" si="53"/>
        <v>0</v>
      </c>
      <c r="O99" s="11"/>
      <c r="P99" s="6"/>
      <c r="Q99" s="2"/>
      <c r="R99" s="7">
        <f t="shared" si="54"/>
        <v>0</v>
      </c>
      <c r="S99" s="2"/>
      <c r="T99" s="6">
        <v>-178.06</v>
      </c>
      <c r="U99" s="2"/>
      <c r="V99" s="7">
        <f t="shared" si="55"/>
        <v>-9.9004394769832359E-5</v>
      </c>
      <c r="W99" s="2"/>
      <c r="X99" s="6">
        <f t="shared" si="56"/>
        <v>178.06</v>
      </c>
      <c r="Y99" s="2"/>
      <c r="Z99" s="7">
        <f t="shared" si="57"/>
        <v>-1</v>
      </c>
    </row>
    <row r="100" spans="1:26" s="61" customFormat="1" x14ac:dyDescent="0.25">
      <c r="A100" s="37"/>
      <c r="B100" s="37"/>
      <c r="C100" s="37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7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25">
      <c r="A101" s="10"/>
      <c r="B101" s="29" t="s">
        <v>0</v>
      </c>
      <c r="C101" s="10"/>
      <c r="D101" s="4">
        <f>SUM(OSRRefD25x_0)</f>
        <v>285.94</v>
      </c>
      <c r="E101" s="4"/>
      <c r="F101" s="12">
        <f t="shared" ref="F101:F105" si="58">IF(D$12=0,0,D101/D$12)</f>
        <v>2.2132981959150505E-3</v>
      </c>
      <c r="G101" s="4"/>
      <c r="H101" s="4">
        <f>SUM(OSRRefH25x_0)</f>
        <v>5983.15</v>
      </c>
      <c r="I101" s="4"/>
      <c r="J101" s="12">
        <f t="shared" ref="J101:J105" si="59">IF(H$12=0,0,H101/H$12)</f>
        <v>2.7812530302254137E-2</v>
      </c>
      <c r="K101" s="4"/>
      <c r="L101" s="4">
        <f t="shared" ref="L101:L105" si="60">+D101-H101</f>
        <v>-5697.21</v>
      </c>
      <c r="M101" s="4"/>
      <c r="N101" s="12">
        <f t="shared" ref="N101:N105" si="61">IF(H101=0,0,L101/H101)</f>
        <v>-0.95220912061372365</v>
      </c>
      <c r="O101" s="10"/>
      <c r="P101" s="4">
        <f>SUM(OSRRefP25x_0)</f>
        <v>629.04</v>
      </c>
      <c r="Q101" s="4"/>
      <c r="R101" s="12">
        <f t="shared" ref="R101:R105" si="62">IF(P$12=0,0,P101/P$12)</f>
        <v>4.4786310369059653E-4</v>
      </c>
      <c r="S101" s="4"/>
      <c r="T101" s="4">
        <f>SUM(OSRRefT25x_0)</f>
        <v>13219.810000000001</v>
      </c>
      <c r="U101" s="4"/>
      <c r="V101" s="12">
        <f t="shared" ref="V101:V105" si="63">IF(T$12=0,0,T101/T$12)</f>
        <v>7.3504396721452191E-3</v>
      </c>
      <c r="W101" s="4"/>
      <c r="X101" s="4">
        <f t="shared" ref="X101:X105" si="64">+P101-T101</f>
        <v>-12590.77</v>
      </c>
      <c r="Y101" s="4"/>
      <c r="Z101" s="12">
        <f t="shared" ref="Z101:Z105" si="65">IF(T101=0,0,X101/T101)</f>
        <v>-0.95241686529534075</v>
      </c>
    </row>
    <row r="102" spans="1:26" s="24" customFormat="1" hidden="1" outlineLevel="1" x14ac:dyDescent="0.25">
      <c r="A102" s="44"/>
      <c r="B102" s="11" t="str">
        <f>CONCATENATE("          ", "4187", " - ", "NON-TAXABLE SALES-COMPUTER REP")</f>
        <v xml:space="preserve">          4187 - NON-TAXABLE SALES-COMPUTER REP</v>
      </c>
      <c r="C102" s="11"/>
      <c r="D102" s="2">
        <f>--651.37</f>
        <v>651.37</v>
      </c>
      <c r="E102" s="2"/>
      <c r="F102" s="19">
        <f t="shared" si="58"/>
        <v>5.0418830729285387E-3</v>
      </c>
      <c r="G102" s="2"/>
      <c r="H102" s="2">
        <f>--1922.01</f>
        <v>1922.01</v>
      </c>
      <c r="I102" s="2"/>
      <c r="J102" s="19">
        <f t="shared" si="59"/>
        <v>8.9344177174624541E-3</v>
      </c>
      <c r="K102" s="2"/>
      <c r="L102" s="2">
        <f t="shared" si="60"/>
        <v>-1270.6399999999999</v>
      </c>
      <c r="M102" s="2"/>
      <c r="N102" s="19">
        <f t="shared" si="61"/>
        <v>-0.66109957804589981</v>
      </c>
      <c r="O102" s="11"/>
      <c r="P102" s="2">
        <f>--1685.87</f>
        <v>1685.87</v>
      </c>
      <c r="Q102" s="2"/>
      <c r="R102" s="19">
        <f t="shared" si="62"/>
        <v>1.200303590580672E-3</v>
      </c>
      <c r="S102" s="2"/>
      <c r="T102" s="2">
        <f>--15110.93</f>
        <v>15110.93</v>
      </c>
      <c r="U102" s="2"/>
      <c r="V102" s="19">
        <f t="shared" si="63"/>
        <v>8.4019346234937824E-3</v>
      </c>
      <c r="W102" s="2"/>
      <c r="X102" s="2">
        <f t="shared" si="64"/>
        <v>-13425.060000000001</v>
      </c>
      <c r="Y102" s="2"/>
      <c r="Z102" s="19">
        <f t="shared" si="65"/>
        <v>-0.88843373637492873</v>
      </c>
    </row>
    <row r="103" spans="1:26" s="24" customFormat="1" hidden="1" outlineLevel="1" x14ac:dyDescent="0.25">
      <c r="A103" s="44"/>
      <c r="B103" s="11" t="str">
        <f>CONCATENATE("          ", "4387", " - ", "SALES RETURN NON TAXABLE-COMPU")</f>
        <v xml:space="preserve">          4387 - SALES RETURN NON TAXABLE-COMPU</v>
      </c>
      <c r="C103" s="11"/>
      <c r="D103" s="2">
        <f t="shared" ref="D103:D104" si="66">0</f>
        <v>0</v>
      </c>
      <c r="E103" s="2"/>
      <c r="F103" s="19">
        <f t="shared" si="58"/>
        <v>0</v>
      </c>
      <c r="G103" s="2"/>
      <c r="H103" s="2">
        <f t="shared" ref="H103:H104" si="67">0</f>
        <v>0</v>
      </c>
      <c r="I103" s="2"/>
      <c r="J103" s="19">
        <f t="shared" si="59"/>
        <v>0</v>
      </c>
      <c r="K103" s="2"/>
      <c r="L103" s="2">
        <f t="shared" si="60"/>
        <v>0</v>
      </c>
      <c r="M103" s="2"/>
      <c r="N103" s="19">
        <f t="shared" si="61"/>
        <v>0</v>
      </c>
      <c r="O103" s="11"/>
      <c r="P103" s="2">
        <f t="shared" ref="P103:P104" si="68">0</f>
        <v>0</v>
      </c>
      <c r="Q103" s="2"/>
      <c r="R103" s="19">
        <f t="shared" si="62"/>
        <v>0</v>
      </c>
      <c r="S103" s="2"/>
      <c r="T103" s="2">
        <f>-7889</f>
        <v>-7889</v>
      </c>
      <c r="U103" s="2"/>
      <c r="V103" s="19">
        <f t="shared" si="63"/>
        <v>-4.3864184563585729E-3</v>
      </c>
      <c r="W103" s="2"/>
      <c r="X103" s="2">
        <f t="shared" si="64"/>
        <v>7889</v>
      </c>
      <c r="Y103" s="2"/>
      <c r="Z103" s="19">
        <f t="shared" si="65"/>
        <v>-1</v>
      </c>
    </row>
    <row r="104" spans="1:26" s="24" customFormat="1" hidden="1" outlineLevel="1" x14ac:dyDescent="0.25">
      <c r="A104" s="44"/>
      <c r="B104" s="11" t="str">
        <f>CONCATENATE("          ", "5087", " - ", "PURCHASES @ COST-COMPUTER REPA")</f>
        <v xml:space="preserve">          5087 - PURCHASES @ COST-COMPUTER REPA</v>
      </c>
      <c r="C104" s="11"/>
      <c r="D104" s="2">
        <f t="shared" si="66"/>
        <v>0</v>
      </c>
      <c r="E104" s="2"/>
      <c r="F104" s="19">
        <f t="shared" si="58"/>
        <v>0</v>
      </c>
      <c r="G104" s="2"/>
      <c r="H104" s="2">
        <f t="shared" si="67"/>
        <v>0</v>
      </c>
      <c r="I104" s="2"/>
      <c r="J104" s="19">
        <f t="shared" si="59"/>
        <v>0</v>
      </c>
      <c r="K104" s="2"/>
      <c r="L104" s="2">
        <f t="shared" si="60"/>
        <v>0</v>
      </c>
      <c r="M104" s="2"/>
      <c r="N104" s="19">
        <f t="shared" si="61"/>
        <v>0</v>
      </c>
      <c r="O104" s="11"/>
      <c r="P104" s="2">
        <f t="shared" si="68"/>
        <v>0</v>
      </c>
      <c r="Q104" s="2"/>
      <c r="R104" s="19">
        <f t="shared" si="62"/>
        <v>0</v>
      </c>
      <c r="S104" s="2"/>
      <c r="T104" s="2">
        <f>-56.72</f>
        <v>-56.72</v>
      </c>
      <c r="U104" s="2"/>
      <c r="V104" s="19">
        <f t="shared" si="63"/>
        <v>-3.1537286708665008E-5</v>
      </c>
      <c r="W104" s="2"/>
      <c r="X104" s="2">
        <f t="shared" si="64"/>
        <v>56.72</v>
      </c>
      <c r="Y104" s="2"/>
      <c r="Z104" s="19">
        <f t="shared" si="65"/>
        <v>-1</v>
      </c>
    </row>
    <row r="105" spans="1:26" s="24" customFormat="1" hidden="1" outlineLevel="1" x14ac:dyDescent="0.25">
      <c r="A105" s="44"/>
      <c r="B105" s="11" t="str">
        <f>CONCATENATE("          ", "9150", " - ", "MISC. INCOME")</f>
        <v xml:space="preserve">          9150 - MISC. INCOME</v>
      </c>
      <c r="C105" s="11"/>
      <c r="D105" s="2">
        <f>-365.43</f>
        <v>-365.43</v>
      </c>
      <c r="E105" s="2"/>
      <c r="F105" s="19">
        <f t="shared" si="58"/>
        <v>-2.8285848770134886E-3</v>
      </c>
      <c r="G105" s="2"/>
      <c r="H105" s="2">
        <f>--4061.14</f>
        <v>4061.14</v>
      </c>
      <c r="I105" s="2"/>
      <c r="J105" s="19">
        <f t="shared" si="59"/>
        <v>1.8878112584791686E-2</v>
      </c>
      <c r="K105" s="2"/>
      <c r="L105" s="2">
        <f t="shared" si="60"/>
        <v>-4426.57</v>
      </c>
      <c r="M105" s="2"/>
      <c r="N105" s="19">
        <f t="shared" si="61"/>
        <v>-1.0899821232461822</v>
      </c>
      <c r="O105" s="11"/>
      <c r="P105" s="2">
        <f>-1056.83</f>
        <v>-1056.83</v>
      </c>
      <c r="Q105" s="2"/>
      <c r="R105" s="19">
        <f t="shared" si="62"/>
        <v>-7.5244048689007562E-4</v>
      </c>
      <c r="S105" s="2"/>
      <c r="T105" s="2">
        <f>--6054.6</f>
        <v>6054.6</v>
      </c>
      <c r="U105" s="2"/>
      <c r="V105" s="19">
        <f t="shared" si="63"/>
        <v>3.3664607917186741E-3</v>
      </c>
      <c r="W105" s="2"/>
      <c r="X105" s="2">
        <f t="shared" si="64"/>
        <v>-7111.43</v>
      </c>
      <c r="Y105" s="2"/>
      <c r="Z105" s="19">
        <f t="shared" si="65"/>
        <v>-1.1745499289796189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8" t="s">
        <v>3</v>
      </c>
      <c r="C107" s="28"/>
      <c r="D107" s="20">
        <f>+D54-D56+D101</f>
        <v>4650.4900000000098</v>
      </c>
      <c r="E107" s="14"/>
      <c r="F107" s="22">
        <f>IF(D$12=0,0,D107/D$12)</f>
        <v>3.5996786483601474E-2</v>
      </c>
      <c r="G107" s="14"/>
      <c r="H107" s="20">
        <f>+H54-H56+H101</f>
        <v>22212.960000000072</v>
      </c>
      <c r="I107" s="14"/>
      <c r="J107" s="22">
        <f>IF(H$12=0,0,H107/H$12)</f>
        <v>0.1032564156176531</v>
      </c>
      <c r="K107" s="15"/>
      <c r="L107" s="20">
        <f>+D107-H107</f>
        <v>-17562.470000000063</v>
      </c>
      <c r="M107" s="15"/>
      <c r="N107" s="22">
        <f>IF(H107=0,0,L107/H107)</f>
        <v>-0.79064068903919182</v>
      </c>
      <c r="O107" s="29"/>
      <c r="P107" s="20">
        <f>+P54-P56+P101</f>
        <v>-15855.159999999996</v>
      </c>
      <c r="Q107" s="14"/>
      <c r="R107" s="22">
        <f>IF(P$12=0,0,P107/P$12)</f>
        <v>-1.1288536765723957E-2</v>
      </c>
      <c r="S107" s="14"/>
      <c r="T107" s="20">
        <f>+T54-T56+T101</f>
        <v>77350.589999999298</v>
      </c>
      <c r="U107" s="14"/>
      <c r="V107" s="22">
        <f>IF(T$12=0,0,T107/T$12)</f>
        <v>4.3008246366614503E-2</v>
      </c>
      <c r="W107" s="15"/>
      <c r="X107" s="20">
        <f>+P107-T107</f>
        <v>-93205.749999999302</v>
      </c>
      <c r="Y107" s="15"/>
      <c r="Z107" s="22">
        <f>IF(T107=0,0,X107/T107)</f>
        <v>-1.2049778805824254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1"/>
      <c r="B109" s="10" t="s">
        <v>13</v>
      </c>
      <c r="C109" s="10"/>
      <c r="D109" s="4">
        <v>18994.759999999998</v>
      </c>
      <c r="E109" s="4"/>
      <c r="F109" s="12">
        <f>IF(D$12=0,0,D109/D$12)</f>
        <v>0.14702758634622423</v>
      </c>
      <c r="G109" s="4"/>
      <c r="H109" s="4">
        <v>16541.28</v>
      </c>
      <c r="I109" s="4"/>
      <c r="J109" s="12">
        <f>IF(H$12=0,0,H109/H$12)</f>
        <v>7.6891746193572003E-2</v>
      </c>
      <c r="K109" s="4"/>
      <c r="L109" s="4">
        <f>+D109-H109</f>
        <v>2453.4799999999996</v>
      </c>
      <c r="M109" s="4"/>
      <c r="N109" s="12">
        <f>IF(H109=0,0,L109/H109)</f>
        <v>0.14832467620401804</v>
      </c>
      <c r="O109" s="10"/>
      <c r="P109" s="4">
        <v>254960.5</v>
      </c>
      <c r="Q109" s="4"/>
      <c r="R109" s="12">
        <f>IF(P$12=0,0,P109/P$12)</f>
        <v>0.18152645435664877</v>
      </c>
      <c r="S109" s="4"/>
      <c r="T109" s="4">
        <v>187558.7</v>
      </c>
      <c r="U109" s="4"/>
      <c r="V109" s="12">
        <f>IF(T$12=0,0,T109/T$12)</f>
        <v>0.10428583386115106</v>
      </c>
      <c r="W109" s="4"/>
      <c r="X109" s="4">
        <f>+P109-T109</f>
        <v>67401.799999999988</v>
      </c>
      <c r="Y109" s="4"/>
      <c r="Z109" s="12">
        <f>IF(T109=0,0,X109/T109)</f>
        <v>0.35936376185162289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8" t="s">
        <v>4</v>
      </c>
      <c r="C111" s="28"/>
      <c r="D111" s="30">
        <f>+D107-D109</f>
        <v>-14344.26999999999</v>
      </c>
      <c r="E111" s="14"/>
      <c r="F111" s="36">
        <f>IF(D$12=0,0,D111/D$12)</f>
        <v>-0.11103079986262278</v>
      </c>
      <c r="G111" s="14"/>
      <c r="H111" s="30">
        <f>+H107-H109</f>
        <v>5671.6800000000731</v>
      </c>
      <c r="I111" s="14"/>
      <c r="J111" s="36">
        <f>IF(H$12=0,0,H111/H$12)</f>
        <v>2.6364669424081093E-2</v>
      </c>
      <c r="K111" s="15"/>
      <c r="L111" s="30">
        <f>D111-H111</f>
        <v>-20015.950000000063</v>
      </c>
      <c r="M111" s="15"/>
      <c r="N111" s="36">
        <f>IF(H111=0,0,L111/H111)</f>
        <v>-3.5291042512976412</v>
      </c>
      <c r="O111" s="29"/>
      <c r="P111" s="30">
        <f>+P107-P109</f>
        <v>-270815.65999999997</v>
      </c>
      <c r="Q111" s="14"/>
      <c r="R111" s="36">
        <f>IF(P$12=0,0,P111/P$12)</f>
        <v>-0.19281499112237271</v>
      </c>
      <c r="S111" s="14"/>
      <c r="T111" s="30">
        <f>+T107-T109</f>
        <v>-110208.11000000071</v>
      </c>
      <c r="U111" s="14"/>
      <c r="V111" s="36">
        <f>IF(T$12=0,0,T111/T$12)</f>
        <v>-6.1277587494536566E-2</v>
      </c>
      <c r="W111" s="15"/>
      <c r="X111" s="30">
        <f>P111-T111</f>
        <v>-160607.54999999926</v>
      </c>
      <c r="Y111" s="15"/>
      <c r="Z111" s="36">
        <f>IF(T111=0,0,X111/T111)</f>
        <v>1.4573115354214696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8" t="s">
        <v>5</v>
      </c>
      <c r="C114" s="28"/>
      <c r="D114" s="32">
        <f>SUM(D111:D113)</f>
        <v>-14344.26999999999</v>
      </c>
      <c r="E114" s="14"/>
      <c r="F114" s="31">
        <f>IF(D$12=0,0,D114/D$12)</f>
        <v>-0.11103079986262278</v>
      </c>
      <c r="G114" s="14"/>
      <c r="H114" s="32">
        <f>SUM(H111:H113)</f>
        <v>5671.6800000000731</v>
      </c>
      <c r="I114" s="14"/>
      <c r="J114" s="31">
        <f>IF(H$12=0,0,H114/H$12)</f>
        <v>2.6364669424081093E-2</v>
      </c>
      <c r="K114" s="15"/>
      <c r="L114" s="32">
        <f>+D114-H114</f>
        <v>-20015.950000000063</v>
      </c>
      <c r="M114" s="15"/>
      <c r="N114" s="31">
        <f>IF(H114=0,0,L114/H114)</f>
        <v>-3.5291042512976412</v>
      </c>
      <c r="O114" s="29"/>
      <c r="P114" s="32">
        <f>SUM(P111:P113)</f>
        <v>-270815.65999999997</v>
      </c>
      <c r="Q114" s="14"/>
      <c r="R114" s="31">
        <f>IF(P$12=0,0,P114/P$12)</f>
        <v>-0.19281499112237271</v>
      </c>
      <c r="S114" s="14"/>
      <c r="T114" s="32">
        <f>SUM(T111:T113)</f>
        <v>-110208.11000000071</v>
      </c>
      <c r="U114" s="14"/>
      <c r="V114" s="31">
        <f>IF(T$12=0,0,T114/T$12)</f>
        <v>-6.1277587494536566E-2</v>
      </c>
      <c r="W114" s="15"/>
      <c r="X114" s="32">
        <f>+P114-T114</f>
        <v>-160607.54999999926</v>
      </c>
      <c r="Y114" s="15"/>
      <c r="Z114" s="31">
        <f>IF(T114=0,0,X114/T114)</f>
        <v>1.4573115354214696</v>
      </c>
    </row>
    <row r="115" spans="1:26" ht="15.75" thickTop="1" x14ac:dyDescent="0.25">
      <c r="A115" s="9"/>
      <c r="C115" s="9"/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6" x14ac:dyDescent="0.25">
      <c r="A116" s="9"/>
      <c r="B116" s="62">
        <v>44238.496001539352</v>
      </c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6" x14ac:dyDescent="0.25">
      <c r="A117" s="9"/>
      <c r="B117" s="59" t="s">
        <v>313</v>
      </c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56"/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","317", " - ", "Computer Store")</f>
        <v>Department 317 - Computer Store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129191.81000000001</v>
      </c>
      <c r="E12" s="4"/>
      <c r="F12" s="12"/>
      <c r="G12" s="4"/>
      <c r="H12" s="4">
        <f>SUM(OSRRefH13x_0)</f>
        <v>215124.26000000007</v>
      </c>
      <c r="I12" s="4"/>
      <c r="J12" s="12"/>
      <c r="K12" s="4"/>
      <c r="L12" s="4">
        <f t="shared" ref="L12:L37" si="0">+D12-H12</f>
        <v>-85932.450000000055</v>
      </c>
      <c r="M12" s="4"/>
      <c r="N12" s="12">
        <f t="shared" ref="N12:N37" si="1">IF(H12=0,0,L12/H12)</f>
        <v>-0.39945494757309113</v>
      </c>
      <c r="O12" s="10"/>
      <c r="P12" s="4">
        <f>SUM(OSRRefP13x_0)</f>
        <v>1404536.33</v>
      </c>
      <c r="Q12" s="4"/>
      <c r="R12" s="12"/>
      <c r="S12" s="4"/>
      <c r="T12" s="4">
        <f>SUM(OSRRefT13x_0)</f>
        <v>1798506.0199999998</v>
      </c>
      <c r="U12" s="4"/>
      <c r="V12" s="12"/>
      <c r="W12" s="4"/>
      <c r="X12" s="4">
        <f t="shared" ref="X12:X37" si="2">+P12-T12</f>
        <v>-393969.68999999971</v>
      </c>
      <c r="Y12" s="4"/>
      <c r="Z12" s="12">
        <f t="shared" ref="Z12:Z37" si="3">IF(T12=0,0,X12/T12)</f>
        <v>-0.21905386227175361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-339.19</f>
        <v>-339.19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-339.19</v>
      </c>
      <c r="M13" s="2"/>
      <c r="N13" s="19">
        <f t="shared" si="1"/>
        <v>0</v>
      </c>
      <c r="O13" s="11"/>
      <c r="P13" s="2">
        <f>-2647.96</f>
        <v>-2647.96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-2647.96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--2318.54</f>
        <v>2318.54</v>
      </c>
      <c r="E14" s="2"/>
      <c r="F14" s="19"/>
      <c r="G14" s="2"/>
      <c r="H14" s="2">
        <f>--27353.95</f>
        <v>27353.95</v>
      </c>
      <c r="I14" s="2"/>
      <c r="J14" s="19"/>
      <c r="K14" s="2"/>
      <c r="L14" s="2">
        <f t="shared" si="0"/>
        <v>-25035.41</v>
      </c>
      <c r="M14" s="2"/>
      <c r="N14" s="19">
        <f t="shared" si="1"/>
        <v>-0.91523929816351934</v>
      </c>
      <c r="O14" s="11"/>
      <c r="P14" s="2">
        <f>--59198.06</f>
        <v>59198.06</v>
      </c>
      <c r="Q14" s="2"/>
      <c r="R14" s="19"/>
      <c r="S14" s="2"/>
      <c r="T14" s="2">
        <f>--271489</f>
        <v>271489</v>
      </c>
      <c r="U14" s="2"/>
      <c r="V14" s="19"/>
      <c r="W14" s="2"/>
      <c r="X14" s="2">
        <f t="shared" si="2"/>
        <v>-212290.94</v>
      </c>
      <c r="Y14" s="2"/>
      <c r="Z14" s="19">
        <f t="shared" si="3"/>
        <v>-0.78195042893082223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--91766.28</f>
        <v>91766.28</v>
      </c>
      <c r="E15" s="2"/>
      <c r="F15" s="19"/>
      <c r="G15" s="2"/>
      <c r="H15" s="2">
        <f>--164778.22</f>
        <v>164778.22</v>
      </c>
      <c r="I15" s="2"/>
      <c r="J15" s="19"/>
      <c r="K15" s="2"/>
      <c r="L15" s="2">
        <f t="shared" si="0"/>
        <v>-73011.94</v>
      </c>
      <c r="M15" s="2"/>
      <c r="N15" s="19">
        <f t="shared" si="1"/>
        <v>-0.44309217565282599</v>
      </c>
      <c r="O15" s="11"/>
      <c r="P15" s="2">
        <f>--1085023.17</f>
        <v>1085023.17</v>
      </c>
      <c r="Q15" s="2"/>
      <c r="R15" s="19"/>
      <c r="S15" s="2"/>
      <c r="T15" s="2">
        <f>--1507113.48</f>
        <v>1507113.48</v>
      </c>
      <c r="U15" s="2"/>
      <c r="V15" s="19"/>
      <c r="W15" s="2"/>
      <c r="X15" s="2">
        <f t="shared" si="2"/>
        <v>-422090.31000000006</v>
      </c>
      <c r="Y15" s="2"/>
      <c r="Z15" s="19">
        <f t="shared" si="3"/>
        <v>-0.28006538034548006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--8639.61</f>
        <v>8639.61</v>
      </c>
      <c r="E16" s="2"/>
      <c r="F16" s="19"/>
      <c r="G16" s="2"/>
      <c r="H16" s="2">
        <f>--13898.03</f>
        <v>13898.03</v>
      </c>
      <c r="I16" s="2"/>
      <c r="J16" s="19"/>
      <c r="K16" s="2"/>
      <c r="L16" s="2">
        <f t="shared" si="0"/>
        <v>-5258.42</v>
      </c>
      <c r="M16" s="2"/>
      <c r="N16" s="19">
        <f t="shared" si="1"/>
        <v>-0.37835722041181374</v>
      </c>
      <c r="O16" s="11"/>
      <c r="P16" s="2">
        <f>--93277.59</f>
        <v>93277.59</v>
      </c>
      <c r="Q16" s="2"/>
      <c r="R16" s="19"/>
      <c r="S16" s="2"/>
      <c r="T16" s="2">
        <f>--84329.23</f>
        <v>84329.23</v>
      </c>
      <c r="U16" s="2"/>
      <c r="V16" s="19"/>
      <c r="W16" s="2"/>
      <c r="X16" s="2">
        <f t="shared" si="2"/>
        <v>8948.36</v>
      </c>
      <c r="Y16" s="2"/>
      <c r="Z16" s="19">
        <f t="shared" si="3"/>
        <v>0.10611219858167804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>
        <f t="shared" ref="H17:H18" si="4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--149.99</f>
        <v>149.99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149.99</v>
      </c>
      <c r="M18" s="2"/>
      <c r="N18" s="19">
        <f t="shared" si="1"/>
        <v>0</v>
      </c>
      <c r="O18" s="11"/>
      <c r="P18" s="2">
        <f>--2878.93</f>
        <v>2878.93</v>
      </c>
      <c r="Q18" s="2"/>
      <c r="R18" s="19"/>
      <c r="S18" s="2"/>
      <c r="T18" s="2">
        <f>--4407.94</f>
        <v>4407.9399999999996</v>
      </c>
      <c r="U18" s="2"/>
      <c r="V18" s="19"/>
      <c r="W18" s="2"/>
      <c r="X18" s="2">
        <f t="shared" si="2"/>
        <v>-1529.0099999999998</v>
      </c>
      <c r="Y18" s="2"/>
      <c r="Z18" s="19">
        <f t="shared" si="3"/>
        <v>-0.3468763186431757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--734.26</f>
        <v>734.26</v>
      </c>
      <c r="E19" s="2"/>
      <c r="F19" s="19"/>
      <c r="G19" s="2"/>
      <c r="H19" s="2">
        <f>--7282.64</f>
        <v>7282.64</v>
      </c>
      <c r="I19" s="2"/>
      <c r="J19" s="19"/>
      <c r="K19" s="2"/>
      <c r="L19" s="2">
        <f t="shared" si="0"/>
        <v>-6548.38</v>
      </c>
      <c r="M19" s="2"/>
      <c r="N19" s="19">
        <f t="shared" si="1"/>
        <v>-0.89917667219579711</v>
      </c>
      <c r="O19" s="11"/>
      <c r="P19" s="2">
        <f>--57869.84</f>
        <v>57869.84</v>
      </c>
      <c r="Q19" s="2"/>
      <c r="R19" s="19"/>
      <c r="S19" s="2"/>
      <c r="T19" s="2">
        <f>--40361.11</f>
        <v>40361.11</v>
      </c>
      <c r="U19" s="2"/>
      <c r="V19" s="19"/>
      <c r="W19" s="2"/>
      <c r="X19" s="2">
        <f t="shared" si="2"/>
        <v>17508.729999999996</v>
      </c>
      <c r="Y19" s="2"/>
      <c r="Z19" s="19">
        <f t="shared" si="3"/>
        <v>0.433801994048231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0</f>
        <v>0</v>
      </c>
      <c r="E20" s="2"/>
      <c r="F20" s="19"/>
      <c r="G20" s="2"/>
      <c r="H20" s="2">
        <f>--118.97</f>
        <v>118.97</v>
      </c>
      <c r="I20" s="2"/>
      <c r="J20" s="19"/>
      <c r="K20" s="2"/>
      <c r="L20" s="2">
        <f t="shared" si="0"/>
        <v>-118.97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--1055.88</f>
        <v>1055.8800000000001</v>
      </c>
      <c r="U20" s="2"/>
      <c r="V20" s="19"/>
      <c r="W20" s="2"/>
      <c r="X20" s="2">
        <f t="shared" si="2"/>
        <v>-1055.8800000000001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"4181", " - ", "NON-TAXABLE SALES-ELECTRONICS")</f>
        <v xml:space="preserve">          4181 - NON-TAXABLE SALES-ELECTRONICS</v>
      </c>
      <c r="C21" s="11"/>
      <c r="D21" s="2">
        <f>--2038.6</f>
        <v>2038.6</v>
      </c>
      <c r="E21" s="2"/>
      <c r="F21" s="19"/>
      <c r="G21" s="2"/>
      <c r="H21" s="2">
        <f>--343.91</f>
        <v>343.91</v>
      </c>
      <c r="I21" s="2"/>
      <c r="J21" s="19"/>
      <c r="K21" s="2"/>
      <c r="L21" s="2">
        <f t="shared" si="0"/>
        <v>1694.6899999999998</v>
      </c>
      <c r="M21" s="2"/>
      <c r="N21" s="19">
        <f t="shared" si="1"/>
        <v>4.9277136460120374</v>
      </c>
      <c r="O21" s="11"/>
      <c r="P21" s="2">
        <f>--5572.72</f>
        <v>5572.72</v>
      </c>
      <c r="Q21" s="2"/>
      <c r="R21" s="19"/>
      <c r="S21" s="2"/>
      <c r="T21" s="2">
        <f>--1806.42</f>
        <v>1806.42</v>
      </c>
      <c r="U21" s="2"/>
      <c r="V21" s="19"/>
      <c r="W21" s="2"/>
      <c r="X21" s="2">
        <f t="shared" si="2"/>
        <v>3766.3</v>
      </c>
      <c r="Y21" s="2"/>
      <c r="Z21" s="19">
        <f t="shared" si="3"/>
        <v>2.0849525580983381</v>
      </c>
    </row>
    <row r="22" spans="1:26" s="24" customFormat="1" hidden="1" outlineLevel="1" x14ac:dyDescent="0.25">
      <c r="A22" s="44"/>
      <c r="B22" s="11" t="str">
        <f>CONCATENATE("          ", "4182", " - ", "NON-TAXABLE SALES-COMPUTER HAR")</f>
        <v xml:space="preserve">          4182 - NON-TAXABLE SALES-COMPUTER HAR</v>
      </c>
      <c r="C22" s="11"/>
      <c r="D22" s="2">
        <f>--22090.89</f>
        <v>22090.89</v>
      </c>
      <c r="E22" s="2"/>
      <c r="F22" s="19"/>
      <c r="G22" s="2"/>
      <c r="H22" s="2">
        <f>--16176.97</f>
        <v>16176.97</v>
      </c>
      <c r="I22" s="2"/>
      <c r="J22" s="19"/>
      <c r="K22" s="2"/>
      <c r="L22" s="2">
        <f t="shared" si="0"/>
        <v>5913.92</v>
      </c>
      <c r="M22" s="2"/>
      <c r="N22" s="19">
        <f t="shared" si="1"/>
        <v>0.36557649547473975</v>
      </c>
      <c r="O22" s="11"/>
      <c r="P22" s="2">
        <f>--186399.2</f>
        <v>186399.2</v>
      </c>
      <c r="Q22" s="2"/>
      <c r="R22" s="19"/>
      <c r="S22" s="2"/>
      <c r="T22" s="2">
        <f>--86971.97</f>
        <v>86971.97</v>
      </c>
      <c r="U22" s="2"/>
      <c r="V22" s="19"/>
      <c r="W22" s="2"/>
      <c r="X22" s="2">
        <f t="shared" si="2"/>
        <v>99427.23000000001</v>
      </c>
      <c r="Y22" s="2"/>
      <c r="Z22" s="19">
        <f t="shared" si="3"/>
        <v>1.1432100480189193</v>
      </c>
    </row>
    <row r="23" spans="1:26" s="24" customFormat="1" hidden="1" outlineLevel="1" x14ac:dyDescent="0.25">
      <c r="A23" s="44"/>
      <c r="B23" s="11" t="str">
        <f>CONCATENATE("          ", "4183", " - ", "NON-TAXABLE SALES-COMPUTER EQU")</f>
        <v xml:space="preserve">          4183 - NON-TAXABLE SALES-COMPUTER EQU</v>
      </c>
      <c r="C23" s="11"/>
      <c r="D23" s="2">
        <f>--2888.95</f>
        <v>2888.95</v>
      </c>
      <c r="E23" s="2"/>
      <c r="F23" s="19"/>
      <c r="G23" s="2"/>
      <c r="H23" s="2">
        <f>--777.81</f>
        <v>777.81</v>
      </c>
      <c r="I23" s="2"/>
      <c r="J23" s="19"/>
      <c r="K23" s="2"/>
      <c r="L23" s="2">
        <f t="shared" si="0"/>
        <v>2111.14</v>
      </c>
      <c r="M23" s="2"/>
      <c r="N23" s="19">
        <f t="shared" si="1"/>
        <v>2.714210411282961</v>
      </c>
      <c r="O23" s="11"/>
      <c r="P23" s="2">
        <f>--10518.14</f>
        <v>10518.14</v>
      </c>
      <c r="Q23" s="2"/>
      <c r="R23" s="19"/>
      <c r="S23" s="2"/>
      <c r="T23" s="2">
        <f>--4349.44</f>
        <v>4349.4399999999996</v>
      </c>
      <c r="U23" s="2"/>
      <c r="V23" s="19"/>
      <c r="W23" s="2"/>
      <c r="X23" s="2">
        <f t="shared" si="2"/>
        <v>6168.7</v>
      </c>
      <c r="Y23" s="2"/>
      <c r="Z23" s="19">
        <f t="shared" si="3"/>
        <v>1.4182745364920541</v>
      </c>
    </row>
    <row r="24" spans="1:26" s="24" customFormat="1" hidden="1" outlineLevel="1" x14ac:dyDescent="0.25">
      <c r="A24" s="44"/>
      <c r="B24" s="11" t="str">
        <f>CONCATENATE("          ", "4184", " - ", "NON-TAXABLE SALES-SOFTWARE LIC")</f>
        <v xml:space="preserve">          4184 - NON-TAXABLE SALES-SOFTWARE LIC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--2728</f>
        <v>2728</v>
      </c>
      <c r="U24" s="2"/>
      <c r="V24" s="19"/>
      <c r="W24" s="2"/>
      <c r="X24" s="2">
        <f t="shared" si="2"/>
        <v>-2728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"4185", " - ", "NON-TAXABLE SALES-SOFTWARE")</f>
        <v xml:space="preserve">          4185 - NON-TAXABLE SALES-SOFTWARE</v>
      </c>
      <c r="C25" s="11"/>
      <c r="D25" s="2">
        <f>--3149.85</f>
        <v>3149.85</v>
      </c>
      <c r="E25" s="2"/>
      <c r="F25" s="19"/>
      <c r="G25" s="2"/>
      <c r="H25" s="2">
        <f>--1925.98</f>
        <v>1925.98</v>
      </c>
      <c r="I25" s="2"/>
      <c r="J25" s="19"/>
      <c r="K25" s="2"/>
      <c r="L25" s="2">
        <f t="shared" si="0"/>
        <v>1223.8699999999999</v>
      </c>
      <c r="M25" s="2"/>
      <c r="N25" s="19">
        <f t="shared" si="1"/>
        <v>0.63545311997009313</v>
      </c>
      <c r="O25" s="11"/>
      <c r="P25" s="2">
        <f>--29830.52</f>
        <v>29830.52</v>
      </c>
      <c r="Q25" s="2"/>
      <c r="R25" s="19"/>
      <c r="S25" s="2"/>
      <c r="T25" s="2">
        <f>--11327.82</f>
        <v>11327.82</v>
      </c>
      <c r="U25" s="2"/>
      <c r="V25" s="19"/>
      <c r="W25" s="2"/>
      <c r="X25" s="2">
        <f t="shared" si="2"/>
        <v>18502.7</v>
      </c>
      <c r="Y25" s="2"/>
      <c r="Z25" s="19">
        <f t="shared" si="3"/>
        <v>1.6333857706072308</v>
      </c>
    </row>
    <row r="26" spans="1:26" s="24" customFormat="1" hidden="1" outlineLevel="1" x14ac:dyDescent="0.25">
      <c r="A26" s="44"/>
      <c r="B26" s="11" t="str">
        <f>CONCATENATE("          ", "4186", " - ", "NON-TAXABLE SALES-COMPUTER SUP")</f>
        <v xml:space="preserve">          4186 - NON-TAXABLE SALES-COMPUTER SUP</v>
      </c>
      <c r="C26" s="11"/>
      <c r="D26" s="2">
        <f>--535.04</f>
        <v>535.04</v>
      </c>
      <c r="E26" s="2"/>
      <c r="F26" s="19"/>
      <c r="G26" s="2"/>
      <c r="H26" s="2">
        <f>--326.92</f>
        <v>326.92</v>
      </c>
      <c r="I26" s="2"/>
      <c r="J26" s="19"/>
      <c r="K26" s="2"/>
      <c r="L26" s="2">
        <f t="shared" si="0"/>
        <v>208.11999999999995</v>
      </c>
      <c r="M26" s="2"/>
      <c r="N26" s="19">
        <f t="shared" si="1"/>
        <v>0.63660834454912496</v>
      </c>
      <c r="O26" s="11"/>
      <c r="P26" s="2">
        <f>--2485.03</f>
        <v>2485.0300000000002</v>
      </c>
      <c r="Q26" s="2"/>
      <c r="R26" s="19"/>
      <c r="S26" s="2"/>
      <c r="T26" s="2">
        <f>--1980.28</f>
        <v>1980.28</v>
      </c>
      <c r="U26" s="2"/>
      <c r="V26" s="19"/>
      <c r="W26" s="2"/>
      <c r="X26" s="2">
        <f t="shared" si="2"/>
        <v>504.75000000000023</v>
      </c>
      <c r="Y26" s="2"/>
      <c r="Z26" s="19">
        <f t="shared" si="3"/>
        <v>0.25488819762861831</v>
      </c>
    </row>
    <row r="27" spans="1:26" s="24" customFormat="1" hidden="1" outlineLevel="1" x14ac:dyDescent="0.25">
      <c r="A27" s="44"/>
      <c r="B27" s="11" t="str">
        <f>CONCATENATE("          ", "4188", " - ", "NON-TAXABLE SALES-MUSIC")</f>
        <v xml:space="preserve">          4188 - NON-TAXABLE SALES-MUSIC</v>
      </c>
      <c r="C27" s="11"/>
      <c r="D27" s="2">
        <f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--219.96</f>
        <v>219.96</v>
      </c>
      <c r="U27" s="2"/>
      <c r="V27" s="19"/>
      <c r="W27" s="2"/>
      <c r="X27" s="2">
        <f t="shared" si="2"/>
        <v>-219.96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"4281", " - ", "SALES RETURN TAXABLE-ELECTRONI")</f>
        <v xml:space="preserve">          4281 - SALES RETURN TAXABLE-ELECTRONI</v>
      </c>
      <c r="C28" s="11"/>
      <c r="D28" s="2">
        <f>-129.99</f>
        <v>-129.99</v>
      </c>
      <c r="E28" s="2"/>
      <c r="F28" s="19"/>
      <c r="G28" s="2"/>
      <c r="H28" s="2">
        <f>-642.85</f>
        <v>-642.85</v>
      </c>
      <c r="I28" s="2"/>
      <c r="J28" s="19"/>
      <c r="K28" s="2"/>
      <c r="L28" s="2">
        <f t="shared" si="0"/>
        <v>512.86</v>
      </c>
      <c r="M28" s="2"/>
      <c r="N28" s="19">
        <f t="shared" si="1"/>
        <v>-0.79779108656762854</v>
      </c>
      <c r="O28" s="11"/>
      <c r="P28" s="2">
        <f>-14762.14</f>
        <v>-14762.14</v>
      </c>
      <c r="Q28" s="2"/>
      <c r="R28" s="19"/>
      <c r="S28" s="2"/>
      <c r="T28" s="2">
        <f>-6449.84</f>
        <v>-6449.84</v>
      </c>
      <c r="U28" s="2"/>
      <c r="V28" s="19"/>
      <c r="W28" s="2"/>
      <c r="X28" s="2">
        <f t="shared" si="2"/>
        <v>-8312.2999999999993</v>
      </c>
      <c r="Y28" s="2"/>
      <c r="Z28" s="19">
        <f t="shared" si="3"/>
        <v>1.288760651427012</v>
      </c>
    </row>
    <row r="29" spans="1:26" s="24" customFormat="1" hidden="1" outlineLevel="1" x14ac:dyDescent="0.25">
      <c r="A29" s="44"/>
      <c r="B29" s="11" t="str">
        <f>CONCATENATE("          ", "4282", " - ", "SALES RETURN TAXABLE-COMPUTER")</f>
        <v xml:space="preserve">          4282 - SALES RETURN TAXABLE-COMPUTER</v>
      </c>
      <c r="C29" s="11"/>
      <c r="D29" s="2">
        <f>-4897</f>
        <v>-4897</v>
      </c>
      <c r="E29" s="2"/>
      <c r="F29" s="19"/>
      <c r="G29" s="2"/>
      <c r="H29" s="2">
        <f>-15229.61</f>
        <v>-15229.61</v>
      </c>
      <c r="I29" s="2"/>
      <c r="J29" s="19"/>
      <c r="K29" s="2"/>
      <c r="L29" s="2">
        <f t="shared" si="0"/>
        <v>10332.61</v>
      </c>
      <c r="M29" s="2"/>
      <c r="N29" s="19">
        <f t="shared" si="1"/>
        <v>-0.67845532485730098</v>
      </c>
      <c r="O29" s="11"/>
      <c r="P29" s="2">
        <f>-96917.01</f>
        <v>-96917.01</v>
      </c>
      <c r="Q29" s="2"/>
      <c r="R29" s="19"/>
      <c r="S29" s="2"/>
      <c r="T29" s="2">
        <f>-202883.19</f>
        <v>-202883.19</v>
      </c>
      <c r="U29" s="2"/>
      <c r="V29" s="19"/>
      <c r="W29" s="2"/>
      <c r="X29" s="2">
        <f t="shared" si="2"/>
        <v>105966.18000000001</v>
      </c>
      <c r="Y29" s="2"/>
      <c r="Z29" s="19">
        <f t="shared" si="3"/>
        <v>-0.52230142871866325</v>
      </c>
    </row>
    <row r="30" spans="1:26" s="24" customFormat="1" hidden="1" outlineLevel="1" x14ac:dyDescent="0.25">
      <c r="A30" s="44"/>
      <c r="B30" s="11" t="str">
        <f>CONCATENATE("          ", "4283", " - ", "SALES RETURN TAXABLE-COMPUTER")</f>
        <v xml:space="preserve">          4283 - SALES RETURN TAXABLE-COMPUTER</v>
      </c>
      <c r="C30" s="11"/>
      <c r="D30" s="2">
        <f>--264.97</f>
        <v>264.97000000000003</v>
      </c>
      <c r="E30" s="2"/>
      <c r="F30" s="19"/>
      <c r="G30" s="2"/>
      <c r="H30" s="2">
        <f>-1632.57</f>
        <v>-1632.57</v>
      </c>
      <c r="I30" s="2"/>
      <c r="J30" s="19"/>
      <c r="K30" s="2"/>
      <c r="L30" s="2">
        <f t="shared" si="0"/>
        <v>1897.54</v>
      </c>
      <c r="M30" s="2"/>
      <c r="N30" s="19">
        <f t="shared" si="1"/>
        <v>-1.1623023821336911</v>
      </c>
      <c r="O30" s="11"/>
      <c r="P30" s="2">
        <f>-3146.29</f>
        <v>-3146.29</v>
      </c>
      <c r="Q30" s="2"/>
      <c r="R30" s="19"/>
      <c r="S30" s="2"/>
      <c r="T30" s="2">
        <f>-4914.72</f>
        <v>-4914.72</v>
      </c>
      <c r="U30" s="2"/>
      <c r="V30" s="19"/>
      <c r="W30" s="2"/>
      <c r="X30" s="2">
        <f t="shared" si="2"/>
        <v>1768.4300000000003</v>
      </c>
      <c r="Y30" s="2"/>
      <c r="Z30" s="19">
        <f t="shared" si="3"/>
        <v>-0.35982314353615263</v>
      </c>
    </row>
    <row r="31" spans="1:26" s="24" customFormat="1" hidden="1" outlineLevel="1" x14ac:dyDescent="0.25">
      <c r="A31" s="44"/>
      <c r="B31" s="11" t="str">
        <f>CONCATENATE("          ", "4284", " - ", "SALES RETURN TAXABLE-SOFTWARE")</f>
        <v xml:space="preserve">          4284 - SALES RETURN TAXABLE-SOFTWARE</v>
      </c>
      <c r="C31" s="11"/>
      <c r="D31" s="2">
        <f t="shared" ref="D31:D32" si="5">0</f>
        <v>0</v>
      </c>
      <c r="E31" s="2"/>
      <c r="F31" s="19"/>
      <c r="G31" s="2"/>
      <c r="H31" s="2">
        <f t="shared" ref="H31:H32" si="6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"4285", " - ", "SALES RETURN TAXABLE-SOFTWARE")</f>
        <v xml:space="preserve">          4285 - SALES RETURN TAXABLE-SOFTWARE</v>
      </c>
      <c r="C32" s="11"/>
      <c r="D32" s="2">
        <f t="shared" si="5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-691.98</f>
        <v>-691.98</v>
      </c>
      <c r="Q32" s="2"/>
      <c r="R32" s="19"/>
      <c r="S32" s="2"/>
      <c r="T32" s="2">
        <f>-655.98</f>
        <v>-655.98</v>
      </c>
      <c r="U32" s="2"/>
      <c r="V32" s="19"/>
      <c r="W32" s="2"/>
      <c r="X32" s="2">
        <f t="shared" si="2"/>
        <v>-36</v>
      </c>
      <c r="Y32" s="2"/>
      <c r="Z32" s="19">
        <f t="shared" si="3"/>
        <v>5.4879721942742155E-2</v>
      </c>
    </row>
    <row r="33" spans="1:26" s="24" customFormat="1" hidden="1" outlineLevel="1" x14ac:dyDescent="0.25">
      <c r="A33" s="44"/>
      <c r="B33" s="11" t="str">
        <f>CONCATENATE("          ", "4286", " - ", "SALES RETURN TAXABLE-COMPUTER")</f>
        <v xml:space="preserve">          4286 - SALES RETURN TAXABLE-COMPUTER</v>
      </c>
      <c r="C33" s="11"/>
      <c r="D33" s="2">
        <f>-18.99</f>
        <v>-18.989999999999998</v>
      </c>
      <c r="E33" s="2"/>
      <c r="F33" s="19"/>
      <c r="G33" s="2"/>
      <c r="H33" s="2">
        <f>-304.12</f>
        <v>-304.12</v>
      </c>
      <c r="I33" s="2"/>
      <c r="J33" s="19"/>
      <c r="K33" s="2"/>
      <c r="L33" s="2">
        <f t="shared" si="0"/>
        <v>285.13</v>
      </c>
      <c r="M33" s="2"/>
      <c r="N33" s="19">
        <f t="shared" si="1"/>
        <v>-0.93755754307510186</v>
      </c>
      <c r="O33" s="11"/>
      <c r="P33" s="2">
        <f>-4727.34</f>
        <v>-4727.34</v>
      </c>
      <c r="Q33" s="2"/>
      <c r="R33" s="19"/>
      <c r="S33" s="2"/>
      <c r="T33" s="2">
        <f>-3292.01</f>
        <v>-3292.01</v>
      </c>
      <c r="U33" s="2"/>
      <c r="V33" s="19"/>
      <c r="W33" s="2"/>
      <c r="X33" s="2">
        <f t="shared" si="2"/>
        <v>-1435.33</v>
      </c>
      <c r="Y33" s="2"/>
      <c r="Z33" s="19">
        <f t="shared" si="3"/>
        <v>0.43600414336529958</v>
      </c>
    </row>
    <row r="34" spans="1:26" s="24" customFormat="1" hidden="1" outlineLevel="1" x14ac:dyDescent="0.25">
      <c r="A34" s="44"/>
      <c r="B34" s="11" t="str">
        <f>CONCATENATE("          ", "4288", " - ", "TAXABLE SALES RETURN-MUSIC")</f>
        <v xml:space="preserve">          4288 - TAXABLE SALES RETURN-MUSIC</v>
      </c>
      <c r="C34" s="11"/>
      <c r="D34" s="2">
        <f t="shared" ref="D34:D37" si="7">0</f>
        <v>0</v>
      </c>
      <c r="E34" s="2"/>
      <c r="F34" s="19"/>
      <c r="G34" s="2"/>
      <c r="H34" s="2">
        <f t="shared" ref="H34:H36" si="8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0</f>
        <v>0</v>
      </c>
      <c r="Q34" s="2"/>
      <c r="R34" s="19"/>
      <c r="S34" s="2"/>
      <c r="T34" s="2">
        <f>-3.99</f>
        <v>-3.99</v>
      </c>
      <c r="U34" s="2"/>
      <c r="V34" s="19"/>
      <c r="W34" s="2"/>
      <c r="X34" s="2">
        <f t="shared" si="2"/>
        <v>3.99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"4381", " - ", "SALES RETURN NON TAXABLE-ELECT")</f>
        <v xml:space="preserve">          4381 - SALES RETURN NON TAXABLE-ELECT</v>
      </c>
      <c r="C35" s="11"/>
      <c r="D35" s="2">
        <f t="shared" si="7"/>
        <v>0</v>
      </c>
      <c r="E35" s="2"/>
      <c r="F35" s="19"/>
      <c r="G35" s="2"/>
      <c r="H35" s="2">
        <f t="shared" si="8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-5624.15</f>
        <v>-5624.15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-4344.3099999999995</v>
      </c>
      <c r="Y35" s="2"/>
      <c r="Z35" s="19">
        <f t="shared" si="3"/>
        <v>3.3944164895611948</v>
      </c>
    </row>
    <row r="36" spans="1:26" s="24" customFormat="1" hidden="1" outlineLevel="1" x14ac:dyDescent="0.25">
      <c r="A36" s="44"/>
      <c r="B36" s="11" t="str">
        <f>CONCATENATE("          ", "4383", " - ", "SALES RETURN NON TAXABLE-COMPU")</f>
        <v xml:space="preserve">          4383 - SALES RETURN NON TAXABLE-COMPU</v>
      </c>
      <c r="C36" s="11"/>
      <c r="D36" s="2">
        <f t="shared" si="7"/>
        <v>0</v>
      </c>
      <c r="E36" s="2"/>
      <c r="F36" s="19"/>
      <c r="G36" s="2"/>
      <c r="H36" s="2">
        <f t="shared" si="8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ref="P36:P37" si="9">0</f>
        <v>0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49.98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"4386", " - ", "SALES RETURN NON TAXABLE-COMPU")</f>
        <v xml:space="preserve">          4386 - SALES RETURN NON TAXABLE-COMPU</v>
      </c>
      <c r="C37" s="11"/>
      <c r="D37" s="2">
        <f t="shared" si="7"/>
        <v>0</v>
      </c>
      <c r="E37" s="2"/>
      <c r="F37" s="19"/>
      <c r="G37" s="2"/>
      <c r="H37" s="2">
        <f>-49.99</f>
        <v>-49.99</v>
      </c>
      <c r="I37" s="2"/>
      <c r="J37" s="19"/>
      <c r="K37" s="2"/>
      <c r="L37" s="2">
        <f t="shared" si="0"/>
        <v>49.99</v>
      </c>
      <c r="M37" s="2"/>
      <c r="N37" s="19">
        <f t="shared" si="1"/>
        <v>-1</v>
      </c>
      <c r="O37" s="11"/>
      <c r="P37" s="2">
        <f t="shared" si="9"/>
        <v>0</v>
      </c>
      <c r="Q37" s="2"/>
      <c r="R37" s="19"/>
      <c r="S37" s="2"/>
      <c r="T37" s="2">
        <f>-104.96</f>
        <v>-104.96</v>
      </c>
      <c r="U37" s="2"/>
      <c r="V37" s="19"/>
      <c r="W37" s="2"/>
      <c r="X37" s="2">
        <f t="shared" si="2"/>
        <v>104.96</v>
      </c>
      <c r="Y37" s="2"/>
      <c r="Z37" s="19">
        <f t="shared" si="3"/>
        <v>-1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collapsed="1" x14ac:dyDescent="0.25">
      <c r="A39" s="10"/>
      <c r="B39" s="29" t="s">
        <v>8</v>
      </c>
      <c r="C39" s="10"/>
      <c r="D39" s="4">
        <f>SUM(OSRRefD16x_0)</f>
        <v>110569</v>
      </c>
      <c r="E39" s="4"/>
      <c r="F39" s="12">
        <f t="shared" ref="F39:F52" si="10">IF(D$12=0,0,D39/D$12)</f>
        <v>0.85585146612621954</v>
      </c>
      <c r="G39" s="4"/>
      <c r="H39" s="4">
        <f>SUM(OSRRefH16x_0)</f>
        <v>181262.43</v>
      </c>
      <c r="I39" s="4"/>
      <c r="J39" s="12">
        <f t="shared" ref="J39:J52" si="11">IF(H$12=0,0,H39/H$12)</f>
        <v>0.84259408957409054</v>
      </c>
      <c r="K39" s="4"/>
      <c r="L39" s="4">
        <f t="shared" ref="L39:L52" si="12">+D39-H39</f>
        <v>-70693.429999999993</v>
      </c>
      <c r="M39" s="4"/>
      <c r="N39" s="12">
        <f t="shared" ref="N39:N52" si="13">IF(H39=0,0,L39/H39)</f>
        <v>-0.39000597090086453</v>
      </c>
      <c r="O39" s="10"/>
      <c r="P39" s="4">
        <f>SUM(OSRRefP16x_0)</f>
        <v>1326535.8400000001</v>
      </c>
      <c r="Q39" s="4"/>
      <c r="R39" s="12">
        <f t="shared" ref="R39:R52" si="14">IF(P$12=0,0,P39/P$12)</f>
        <v>0.94446530977237164</v>
      </c>
      <c r="S39" s="4"/>
      <c r="T39" s="4">
        <f>SUM(OSRRefT16x_0)</f>
        <v>1588309.2800000005</v>
      </c>
      <c r="U39" s="4"/>
      <c r="V39" s="12">
        <f t="shared" ref="V39:V52" si="15">IF(T$12=0,0,T39/T$12)</f>
        <v>0.88312703006687776</v>
      </c>
      <c r="W39" s="4"/>
      <c r="X39" s="4">
        <f t="shared" ref="X39:X52" si="16">+P39-T39</f>
        <v>-261773.44000000041</v>
      </c>
      <c r="Y39" s="4"/>
      <c r="Z39" s="12">
        <f t="shared" ref="Z39:Z52" si="17">IF(T39=0,0,X39/T39)</f>
        <v>-0.16481263649104935</v>
      </c>
    </row>
    <row r="40" spans="1:26" s="24" customFormat="1" hidden="1" outlineLevel="1" x14ac:dyDescent="0.25">
      <c r="A40" s="44"/>
      <c r="B40" s="11" t="str">
        <f>CONCATENATE("          ", "5081", " - ", "PURCHASES @ COST-ELECTRONICS")</f>
        <v xml:space="preserve">          5081 - PURCHASES @ COST-ELECTRONICS</v>
      </c>
      <c r="C40" s="11"/>
      <c r="D40" s="2">
        <v>313.26</v>
      </c>
      <c r="E40" s="2"/>
      <c r="F40" s="19">
        <f t="shared" si="10"/>
        <v>2.4247667092828868E-3</v>
      </c>
      <c r="G40" s="2"/>
      <c r="H40" s="2">
        <v>32346.16</v>
      </c>
      <c r="I40" s="2"/>
      <c r="J40" s="19">
        <f t="shared" si="11"/>
        <v>0.15036035452254426</v>
      </c>
      <c r="K40" s="2"/>
      <c r="L40" s="2">
        <f t="shared" si="12"/>
        <v>-32032.9</v>
      </c>
      <c r="M40" s="2"/>
      <c r="N40" s="19">
        <f t="shared" si="13"/>
        <v>-0.99031538828720322</v>
      </c>
      <c r="O40" s="11"/>
      <c r="P40" s="2">
        <v>25573.769999999997</v>
      </c>
      <c r="Q40" s="2"/>
      <c r="R40" s="19">
        <f t="shared" si="14"/>
        <v>1.8207980422977024E-2</v>
      </c>
      <c r="S40" s="2"/>
      <c r="T40" s="2">
        <v>219755.59</v>
      </c>
      <c r="U40" s="2"/>
      <c r="V40" s="19">
        <f t="shared" si="15"/>
        <v>0.12218785344960927</v>
      </c>
      <c r="W40" s="2"/>
      <c r="X40" s="2">
        <f t="shared" si="16"/>
        <v>-194181.82</v>
      </c>
      <c r="Y40" s="2"/>
      <c r="Z40" s="19">
        <f t="shared" si="17"/>
        <v>-0.88362630502368567</v>
      </c>
    </row>
    <row r="41" spans="1:26" s="24" customFormat="1" hidden="1" outlineLevel="1" x14ac:dyDescent="0.25">
      <c r="A41" s="44"/>
      <c r="B41" s="11" t="str">
        <f>CONCATENATE("          ", "5082", " - ", "PURCHASES @ COST-COMPUTER HARD")</f>
        <v xml:space="preserve">          5082 - PURCHASES @ COST-COMPUTER HARD</v>
      </c>
      <c r="C41" s="11"/>
      <c r="D41" s="2">
        <v>98264.71</v>
      </c>
      <c r="E41" s="2"/>
      <c r="F41" s="19">
        <f t="shared" si="10"/>
        <v>0.76061098609888655</v>
      </c>
      <c r="G41" s="2"/>
      <c r="H41" s="2">
        <v>159135.18</v>
      </c>
      <c r="I41" s="2"/>
      <c r="J41" s="19">
        <f t="shared" si="11"/>
        <v>0.73973609485048286</v>
      </c>
      <c r="K41" s="2"/>
      <c r="L41" s="2">
        <f t="shared" si="12"/>
        <v>-60870.469999999987</v>
      </c>
      <c r="M41" s="2"/>
      <c r="N41" s="19">
        <f t="shared" si="13"/>
        <v>-0.38250794073315525</v>
      </c>
      <c r="O41" s="11"/>
      <c r="P41" s="2">
        <v>1079201.53</v>
      </c>
      <c r="Q41" s="2"/>
      <c r="R41" s="19">
        <f t="shared" si="14"/>
        <v>0.76836854052753478</v>
      </c>
      <c r="S41" s="2"/>
      <c r="T41" s="2">
        <v>1167313.1600000001</v>
      </c>
      <c r="U41" s="2"/>
      <c r="V41" s="19">
        <f t="shared" si="15"/>
        <v>0.64904601208952317</v>
      </c>
      <c r="W41" s="2"/>
      <c r="X41" s="2">
        <f t="shared" si="16"/>
        <v>-88111.630000000121</v>
      </c>
      <c r="Y41" s="2"/>
      <c r="Z41" s="19">
        <f t="shared" si="17"/>
        <v>-7.5482426669463837E-2</v>
      </c>
    </row>
    <row r="42" spans="1:26" s="24" customFormat="1" hidden="1" outlineLevel="1" x14ac:dyDescent="0.25">
      <c r="A42" s="44"/>
      <c r="B42" s="11" t="str">
        <f>CONCATENATE("          ", "5083", " - ", "PURCHASES @ COST-COMPUTER EQUI")</f>
        <v xml:space="preserve">          5083 - PURCHASES @ COST-COMPUTER EQUI</v>
      </c>
      <c r="C42" s="11"/>
      <c r="D42" s="2">
        <v>8829.83</v>
      </c>
      <c r="E42" s="2"/>
      <c r="F42" s="19">
        <f t="shared" si="10"/>
        <v>6.8346669963057244E-2</v>
      </c>
      <c r="G42" s="2"/>
      <c r="H42" s="2">
        <v>10446.64</v>
      </c>
      <c r="I42" s="2"/>
      <c r="J42" s="19">
        <f t="shared" si="11"/>
        <v>4.8560957281154601E-2</v>
      </c>
      <c r="K42" s="2"/>
      <c r="L42" s="2">
        <f t="shared" si="12"/>
        <v>-1616.8099999999995</v>
      </c>
      <c r="M42" s="2"/>
      <c r="N42" s="19">
        <f t="shared" si="13"/>
        <v>-0.15476842314849557</v>
      </c>
      <c r="O42" s="11"/>
      <c r="P42" s="2">
        <v>90556.67</v>
      </c>
      <c r="Q42" s="2"/>
      <c r="R42" s="19">
        <f t="shared" si="14"/>
        <v>6.4474423384975735E-2</v>
      </c>
      <c r="S42" s="2"/>
      <c r="T42" s="2">
        <v>64898.07</v>
      </c>
      <c r="U42" s="2"/>
      <c r="V42" s="19">
        <f t="shared" si="15"/>
        <v>3.6084433011794981E-2</v>
      </c>
      <c r="W42" s="2"/>
      <c r="X42" s="2">
        <f t="shared" si="16"/>
        <v>25658.6</v>
      </c>
      <c r="Y42" s="2"/>
      <c r="Z42" s="19">
        <f t="shared" si="17"/>
        <v>0.39536768967089464</v>
      </c>
    </row>
    <row r="43" spans="1:26" s="24" customFormat="1" hidden="1" outlineLevel="1" x14ac:dyDescent="0.25">
      <c r="A43" s="44"/>
      <c r="B43" s="11" t="str">
        <f>CONCATENATE("          ", "5084", " - ", "PURCHASES @ COST-SOFTWARE LICE")</f>
        <v xml:space="preserve">          5084 - PURCHASES @ COST-SOFTWARE LICE</v>
      </c>
      <c r="C43" s="11"/>
      <c r="D43" s="2"/>
      <c r="E43" s="2"/>
      <c r="F43" s="19">
        <f t="shared" si="10"/>
        <v>0</v>
      </c>
      <c r="G43" s="2"/>
      <c r="H43" s="2"/>
      <c r="I43" s="2"/>
      <c r="J43" s="19">
        <f t="shared" si="11"/>
        <v>0</v>
      </c>
      <c r="K43" s="2"/>
      <c r="L43" s="2">
        <f t="shared" si="12"/>
        <v>0</v>
      </c>
      <c r="M43" s="2"/>
      <c r="N43" s="19">
        <f t="shared" si="13"/>
        <v>0</v>
      </c>
      <c r="O43" s="11"/>
      <c r="P43" s="2"/>
      <c r="Q43" s="2"/>
      <c r="R43" s="19">
        <f t="shared" si="14"/>
        <v>0</v>
      </c>
      <c r="S43" s="2"/>
      <c r="T43" s="2">
        <v>2728</v>
      </c>
      <c r="U43" s="2"/>
      <c r="V43" s="19">
        <f t="shared" si="15"/>
        <v>1.5168144947326895E-3</v>
      </c>
      <c r="W43" s="2"/>
      <c r="X43" s="2">
        <f t="shared" si="16"/>
        <v>-2728</v>
      </c>
      <c r="Y43" s="2"/>
      <c r="Z43" s="19">
        <f t="shared" si="17"/>
        <v>-1</v>
      </c>
    </row>
    <row r="44" spans="1:26" s="24" customFormat="1" hidden="1" outlineLevel="1" x14ac:dyDescent="0.25">
      <c r="A44" s="44"/>
      <c r="B44" s="11" t="str">
        <f>CONCATENATE("          ", "5085", " - ", "PURCHASES @ COST-SOFTWARE")</f>
        <v xml:space="preserve">          5085 - PURCHASES @ COST-SOFTWARE</v>
      </c>
      <c r="C44" s="11"/>
      <c r="D44" s="2">
        <v>4174.1400000000003</v>
      </c>
      <c r="E44" s="2"/>
      <c r="F44" s="19">
        <f t="shared" si="10"/>
        <v>3.2309633249971492E-2</v>
      </c>
      <c r="G44" s="2"/>
      <c r="H44" s="2"/>
      <c r="I44" s="2"/>
      <c r="J44" s="19">
        <f t="shared" si="11"/>
        <v>0</v>
      </c>
      <c r="K44" s="2"/>
      <c r="L44" s="2">
        <f t="shared" si="12"/>
        <v>4174.1400000000003</v>
      </c>
      <c r="M44" s="2"/>
      <c r="N44" s="19">
        <f t="shared" si="13"/>
        <v>0</v>
      </c>
      <c r="O44" s="11"/>
      <c r="P44" s="2">
        <v>28746.22</v>
      </c>
      <c r="Q44" s="2"/>
      <c r="R44" s="19">
        <f t="shared" si="14"/>
        <v>2.0466697361968558E-2</v>
      </c>
      <c r="S44" s="2"/>
      <c r="T44" s="2">
        <v>7860.66</v>
      </c>
      <c r="U44" s="2"/>
      <c r="V44" s="19">
        <f t="shared" si="15"/>
        <v>4.3706609333451106E-3</v>
      </c>
      <c r="W44" s="2"/>
      <c r="X44" s="2">
        <f t="shared" si="16"/>
        <v>20885.560000000001</v>
      </c>
      <c r="Y44" s="2"/>
      <c r="Z44" s="19">
        <f t="shared" si="17"/>
        <v>2.6569728241648924</v>
      </c>
    </row>
    <row r="45" spans="1:26" s="24" customFormat="1" hidden="1" outlineLevel="1" x14ac:dyDescent="0.25">
      <c r="A45" s="44"/>
      <c r="B45" s="11" t="str">
        <f>CONCATENATE("          ", "5086", " - ", "PURCHASES @ COST-COMPUTER SUPP")</f>
        <v xml:space="preserve">          5086 - PURCHASES @ COST-COMPUTER SUPP</v>
      </c>
      <c r="C45" s="11"/>
      <c r="D45" s="2">
        <v>21.24</v>
      </c>
      <c r="E45" s="2"/>
      <c r="F45" s="19">
        <f t="shared" si="10"/>
        <v>1.644067065861218E-4</v>
      </c>
      <c r="G45" s="2"/>
      <c r="H45" s="2">
        <v>4327.1400000000003</v>
      </c>
      <c r="I45" s="2"/>
      <c r="J45" s="19">
        <f t="shared" si="11"/>
        <v>2.0114607250711746E-2</v>
      </c>
      <c r="K45" s="2"/>
      <c r="L45" s="2">
        <f t="shared" si="12"/>
        <v>-4305.9000000000005</v>
      </c>
      <c r="M45" s="2"/>
      <c r="N45" s="19">
        <f t="shared" si="13"/>
        <v>-0.99509144608216982</v>
      </c>
      <c r="O45" s="11"/>
      <c r="P45" s="2">
        <v>22739.85</v>
      </c>
      <c r="Q45" s="2"/>
      <c r="R45" s="19">
        <f t="shared" si="14"/>
        <v>1.6190289645266774E-2</v>
      </c>
      <c r="S45" s="2"/>
      <c r="T45" s="2">
        <v>24931.52</v>
      </c>
      <c r="U45" s="2"/>
      <c r="V45" s="19">
        <f t="shared" si="15"/>
        <v>1.3862350040952326E-2</v>
      </c>
      <c r="W45" s="2"/>
      <c r="X45" s="2">
        <f t="shared" si="16"/>
        <v>-2191.6700000000019</v>
      </c>
      <c r="Y45" s="2"/>
      <c r="Z45" s="19">
        <f t="shared" si="17"/>
        <v>-8.7907596488300821E-2</v>
      </c>
    </row>
    <row r="46" spans="1:26" s="24" customFormat="1" hidden="1" outlineLevel="1" x14ac:dyDescent="0.25">
      <c r="A46" s="44"/>
      <c r="B46" s="11" t="str">
        <f>CONCATENATE("          ", "5088", " - ", "PURCHASES @ COST-MUSIC")</f>
        <v xml:space="preserve">          5088 - PURCHASES @ COST-MUSIC</v>
      </c>
      <c r="C46" s="11"/>
      <c r="D46" s="2"/>
      <c r="E46" s="2"/>
      <c r="F46" s="19">
        <f t="shared" si="10"/>
        <v>0</v>
      </c>
      <c r="G46" s="2"/>
      <c r="H46" s="2"/>
      <c r="I46" s="2"/>
      <c r="J46" s="19">
        <f t="shared" si="11"/>
        <v>0</v>
      </c>
      <c r="K46" s="2"/>
      <c r="L46" s="2">
        <f t="shared" si="12"/>
        <v>0</v>
      </c>
      <c r="M46" s="2"/>
      <c r="N46" s="19">
        <f t="shared" si="13"/>
        <v>0</v>
      </c>
      <c r="O46" s="11"/>
      <c r="P46" s="2"/>
      <c r="Q46" s="2"/>
      <c r="R46" s="19">
        <f t="shared" si="14"/>
        <v>0</v>
      </c>
      <c r="S46" s="2"/>
      <c r="T46" s="2">
        <v>88.75</v>
      </c>
      <c r="U46" s="2"/>
      <c r="V46" s="19">
        <f t="shared" si="15"/>
        <v>4.9346512612729545E-5</v>
      </c>
      <c r="W46" s="2"/>
      <c r="X46" s="2">
        <f t="shared" si="16"/>
        <v>-88.75</v>
      </c>
      <c r="Y46" s="2"/>
      <c r="Z46" s="19">
        <f t="shared" si="17"/>
        <v>-1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-111613.24</v>
      </c>
      <c r="E47" s="2"/>
      <c r="F47" s="19">
        <f t="shared" si="10"/>
        <v>-0.86393433144097909</v>
      </c>
      <c r="G47" s="2"/>
      <c r="H47" s="2">
        <v>-206288</v>
      </c>
      <c r="I47" s="2"/>
      <c r="J47" s="19">
        <f t="shared" si="11"/>
        <v>-0.95892485580194409</v>
      </c>
      <c r="K47" s="2"/>
      <c r="L47" s="2">
        <f t="shared" si="12"/>
        <v>94674.76</v>
      </c>
      <c r="M47" s="2"/>
      <c r="N47" s="19">
        <f t="shared" si="13"/>
        <v>-0.45894458233149771</v>
      </c>
      <c r="O47" s="11"/>
      <c r="P47" s="2">
        <v>-1243263.78</v>
      </c>
      <c r="Q47" s="2"/>
      <c r="R47" s="19">
        <f t="shared" si="14"/>
        <v>-0.88517737380278372</v>
      </c>
      <c r="S47" s="2"/>
      <c r="T47" s="2">
        <v>-1487929</v>
      </c>
      <c r="U47" s="2"/>
      <c r="V47" s="19">
        <f t="shared" si="15"/>
        <v>-0.82731388355319502</v>
      </c>
      <c r="W47" s="2"/>
      <c r="X47" s="2">
        <f t="shared" si="16"/>
        <v>244665.21999999997</v>
      </c>
      <c r="Y47" s="2"/>
      <c r="Z47" s="19">
        <f t="shared" si="17"/>
        <v>-0.16443339702364829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110569</v>
      </c>
      <c r="E48" s="2"/>
      <c r="F48" s="19">
        <f t="shared" si="10"/>
        <v>0.85585146612621954</v>
      </c>
      <c r="G48" s="2"/>
      <c r="H48" s="2">
        <v>181262</v>
      </c>
      <c r="I48" s="2"/>
      <c r="J48" s="19">
        <f t="shared" si="11"/>
        <v>0.84259209072932983</v>
      </c>
      <c r="K48" s="2"/>
      <c r="L48" s="2">
        <f t="shared" si="12"/>
        <v>-70693</v>
      </c>
      <c r="M48" s="2"/>
      <c r="N48" s="19">
        <f t="shared" si="13"/>
        <v>-0.39000452383842171</v>
      </c>
      <c r="O48" s="11"/>
      <c r="P48" s="2">
        <v>1322590</v>
      </c>
      <c r="Q48" s="2"/>
      <c r="R48" s="19">
        <f t="shared" si="14"/>
        <v>0.94165595559924031</v>
      </c>
      <c r="S48" s="2"/>
      <c r="T48" s="2">
        <v>1588307</v>
      </c>
      <c r="U48" s="2"/>
      <c r="V48" s="19">
        <f t="shared" si="15"/>
        <v>0.88312576234801832</v>
      </c>
      <c r="W48" s="2"/>
      <c r="X48" s="2">
        <f t="shared" si="16"/>
        <v>-265717</v>
      </c>
      <c r="Y48" s="2"/>
      <c r="Z48" s="19">
        <f t="shared" si="17"/>
        <v>-0.1672957432032976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10"/>
        <v>0</v>
      </c>
      <c r="G49" s="2"/>
      <c r="H49" s="2"/>
      <c r="I49" s="2"/>
      <c r="J49" s="19">
        <f t="shared" si="11"/>
        <v>0</v>
      </c>
      <c r="K49" s="2"/>
      <c r="L49" s="2">
        <f t="shared" si="12"/>
        <v>0</v>
      </c>
      <c r="M49" s="2"/>
      <c r="N49" s="19">
        <f t="shared" si="13"/>
        <v>0</v>
      </c>
      <c r="O49" s="11"/>
      <c r="P49" s="2">
        <v>31</v>
      </c>
      <c r="Q49" s="2"/>
      <c r="R49" s="19">
        <f t="shared" si="14"/>
        <v>2.2071340796147293E-5</v>
      </c>
      <c r="S49" s="2"/>
      <c r="T49" s="2">
        <v>105.75</v>
      </c>
      <c r="U49" s="2"/>
      <c r="V49" s="19">
        <f t="shared" si="15"/>
        <v>5.8798802352632666E-5</v>
      </c>
      <c r="W49" s="2"/>
      <c r="X49" s="2">
        <f t="shared" si="16"/>
        <v>-74.75</v>
      </c>
      <c r="Y49" s="2"/>
      <c r="Z49" s="19">
        <f t="shared" si="17"/>
        <v>-0.70685579196217496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10"/>
        <v>0</v>
      </c>
      <c r="G50" s="2"/>
      <c r="H50" s="2"/>
      <c r="I50" s="2"/>
      <c r="J50" s="19">
        <f t="shared" si="11"/>
        <v>0</v>
      </c>
      <c r="K50" s="2"/>
      <c r="L50" s="2">
        <f t="shared" si="12"/>
        <v>0</v>
      </c>
      <c r="M50" s="2"/>
      <c r="N50" s="19">
        <f t="shared" si="13"/>
        <v>0</v>
      </c>
      <c r="O50" s="11"/>
      <c r="P50" s="2">
        <v>94</v>
      </c>
      <c r="Q50" s="2"/>
      <c r="R50" s="19">
        <f t="shared" si="14"/>
        <v>6.6926001123801467E-5</v>
      </c>
      <c r="S50" s="2"/>
      <c r="T50" s="2">
        <v>4.84</v>
      </c>
      <c r="U50" s="2"/>
      <c r="V50" s="19">
        <f t="shared" si="15"/>
        <v>2.6911224906547717E-6</v>
      </c>
      <c r="W50" s="2"/>
      <c r="X50" s="2">
        <f t="shared" si="16"/>
        <v>89.16</v>
      </c>
      <c r="Y50" s="2"/>
      <c r="Z50" s="19">
        <f t="shared" si="17"/>
        <v>18.421487603305785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>
        <v>10.06</v>
      </c>
      <c r="E51" s="2"/>
      <c r="F51" s="19">
        <f t="shared" si="10"/>
        <v>7.7868713194745076E-5</v>
      </c>
      <c r="G51" s="2"/>
      <c r="H51" s="2"/>
      <c r="I51" s="2"/>
      <c r="J51" s="19">
        <f t="shared" si="11"/>
        <v>0</v>
      </c>
      <c r="K51" s="2"/>
      <c r="L51" s="2">
        <f t="shared" si="12"/>
        <v>10.06</v>
      </c>
      <c r="M51" s="2"/>
      <c r="N51" s="19">
        <f t="shared" si="13"/>
        <v>0</v>
      </c>
      <c r="O51" s="11"/>
      <c r="P51" s="2">
        <v>242.46</v>
      </c>
      <c r="Q51" s="2"/>
      <c r="R51" s="19">
        <f t="shared" si="14"/>
        <v>1.7262636417528622E-4</v>
      </c>
      <c r="S51" s="2"/>
      <c r="T51" s="2">
        <v>49.12</v>
      </c>
      <c r="U51" s="2"/>
      <c r="V51" s="19">
        <f t="shared" si="15"/>
        <v>2.731155717788479E-5</v>
      </c>
      <c r="W51" s="2"/>
      <c r="X51" s="2">
        <f t="shared" si="16"/>
        <v>193.34</v>
      </c>
      <c r="Y51" s="2"/>
      <c r="Z51" s="19">
        <f t="shared" si="17"/>
        <v>3.9360749185667756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/>
      <c r="E52" s="2"/>
      <c r="F52" s="19">
        <f t="shared" si="10"/>
        <v>0</v>
      </c>
      <c r="G52" s="2"/>
      <c r="H52" s="2">
        <v>33.31</v>
      </c>
      <c r="I52" s="2"/>
      <c r="J52" s="19">
        <f t="shared" si="11"/>
        <v>1.5484074181126755E-4</v>
      </c>
      <c r="K52" s="2"/>
      <c r="L52" s="2">
        <f t="shared" si="12"/>
        <v>-33.31</v>
      </c>
      <c r="M52" s="2"/>
      <c r="N52" s="19">
        <f t="shared" si="13"/>
        <v>-1</v>
      </c>
      <c r="O52" s="11"/>
      <c r="P52" s="2">
        <v>24.12</v>
      </c>
      <c r="Q52" s="2"/>
      <c r="R52" s="19">
        <f t="shared" si="14"/>
        <v>1.7172927096873315E-5</v>
      </c>
      <c r="S52" s="2"/>
      <c r="T52" s="2">
        <v>195.82</v>
      </c>
      <c r="U52" s="2"/>
      <c r="V52" s="19">
        <f t="shared" si="15"/>
        <v>1.0887925746281351E-4</v>
      </c>
      <c r="W52" s="2"/>
      <c r="X52" s="2">
        <f t="shared" si="16"/>
        <v>-171.7</v>
      </c>
      <c r="Y52" s="2"/>
      <c r="Z52" s="19">
        <f t="shared" si="17"/>
        <v>-0.87682565621489117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0">
        <f>D12-D39</f>
        <v>18622.810000000012</v>
      </c>
      <c r="E54" s="14"/>
      <c r="F54" s="22">
        <f>IF(D$12=0,0,D54/D$12)</f>
        <v>0.14414853387378046</v>
      </c>
      <c r="G54" s="14"/>
      <c r="H54" s="20">
        <f>H12-H39</f>
        <v>33861.830000000075</v>
      </c>
      <c r="I54" s="14"/>
      <c r="J54" s="22">
        <f>IF(H$12=0,0,H54/H$12)</f>
        <v>0.15740591042590948</v>
      </c>
      <c r="K54" s="15"/>
      <c r="L54" s="20">
        <f>+D54-H54</f>
        <v>-15239.020000000062</v>
      </c>
      <c r="M54" s="15"/>
      <c r="N54" s="22">
        <f>IF(H54=0,0,L54/H54)</f>
        <v>-0.4500353347707442</v>
      </c>
      <c r="O54" s="29"/>
      <c r="P54" s="20">
        <f>P12-P39</f>
        <v>78000.489999999991</v>
      </c>
      <c r="Q54" s="14"/>
      <c r="R54" s="22">
        <f>IF(P$12=0,0,P54/P$12)</f>
        <v>5.5534690227628351E-2</v>
      </c>
      <c r="S54" s="14"/>
      <c r="T54" s="20">
        <f>T12-T39</f>
        <v>210196.73999999929</v>
      </c>
      <c r="U54" s="14"/>
      <c r="V54" s="22">
        <f>IF(T$12=0,0,T54/T$12)</f>
        <v>0.11687296993312223</v>
      </c>
      <c r="W54" s="15"/>
      <c r="X54" s="20">
        <f>+P54-T54</f>
        <v>-132196.2499999993</v>
      </c>
      <c r="Y54" s="15"/>
      <c r="Z54" s="22">
        <f>IF(T54=0,0,X54/T54)</f>
        <v>-0.62891674723404245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1">
        <f>SUM(OSRRefD22x_0)</f>
        <v>14258.260000000002</v>
      </c>
      <c r="E56" s="21"/>
      <c r="F56" s="35">
        <f t="shared" ref="F56:F66" si="18">IF(D$12=0,0,D56/D$12)</f>
        <v>0.11036504558609404</v>
      </c>
      <c r="G56" s="21"/>
      <c r="H56" s="21">
        <f>SUM(OSRRefH22x_0)</f>
        <v>17632.02</v>
      </c>
      <c r="I56" s="21"/>
      <c r="J56" s="35">
        <f t="shared" ref="J56:J66" si="19">IF(H$12=0,0,H56/H$12)</f>
        <v>8.1962025110510525E-2</v>
      </c>
      <c r="K56" s="4"/>
      <c r="L56" s="21">
        <f t="shared" ref="L56:L66" si="20">+D56-H56</f>
        <v>-3373.7599999999984</v>
      </c>
      <c r="M56" s="4"/>
      <c r="N56" s="35">
        <f t="shared" ref="N56:N66" si="21">IF(H56=0,0,L56/H56)</f>
        <v>-0.19134279566379792</v>
      </c>
      <c r="O56" s="10"/>
      <c r="P56" s="21">
        <f>SUM(OSRRefP22x_0)</f>
        <v>94484.689999999988</v>
      </c>
      <c r="Q56" s="21"/>
      <c r="R56" s="35">
        <f t="shared" ref="R56:R66" si="22">IF(P$12=0,0,P56/P$12)</f>
        <v>6.7271090097042907E-2</v>
      </c>
      <c r="S56" s="21"/>
      <c r="T56" s="21">
        <f>SUM(OSRRefT22x_0)</f>
        <v>146065.96</v>
      </c>
      <c r="U56" s="21"/>
      <c r="V56" s="35">
        <f t="shared" ref="V56:V66" si="23">IF(T$12=0,0,T56/T$12)</f>
        <v>8.1215163238652938E-2</v>
      </c>
      <c r="W56" s="4"/>
      <c r="X56" s="21">
        <f t="shared" ref="X56:X66" si="24">+P56-T56</f>
        <v>-51581.270000000004</v>
      </c>
      <c r="Y56" s="4"/>
      <c r="Z56" s="35">
        <f t="shared" ref="Z56:Z66" si="25">IF(T56=0,0,X56/T56)</f>
        <v>-0.35313682941597074</v>
      </c>
    </row>
    <row r="57" spans="1:26" s="26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2747.9300000000003</v>
      </c>
      <c r="E57" s="1"/>
      <c r="F57" s="5">
        <f t="shared" si="18"/>
        <v>2.1270156366723247E-2</v>
      </c>
      <c r="G57" s="1"/>
      <c r="H57" s="1">
        <f>SUM(OSRRefH22_0x_0)</f>
        <v>3177.6899999999996</v>
      </c>
      <c r="I57" s="1"/>
      <c r="J57" s="5">
        <f t="shared" si="19"/>
        <v>1.4771416296795157E-2</v>
      </c>
      <c r="K57" s="1"/>
      <c r="L57" s="1">
        <f t="shared" si="20"/>
        <v>-429.75999999999931</v>
      </c>
      <c r="M57" s="1"/>
      <c r="N57" s="5">
        <f t="shared" si="21"/>
        <v>-0.13524289656952043</v>
      </c>
      <c r="O57" s="13"/>
      <c r="P57" s="1">
        <f>SUM(OSRRefP22_0x_0)</f>
        <v>20566.809999999998</v>
      </c>
      <c r="Q57" s="1"/>
      <c r="R57" s="5">
        <f t="shared" si="22"/>
        <v>1.4643131374180969E-2</v>
      </c>
      <c r="S57" s="1"/>
      <c r="T57" s="1">
        <f>SUM(OSRRefT22_0x_0)</f>
        <v>21398.9</v>
      </c>
      <c r="U57" s="1"/>
      <c r="V57" s="5">
        <f t="shared" si="23"/>
        <v>1.1898153112659586E-2</v>
      </c>
      <c r="W57" s="1"/>
      <c r="X57" s="1">
        <f t="shared" si="24"/>
        <v>-832.09000000000378</v>
      </c>
      <c r="Y57" s="1"/>
      <c r="Z57" s="5">
        <f t="shared" si="25"/>
        <v>-3.8884709027099701E-2</v>
      </c>
    </row>
    <row r="58" spans="1:26" s="24" customFormat="1" hidden="1" outlineLevel="2" x14ac:dyDescent="0.25">
      <c r="A58" s="25"/>
      <c r="B58" s="11" t="str">
        <f>CONCATENATE("          ", "6111", " - ", "F.I.C.A.")</f>
        <v xml:space="preserve">          6111 - F.I.C.A.</v>
      </c>
      <c r="C58" s="11"/>
      <c r="D58" s="6">
        <v>449.24</v>
      </c>
      <c r="E58" s="2"/>
      <c r="F58" s="7">
        <f t="shared" si="18"/>
        <v>3.4773102102989345E-3</v>
      </c>
      <c r="G58" s="2"/>
      <c r="H58" s="6">
        <v>597.77</v>
      </c>
      <c r="I58" s="2"/>
      <c r="J58" s="7">
        <f t="shared" si="19"/>
        <v>2.7787196107031341E-3</v>
      </c>
      <c r="K58" s="2"/>
      <c r="L58" s="6">
        <f t="shared" si="20"/>
        <v>-148.52999999999997</v>
      </c>
      <c r="M58" s="2"/>
      <c r="N58" s="7">
        <f t="shared" si="21"/>
        <v>-0.24847349314953909</v>
      </c>
      <c r="O58" s="11"/>
      <c r="P58" s="6">
        <v>3839.6</v>
      </c>
      <c r="Q58" s="2"/>
      <c r="R58" s="7">
        <f t="shared" si="22"/>
        <v>2.7337135522866821E-3</v>
      </c>
      <c r="S58" s="2"/>
      <c r="T58" s="6">
        <v>4825.51</v>
      </c>
      <c r="U58" s="2"/>
      <c r="V58" s="7">
        <f t="shared" si="23"/>
        <v>2.6830658036941131E-3</v>
      </c>
      <c r="W58" s="2"/>
      <c r="X58" s="6">
        <f t="shared" si="24"/>
        <v>-985.91000000000031</v>
      </c>
      <c r="Y58" s="2"/>
      <c r="Z58" s="7">
        <f t="shared" si="25"/>
        <v>-0.20431208307515689</v>
      </c>
    </row>
    <row r="59" spans="1:26" s="24" customFormat="1" hidden="1" outlineLevel="2" x14ac:dyDescent="0.25">
      <c r="A59" s="25"/>
      <c r="B59" s="11" t="str">
        <f>CONCATENATE("          ", "6112", " - ", "COMPENSATION INSURANCE")</f>
        <v xml:space="preserve">          6112 - COMPENSATION INSURANCE</v>
      </c>
      <c r="C59" s="11"/>
      <c r="D59" s="6">
        <v>46.19</v>
      </c>
      <c r="E59" s="2"/>
      <c r="F59" s="7">
        <f t="shared" si="18"/>
        <v>3.5753040382358595E-4</v>
      </c>
      <c r="G59" s="2"/>
      <c r="H59" s="6">
        <v>192.57</v>
      </c>
      <c r="I59" s="2"/>
      <c r="J59" s="7">
        <f t="shared" si="19"/>
        <v>8.9515705945949532E-4</v>
      </c>
      <c r="K59" s="2"/>
      <c r="L59" s="6">
        <f t="shared" si="20"/>
        <v>-146.38</v>
      </c>
      <c r="M59" s="2"/>
      <c r="N59" s="7">
        <f t="shared" si="21"/>
        <v>-0.76013917017188559</v>
      </c>
      <c r="O59" s="11"/>
      <c r="P59" s="6">
        <v>1028.72</v>
      </c>
      <c r="Q59" s="2"/>
      <c r="R59" s="7">
        <f t="shared" si="22"/>
        <v>7.3242676463911754E-4</v>
      </c>
      <c r="S59" s="2"/>
      <c r="T59" s="6">
        <v>1153.18</v>
      </c>
      <c r="U59" s="2"/>
      <c r="V59" s="7">
        <f t="shared" si="23"/>
        <v>6.4118773425067555E-4</v>
      </c>
      <c r="W59" s="2"/>
      <c r="X59" s="6">
        <f t="shared" si="24"/>
        <v>-124.46000000000004</v>
      </c>
      <c r="Y59" s="2"/>
      <c r="Z59" s="7">
        <f t="shared" si="25"/>
        <v>-0.10792764355954841</v>
      </c>
    </row>
    <row r="60" spans="1:26" s="24" customFormat="1" hidden="1" outlineLevel="2" x14ac:dyDescent="0.25">
      <c r="A60" s="25"/>
      <c r="B60" s="11" t="str">
        <f>CONCATENATE("          ", "6113", " - ", "GROUP INSURANCE")</f>
        <v xml:space="preserve">          6113 - GROUP INSURANCE</v>
      </c>
      <c r="C60" s="11"/>
      <c r="D60" s="6">
        <v>1053.8499999999999</v>
      </c>
      <c r="E60" s="2"/>
      <c r="F60" s="7">
        <f t="shared" si="18"/>
        <v>8.1572508350181011E-3</v>
      </c>
      <c r="G60" s="2"/>
      <c r="H60" s="6">
        <v>1376.77</v>
      </c>
      <c r="I60" s="2"/>
      <c r="J60" s="7">
        <f t="shared" si="19"/>
        <v>6.3998825608975922E-3</v>
      </c>
      <c r="K60" s="2"/>
      <c r="L60" s="6">
        <f t="shared" si="20"/>
        <v>-322.92000000000007</v>
      </c>
      <c r="M60" s="2"/>
      <c r="N60" s="7">
        <f t="shared" si="21"/>
        <v>-0.23454898058499246</v>
      </c>
      <c r="O60" s="11"/>
      <c r="P60" s="6">
        <v>7268.63</v>
      </c>
      <c r="Q60" s="2"/>
      <c r="R60" s="7">
        <f t="shared" si="22"/>
        <v>5.1751099951967781E-3</v>
      </c>
      <c r="S60" s="2"/>
      <c r="T60" s="6">
        <v>7811.59</v>
      </c>
      <c r="U60" s="2"/>
      <c r="V60" s="7">
        <f t="shared" si="23"/>
        <v>4.3433771770194024E-3</v>
      </c>
      <c r="W60" s="2"/>
      <c r="X60" s="6">
        <f t="shared" si="24"/>
        <v>-542.96</v>
      </c>
      <c r="Y60" s="2"/>
      <c r="Z60" s="7">
        <f t="shared" si="25"/>
        <v>-6.9506976172584584E-2</v>
      </c>
    </row>
    <row r="61" spans="1:26" s="24" customFormat="1" hidden="1" outlineLevel="2" x14ac:dyDescent="0.25">
      <c r="A61" s="25"/>
      <c r="B61" s="11" t="str">
        <f>CONCATENATE("          ", "6114", " - ", "STATE UNEMPLOYMENT INSURANCE")</f>
        <v xml:space="preserve">          6114 - STATE UNEMPLOYMENT INSURANCE</v>
      </c>
      <c r="C61" s="11"/>
      <c r="D61" s="6">
        <v>42.59</v>
      </c>
      <c r="E61" s="2"/>
      <c r="F61" s="7">
        <f t="shared" si="18"/>
        <v>3.2966486033441284E-4</v>
      </c>
      <c r="G61" s="2"/>
      <c r="H61" s="6">
        <v>26.35</v>
      </c>
      <c r="I61" s="2"/>
      <c r="J61" s="7">
        <f t="shared" si="19"/>
        <v>1.2248734754508856E-4</v>
      </c>
      <c r="K61" s="2"/>
      <c r="L61" s="6">
        <f t="shared" si="20"/>
        <v>16.240000000000002</v>
      </c>
      <c r="M61" s="2"/>
      <c r="N61" s="7">
        <f t="shared" si="21"/>
        <v>0.61631878557874764</v>
      </c>
      <c r="O61" s="11"/>
      <c r="P61" s="6">
        <v>159.28</v>
      </c>
      <c r="Q61" s="2"/>
      <c r="R61" s="7">
        <f t="shared" si="22"/>
        <v>1.1340397296807552E-4</v>
      </c>
      <c r="S61" s="2"/>
      <c r="T61" s="6">
        <v>186.25</v>
      </c>
      <c r="U61" s="2"/>
      <c r="V61" s="7">
        <f t="shared" si="23"/>
        <v>1.0355817435629157E-4</v>
      </c>
      <c r="W61" s="2"/>
      <c r="X61" s="6">
        <f t="shared" si="24"/>
        <v>-26.97</v>
      </c>
      <c r="Y61" s="2"/>
      <c r="Z61" s="7">
        <f t="shared" si="25"/>
        <v>-0.14480536912751676</v>
      </c>
    </row>
    <row r="62" spans="1:26" s="24" customFormat="1" hidden="1" outlineLevel="2" x14ac:dyDescent="0.25">
      <c r="A62" s="25"/>
      <c r="B62" s="11" t="str">
        <f>CONCATENATE("          ", "6115", " - ", "P.E.R.S.")</f>
        <v xml:space="preserve">          6115 - P.E.R.S.</v>
      </c>
      <c r="C62" s="11"/>
      <c r="D62" s="6">
        <v>264.63</v>
      </c>
      <c r="E62" s="2"/>
      <c r="F62" s="7">
        <f t="shared" si="18"/>
        <v>2.0483496593166391E-3</v>
      </c>
      <c r="G62" s="2"/>
      <c r="H62" s="6">
        <v>400.55</v>
      </c>
      <c r="I62" s="2"/>
      <c r="J62" s="7">
        <f t="shared" si="19"/>
        <v>1.8619471369709761E-3</v>
      </c>
      <c r="K62" s="2"/>
      <c r="L62" s="6">
        <f t="shared" si="20"/>
        <v>-135.92000000000002</v>
      </c>
      <c r="M62" s="2"/>
      <c r="N62" s="7">
        <f t="shared" si="21"/>
        <v>-0.3393334165522407</v>
      </c>
      <c r="O62" s="11"/>
      <c r="P62" s="6">
        <v>1411.36</v>
      </c>
      <c r="Q62" s="2"/>
      <c r="R62" s="7">
        <f t="shared" si="22"/>
        <v>1.0048583079371111E-3</v>
      </c>
      <c r="S62" s="2"/>
      <c r="T62" s="6">
        <v>1686.47</v>
      </c>
      <c r="U62" s="2"/>
      <c r="V62" s="7">
        <f t="shared" si="23"/>
        <v>9.3770606339143659E-4</v>
      </c>
      <c r="W62" s="2"/>
      <c r="X62" s="6">
        <f t="shared" si="24"/>
        <v>-275.11000000000013</v>
      </c>
      <c r="Y62" s="2"/>
      <c r="Z62" s="7">
        <f t="shared" si="25"/>
        <v>-0.16312771647286944</v>
      </c>
    </row>
    <row r="63" spans="1:26" s="24" customFormat="1" hidden="1" outlineLevel="2" x14ac:dyDescent="0.25">
      <c r="A63" s="25"/>
      <c r="B63" s="11" t="str">
        <f>CONCATENATE("          ", "6117", " - ", "RETIREMENT STAFF HOURLY")</f>
        <v xml:space="preserve">          6117 - RETIREMENT STAFF HOURLY</v>
      </c>
      <c r="C63" s="11"/>
      <c r="D63" s="6">
        <v>176</v>
      </c>
      <c r="E63" s="2"/>
      <c r="F63" s="7">
        <f t="shared" si="18"/>
        <v>1.3623154594706892E-3</v>
      </c>
      <c r="G63" s="2"/>
      <c r="H63" s="6">
        <v>163.13</v>
      </c>
      <c r="I63" s="2"/>
      <c r="J63" s="7">
        <f t="shared" si="19"/>
        <v>7.5830592049450833E-4</v>
      </c>
      <c r="K63" s="2"/>
      <c r="L63" s="6">
        <f t="shared" si="20"/>
        <v>12.870000000000005</v>
      </c>
      <c r="M63" s="2"/>
      <c r="N63" s="7">
        <f t="shared" si="21"/>
        <v>7.8894133513149056E-2</v>
      </c>
      <c r="O63" s="11"/>
      <c r="P63" s="6">
        <v>1281.04</v>
      </c>
      <c r="Q63" s="2"/>
      <c r="R63" s="7">
        <f t="shared" si="22"/>
        <v>9.1207323914504926E-4</v>
      </c>
      <c r="S63" s="2"/>
      <c r="T63" s="6">
        <v>1195.3599999999999</v>
      </c>
      <c r="U63" s="2"/>
      <c r="V63" s="7">
        <f t="shared" si="23"/>
        <v>6.6464053314650566E-4</v>
      </c>
      <c r="W63" s="2"/>
      <c r="X63" s="6">
        <f t="shared" si="24"/>
        <v>85.680000000000064</v>
      </c>
      <c r="Y63" s="2"/>
      <c r="Z63" s="7">
        <f t="shared" si="25"/>
        <v>7.1677151653058546E-2</v>
      </c>
    </row>
    <row r="64" spans="1:26" s="24" customFormat="1" hidden="1" outlineLevel="2" x14ac:dyDescent="0.25">
      <c r="A64" s="25"/>
      <c r="B64" s="11" t="str">
        <f>CONCATENATE("          ", "6118", " - ", "VACATION")</f>
        <v xml:space="preserve">          6118 - VACATION</v>
      </c>
      <c r="C64" s="11"/>
      <c r="D64" s="6">
        <v>267.04000000000002</v>
      </c>
      <c r="E64" s="2"/>
      <c r="F64" s="7">
        <f t="shared" si="18"/>
        <v>2.0670040925968914E-3</v>
      </c>
      <c r="G64" s="2"/>
      <c r="H64" s="6">
        <v>67.989999999999995</v>
      </c>
      <c r="I64" s="2"/>
      <c r="J64" s="7">
        <f t="shared" si="19"/>
        <v>3.1604989599964215E-4</v>
      </c>
      <c r="K64" s="2"/>
      <c r="L64" s="6">
        <f t="shared" si="20"/>
        <v>199.05</v>
      </c>
      <c r="M64" s="2"/>
      <c r="N64" s="7">
        <f t="shared" si="21"/>
        <v>2.9276364171201652</v>
      </c>
      <c r="O64" s="11"/>
      <c r="P64" s="6">
        <v>1956.58</v>
      </c>
      <c r="Q64" s="2"/>
      <c r="R64" s="7">
        <f t="shared" si="22"/>
        <v>1.3930433540298669E-3</v>
      </c>
      <c r="S64" s="2"/>
      <c r="T64" s="6">
        <v>1599.08</v>
      </c>
      <c r="U64" s="2"/>
      <c r="V64" s="7">
        <f t="shared" si="23"/>
        <v>8.8911573395789923E-4</v>
      </c>
      <c r="W64" s="2"/>
      <c r="X64" s="6">
        <f t="shared" si="24"/>
        <v>357.5</v>
      </c>
      <c r="Y64" s="2"/>
      <c r="Z64" s="7">
        <f t="shared" si="25"/>
        <v>0.22356605047902545</v>
      </c>
    </row>
    <row r="65" spans="1:26" s="24" customFormat="1" hidden="1" outlineLevel="2" x14ac:dyDescent="0.25">
      <c r="A65" s="25"/>
      <c r="B65" s="11" t="str">
        <f>CONCATENATE("          ", "6119", " - ", "SICK LEAVE")</f>
        <v xml:space="preserve">          6119 - SICK LEAVE</v>
      </c>
      <c r="C65" s="11"/>
      <c r="D65" s="6">
        <v>267.63</v>
      </c>
      <c r="E65" s="2"/>
      <c r="F65" s="7">
        <f t="shared" si="18"/>
        <v>2.0715709455576166E-3</v>
      </c>
      <c r="G65" s="2"/>
      <c r="H65" s="6">
        <v>177.56</v>
      </c>
      <c r="I65" s="2"/>
      <c r="J65" s="7">
        <f t="shared" si="19"/>
        <v>8.2538343188257772E-4</v>
      </c>
      <c r="K65" s="2"/>
      <c r="L65" s="6">
        <f t="shared" si="20"/>
        <v>90.07</v>
      </c>
      <c r="M65" s="2"/>
      <c r="N65" s="7">
        <f t="shared" si="21"/>
        <v>0.50726514980851534</v>
      </c>
      <c r="O65" s="11"/>
      <c r="P65" s="6">
        <v>1951.92</v>
      </c>
      <c r="Q65" s="2"/>
      <c r="R65" s="7">
        <f t="shared" si="22"/>
        <v>1.3897255331230911E-3</v>
      </c>
      <c r="S65" s="2"/>
      <c r="T65" s="6">
        <v>1805.68</v>
      </c>
      <c r="U65" s="2"/>
      <c r="V65" s="7">
        <f t="shared" si="23"/>
        <v>1.0039888551498983E-3</v>
      </c>
      <c r="W65" s="2"/>
      <c r="X65" s="6">
        <f t="shared" si="24"/>
        <v>146.24</v>
      </c>
      <c r="Y65" s="2"/>
      <c r="Z65" s="7">
        <f t="shared" si="25"/>
        <v>8.0988879535687383E-2</v>
      </c>
    </row>
    <row r="66" spans="1:26" s="24" customFormat="1" hidden="1" outlineLevel="2" x14ac:dyDescent="0.25">
      <c r="A66" s="25"/>
      <c r="B66" s="11" t="str">
        <f>CONCATENATE("          ", "6156", " - ", "EMPLOYEE MEALS")</f>
        <v xml:space="preserve">          6156 - EMPLOYEE MEALS</v>
      </c>
      <c r="C66" s="11"/>
      <c r="D66" s="6">
        <v>180.76</v>
      </c>
      <c r="E66" s="2"/>
      <c r="F66" s="7">
        <f t="shared" si="18"/>
        <v>1.3991599003063738E-3</v>
      </c>
      <c r="G66" s="2"/>
      <c r="H66" s="6">
        <v>175</v>
      </c>
      <c r="I66" s="2"/>
      <c r="J66" s="7">
        <f t="shared" si="19"/>
        <v>8.1348333284214408E-4</v>
      </c>
      <c r="K66" s="2"/>
      <c r="L66" s="6">
        <f t="shared" si="20"/>
        <v>5.7599999999999909</v>
      </c>
      <c r="M66" s="2"/>
      <c r="N66" s="7">
        <f t="shared" si="21"/>
        <v>3.291428571428566E-2</v>
      </c>
      <c r="O66" s="11"/>
      <c r="P66" s="6">
        <v>1669.68</v>
      </c>
      <c r="Q66" s="2"/>
      <c r="R66" s="7">
        <f t="shared" si="22"/>
        <v>1.1887766548552006E-3</v>
      </c>
      <c r="S66" s="2"/>
      <c r="T66" s="6">
        <v>1135.78</v>
      </c>
      <c r="U66" s="2"/>
      <c r="V66" s="7">
        <f t="shared" si="23"/>
        <v>6.3151303769336286E-4</v>
      </c>
      <c r="W66" s="2"/>
      <c r="X66" s="6">
        <f t="shared" si="24"/>
        <v>533.90000000000009</v>
      </c>
      <c r="Y66" s="2"/>
      <c r="Z66" s="7">
        <f t="shared" si="25"/>
        <v>0.47007342971350097</v>
      </c>
    </row>
    <row r="67" spans="1:26" s="26" customFormat="1" outlineLevel="1" collapsed="1" x14ac:dyDescent="0.25">
      <c r="A67" s="27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9963.16</v>
      </c>
      <c r="E67" s="1"/>
      <c r="F67" s="5">
        <f t="shared" ref="F67:F72" si="26">IF(D$12=0,0,D67/D$12)</f>
        <v>7.7119130074886313E-2</v>
      </c>
      <c r="G67" s="1"/>
      <c r="H67" s="1">
        <f>SUM(OSRRefH22_1x_0)</f>
        <v>12027.429999999998</v>
      </c>
      <c r="I67" s="1"/>
      <c r="J67" s="5">
        <f t="shared" ref="J67:J72" si="27">IF(H$12=0,0,H67/H$12)</f>
        <v>5.59092219538605E-2</v>
      </c>
      <c r="K67" s="1"/>
      <c r="L67" s="1">
        <f t="shared" ref="L67:L72" si="28">+D67-H67</f>
        <v>-2064.2699999999986</v>
      </c>
      <c r="M67" s="1"/>
      <c r="N67" s="5">
        <f t="shared" ref="N67:N72" si="29">IF(H67=0,0,L67/H67)</f>
        <v>-0.17163018200895777</v>
      </c>
      <c r="O67" s="13"/>
      <c r="P67" s="1">
        <f>SUM(OSRRefP22_1x_0)</f>
        <v>57391.299999999996</v>
      </c>
      <c r="Q67" s="1"/>
      <c r="R67" s="5">
        <f t="shared" ref="R67:R72" si="30">IF(P$12=0,0,P67/P$12)</f>
        <v>4.0861385194642844E-2</v>
      </c>
      <c r="S67" s="1"/>
      <c r="T67" s="1">
        <f>SUM(OSRRefT22_1x_0)</f>
        <v>69315.930000000008</v>
      </c>
      <c r="U67" s="1"/>
      <c r="V67" s="5">
        <f t="shared" ref="V67:V72" si="31">IF(T$12=0,0,T67/T$12)</f>
        <v>3.854083846769666E-2</v>
      </c>
      <c r="W67" s="1"/>
      <c r="X67" s="1">
        <f t="shared" ref="X67:X72" si="32">+P67-T67</f>
        <v>-11924.630000000012</v>
      </c>
      <c r="Y67" s="1"/>
      <c r="Z67" s="5">
        <f t="shared" ref="Z67:Z72" si="33">IF(T67=0,0,X67/T67)</f>
        <v>-0.17203303771586143</v>
      </c>
    </row>
    <row r="68" spans="1:26" s="24" customFormat="1" hidden="1" outlineLevel="2" x14ac:dyDescent="0.25">
      <c r="A68" s="25"/>
      <c r="B68" s="11" t="str">
        <f>CONCATENATE("          ", "6002", " - ", "STAFF SALARIES")</f>
        <v xml:space="preserve">          6002 - STAFF SALARIES</v>
      </c>
      <c r="C68" s="11"/>
      <c r="D68" s="6">
        <v>2928.3</v>
      </c>
      <c r="E68" s="2"/>
      <c r="F68" s="7">
        <f t="shared" si="26"/>
        <v>2.2666297499818293E-2</v>
      </c>
      <c r="G68" s="2"/>
      <c r="H68" s="6">
        <v>4760.5600000000004</v>
      </c>
      <c r="I68" s="2"/>
      <c r="J68" s="7">
        <f t="shared" si="27"/>
        <v>2.2129349799971415E-2</v>
      </c>
      <c r="K68" s="2"/>
      <c r="L68" s="6">
        <f t="shared" si="28"/>
        <v>-1832.2600000000002</v>
      </c>
      <c r="M68" s="2"/>
      <c r="N68" s="7">
        <f t="shared" si="29"/>
        <v>-0.38488329104139007</v>
      </c>
      <c r="O68" s="11"/>
      <c r="P68" s="6">
        <v>16165.649999999998</v>
      </c>
      <c r="Q68" s="2"/>
      <c r="R68" s="7">
        <f t="shared" si="30"/>
        <v>1.1509599043265756E-2</v>
      </c>
      <c r="S68" s="2"/>
      <c r="T68" s="6">
        <v>23538.7</v>
      </c>
      <c r="U68" s="2"/>
      <c r="V68" s="7">
        <f t="shared" si="31"/>
        <v>1.3087918382391628E-2</v>
      </c>
      <c r="W68" s="2"/>
      <c r="X68" s="6">
        <f t="shared" si="32"/>
        <v>-7373.0500000000029</v>
      </c>
      <c r="Y68" s="2"/>
      <c r="Z68" s="7">
        <f t="shared" si="33"/>
        <v>-0.31323097707180103</v>
      </c>
    </row>
    <row r="69" spans="1:26" s="24" customFormat="1" hidden="1" outlineLevel="2" x14ac:dyDescent="0.25">
      <c r="A69" s="25"/>
      <c r="B69" s="11" t="str">
        <f>CONCATENATE("          ", "6004", " - ", "STAFF HOURLY")</f>
        <v xml:space="preserve">          6004 - STAFF HOURLY</v>
      </c>
      <c r="C69" s="11"/>
      <c r="D69" s="6">
        <v>3344</v>
      </c>
      <c r="E69" s="2"/>
      <c r="F69" s="7">
        <f t="shared" si="26"/>
        <v>2.5883993729943097E-2</v>
      </c>
      <c r="G69" s="2"/>
      <c r="H69" s="6"/>
      <c r="I69" s="2"/>
      <c r="J69" s="7">
        <f t="shared" si="27"/>
        <v>0</v>
      </c>
      <c r="K69" s="2"/>
      <c r="L69" s="6">
        <f t="shared" si="28"/>
        <v>3344</v>
      </c>
      <c r="M69" s="2"/>
      <c r="N69" s="7">
        <f t="shared" si="29"/>
        <v>0</v>
      </c>
      <c r="O69" s="11"/>
      <c r="P69" s="6">
        <v>24680.16</v>
      </c>
      <c r="Q69" s="2"/>
      <c r="R69" s="7">
        <f t="shared" si="30"/>
        <v>1.7571749105272341E-2</v>
      </c>
      <c r="S69" s="2"/>
      <c r="T69" s="6"/>
      <c r="U69" s="2"/>
      <c r="V69" s="7">
        <f t="shared" si="31"/>
        <v>0</v>
      </c>
      <c r="W69" s="2"/>
      <c r="X69" s="6">
        <f t="shared" si="32"/>
        <v>24680.16</v>
      </c>
      <c r="Y69" s="2"/>
      <c r="Z69" s="7">
        <f t="shared" si="33"/>
        <v>0</v>
      </c>
    </row>
    <row r="70" spans="1:26" s="24" customFormat="1" hidden="1" outlineLevel="2" x14ac:dyDescent="0.25">
      <c r="A70" s="25"/>
      <c r="B70" s="11" t="str">
        <f>CONCATENATE("          ", "6005", " - ", "TEMPORARY WAGES-HOURLY")</f>
        <v xml:space="preserve">          6005 - TEMPORARY WAGES-HOURLY</v>
      </c>
      <c r="C70" s="11"/>
      <c r="D70" s="6"/>
      <c r="E70" s="2"/>
      <c r="F70" s="7">
        <f t="shared" si="26"/>
        <v>0</v>
      </c>
      <c r="G70" s="2"/>
      <c r="H70" s="6">
        <v>3463.74</v>
      </c>
      <c r="I70" s="2"/>
      <c r="J70" s="7">
        <f t="shared" si="27"/>
        <v>1.6101112910277989E-2</v>
      </c>
      <c r="K70" s="2"/>
      <c r="L70" s="6">
        <f t="shared" si="28"/>
        <v>-3463.74</v>
      </c>
      <c r="M70" s="2"/>
      <c r="N70" s="7">
        <f t="shared" si="29"/>
        <v>-1</v>
      </c>
      <c r="O70" s="11"/>
      <c r="P70" s="6"/>
      <c r="Q70" s="2"/>
      <c r="R70" s="7">
        <f t="shared" si="30"/>
        <v>0</v>
      </c>
      <c r="S70" s="2"/>
      <c r="T70" s="6">
        <v>23123.030000000002</v>
      </c>
      <c r="U70" s="2"/>
      <c r="V70" s="7">
        <f t="shared" si="31"/>
        <v>1.2856798777910126E-2</v>
      </c>
      <c r="W70" s="2"/>
      <c r="X70" s="6">
        <f t="shared" si="32"/>
        <v>-23123.030000000002</v>
      </c>
      <c r="Y70" s="2"/>
      <c r="Z70" s="7">
        <f t="shared" si="33"/>
        <v>-1</v>
      </c>
    </row>
    <row r="71" spans="1:26" s="24" customFormat="1" hidden="1" outlineLevel="2" x14ac:dyDescent="0.25">
      <c r="A71" s="25"/>
      <c r="B71" s="11" t="str">
        <f>CONCATENATE("          ", "6006", " - ", "TEMPORARY PART TIME")</f>
        <v xml:space="preserve">          6006 - TEMPORARY PART TIME</v>
      </c>
      <c r="C71" s="11"/>
      <c r="D71" s="6"/>
      <c r="E71" s="2"/>
      <c r="F71" s="7">
        <f t="shared" si="26"/>
        <v>0</v>
      </c>
      <c r="G71" s="2"/>
      <c r="H71" s="6">
        <v>299.06</v>
      </c>
      <c r="I71" s="2"/>
      <c r="J71" s="7">
        <f t="shared" si="27"/>
        <v>1.3901732886844092E-3</v>
      </c>
      <c r="K71" s="2"/>
      <c r="L71" s="6">
        <f t="shared" si="28"/>
        <v>-299.06</v>
      </c>
      <c r="M71" s="2"/>
      <c r="N71" s="7">
        <f t="shared" si="29"/>
        <v>-1</v>
      </c>
      <c r="O71" s="11"/>
      <c r="P71" s="6"/>
      <c r="Q71" s="2"/>
      <c r="R71" s="7">
        <f t="shared" si="30"/>
        <v>0</v>
      </c>
      <c r="S71" s="2"/>
      <c r="T71" s="6">
        <v>8541.2199999999993</v>
      </c>
      <c r="U71" s="2"/>
      <c r="V71" s="7">
        <f t="shared" si="31"/>
        <v>4.7490638924856093E-3</v>
      </c>
      <c r="W71" s="2"/>
      <c r="X71" s="6">
        <f t="shared" si="32"/>
        <v>-8541.2199999999993</v>
      </c>
      <c r="Y71" s="2"/>
      <c r="Z71" s="7">
        <f t="shared" si="33"/>
        <v>-1</v>
      </c>
    </row>
    <row r="72" spans="1:26" s="24" customFormat="1" hidden="1" outlineLevel="2" x14ac:dyDescent="0.25">
      <c r="A72" s="25"/>
      <c r="B72" s="11" t="str">
        <f>CONCATENATE("          ", "6007", " - ", "STUDENT HOURLY")</f>
        <v xml:space="preserve">          6007 - STUDENT HOURLY</v>
      </c>
      <c r="C72" s="11"/>
      <c r="D72" s="6">
        <v>3690.86</v>
      </c>
      <c r="E72" s="2"/>
      <c r="F72" s="7">
        <f t="shared" si="26"/>
        <v>2.8568838845124934E-2</v>
      </c>
      <c r="G72" s="2"/>
      <c r="H72" s="6">
        <v>3504.07</v>
      </c>
      <c r="I72" s="2"/>
      <c r="J72" s="7">
        <f t="shared" si="27"/>
        <v>1.6288585954926698E-2</v>
      </c>
      <c r="K72" s="2"/>
      <c r="L72" s="6">
        <f t="shared" si="28"/>
        <v>186.78999999999996</v>
      </c>
      <c r="M72" s="2"/>
      <c r="N72" s="7">
        <f t="shared" si="29"/>
        <v>5.3306583487202013E-2</v>
      </c>
      <c r="O72" s="11"/>
      <c r="P72" s="6">
        <v>16545.489999999998</v>
      </c>
      <c r="Q72" s="2"/>
      <c r="R72" s="7">
        <f t="shared" si="30"/>
        <v>1.1780037046104743E-2</v>
      </c>
      <c r="S72" s="2"/>
      <c r="T72" s="6">
        <v>14112.98</v>
      </c>
      <c r="U72" s="2"/>
      <c r="V72" s="7">
        <f t="shared" si="31"/>
        <v>7.8470574149092937E-3</v>
      </c>
      <c r="W72" s="2"/>
      <c r="X72" s="6">
        <f t="shared" si="32"/>
        <v>2432.5099999999984</v>
      </c>
      <c r="Y72" s="2"/>
      <c r="Z72" s="7">
        <f t="shared" si="33"/>
        <v>0.17235977093427457</v>
      </c>
    </row>
    <row r="73" spans="1:26" s="26" customFormat="1" outlineLevel="1" collapsed="1" x14ac:dyDescent="0.25">
      <c r="A73" s="27"/>
      <c r="B73" s="13" t="str">
        <f>CONCATENATE("     ","Advertising/Promo                                 ")</f>
        <v xml:space="preserve">     Advertising/Promo                                 </v>
      </c>
      <c r="C73" s="13"/>
      <c r="D73" s="1">
        <f>SUM(OSRRefD22_2x_0)</f>
        <v>350.05</v>
      </c>
      <c r="E73" s="1"/>
      <c r="F73" s="5">
        <f t="shared" ref="F73:F81" si="34">IF(D$12=0,0,D73/D$12)</f>
        <v>2.709537082884743E-3</v>
      </c>
      <c r="G73" s="1"/>
      <c r="H73" s="1">
        <f>SUM(OSRRefH22_2x_0)</f>
        <v>140.44999999999999</v>
      </c>
      <c r="I73" s="1"/>
      <c r="J73" s="5">
        <f t="shared" ref="J73:J81" si="35">IF(H$12=0,0,H73/H$12)</f>
        <v>6.5287848055816647E-4</v>
      </c>
      <c r="K73" s="1"/>
      <c r="L73" s="1">
        <f t="shared" ref="L73:L81" si="36">+D73-H73</f>
        <v>209.60000000000002</v>
      </c>
      <c r="M73" s="1"/>
      <c r="N73" s="5">
        <f t="shared" ref="N73:N81" si="37">IF(H73=0,0,L73/H73)</f>
        <v>1.4923460306158778</v>
      </c>
      <c r="O73" s="13"/>
      <c r="P73" s="1">
        <f>SUM(OSRRefP22_2x_0)</f>
        <v>598.92999999999995</v>
      </c>
      <c r="Q73" s="1"/>
      <c r="R73" s="5">
        <f t="shared" ref="R73:R81" si="38">IF(P$12=0,0,P73/P$12)</f>
        <v>4.264254239689193E-4</v>
      </c>
      <c r="S73" s="1"/>
      <c r="T73" s="1">
        <f>SUM(OSRRefT22_2x_0)</f>
        <v>1648.83</v>
      </c>
      <c r="U73" s="1"/>
      <c r="V73" s="5">
        <f t="shared" ref="V73:V81" si="39">IF(T$12=0,0,T73/T$12)</f>
        <v>9.1677758187320394E-4</v>
      </c>
      <c r="W73" s="1"/>
      <c r="X73" s="1">
        <f t="shared" ref="X73:X81" si="40">+P73-T73</f>
        <v>-1049.9000000000001</v>
      </c>
      <c r="Y73" s="1"/>
      <c r="Z73" s="5">
        <f t="shared" ref="Z73:Z81" si="41">IF(T73=0,0,X73/T73)</f>
        <v>-0.63675454716374646</v>
      </c>
    </row>
    <row r="74" spans="1:26" s="24" customFormat="1" hidden="1" outlineLevel="2" x14ac:dyDescent="0.25">
      <c r="A74" s="25"/>
      <c r="B74" s="11" t="str">
        <f>CONCATENATE("          ", "6362", " - ", "ADVERTISING EXPENSE")</f>
        <v xml:space="preserve">          6362 - ADVERTISING EXPENSE</v>
      </c>
      <c r="C74" s="11"/>
      <c r="D74" s="6">
        <v>350.05</v>
      </c>
      <c r="E74" s="2"/>
      <c r="F74" s="7">
        <f t="shared" si="34"/>
        <v>2.709537082884743E-3</v>
      </c>
      <c r="G74" s="2"/>
      <c r="H74" s="6">
        <v>140.44999999999999</v>
      </c>
      <c r="I74" s="2"/>
      <c r="J74" s="7">
        <f t="shared" si="35"/>
        <v>6.5287848055816647E-4</v>
      </c>
      <c r="K74" s="2"/>
      <c r="L74" s="6">
        <f t="shared" si="36"/>
        <v>209.60000000000002</v>
      </c>
      <c r="M74" s="2"/>
      <c r="N74" s="7">
        <f t="shared" si="37"/>
        <v>1.4923460306158778</v>
      </c>
      <c r="O74" s="11"/>
      <c r="P74" s="6">
        <v>598.92999999999995</v>
      </c>
      <c r="Q74" s="2"/>
      <c r="R74" s="7">
        <f t="shared" si="38"/>
        <v>4.264254239689193E-4</v>
      </c>
      <c r="S74" s="2"/>
      <c r="T74" s="6">
        <v>1648.83</v>
      </c>
      <c r="U74" s="2"/>
      <c r="V74" s="7">
        <f t="shared" si="39"/>
        <v>9.1677758187320394E-4</v>
      </c>
      <c r="W74" s="2"/>
      <c r="X74" s="6">
        <f t="shared" si="40"/>
        <v>-1049.9000000000001</v>
      </c>
      <c r="Y74" s="2"/>
      <c r="Z74" s="7">
        <f t="shared" si="41"/>
        <v>-0.63675454716374646</v>
      </c>
    </row>
    <row r="75" spans="1:26" s="26" customFormat="1" outlineLevel="1" collapsed="1" x14ac:dyDescent="0.25">
      <c r="A75" s="27"/>
      <c r="B75" s="13" t="str">
        <f>CONCATENATE("     ","Depreciation                                      ")</f>
        <v xml:space="preserve">     Depreciation                                      </v>
      </c>
      <c r="C75" s="13"/>
      <c r="D75" s="1">
        <f>SUM(OSRRefD22_3x_0)</f>
        <v>280.44</v>
      </c>
      <c r="E75" s="1"/>
      <c r="F75" s="5">
        <f t="shared" si="34"/>
        <v>2.1707258378065915E-3</v>
      </c>
      <c r="G75" s="1"/>
      <c r="H75" s="1">
        <f>SUM(OSRRefH22_3x_0)</f>
        <v>280.44</v>
      </c>
      <c r="I75" s="1"/>
      <c r="J75" s="5">
        <f t="shared" si="35"/>
        <v>1.303618662070005E-3</v>
      </c>
      <c r="K75" s="1"/>
      <c r="L75" s="1">
        <f t="shared" si="36"/>
        <v>0</v>
      </c>
      <c r="M75" s="1"/>
      <c r="N75" s="5">
        <f t="shared" si="37"/>
        <v>0</v>
      </c>
      <c r="O75" s="13"/>
      <c r="P75" s="1">
        <f>SUM(OSRRefP22_3x_0)</f>
        <v>1963.08</v>
      </c>
      <c r="Q75" s="1"/>
      <c r="R75" s="5">
        <f t="shared" si="38"/>
        <v>1.3976712158097042E-3</v>
      </c>
      <c r="S75" s="1"/>
      <c r="T75" s="1">
        <f>SUM(OSRRefT22_3x_0)</f>
        <v>1963.08</v>
      </c>
      <c r="U75" s="1"/>
      <c r="V75" s="5">
        <f t="shared" si="39"/>
        <v>1.0915059378005308E-3</v>
      </c>
      <c r="W75" s="1"/>
      <c r="X75" s="1">
        <f t="shared" si="40"/>
        <v>0</v>
      </c>
      <c r="Y75" s="1"/>
      <c r="Z75" s="5">
        <f t="shared" si="41"/>
        <v>0</v>
      </c>
    </row>
    <row r="76" spans="1:26" s="24" customFormat="1" hidden="1" outlineLevel="2" x14ac:dyDescent="0.25">
      <c r="A76" s="25"/>
      <c r="B76" s="11" t="str">
        <f>CONCATENATE("          ", "6322", " - ", "EQUIPMENT DEPRECIATION EXPENSE")</f>
        <v xml:space="preserve">          6322 - EQUIPMENT DEPRECIATION EXPENSE</v>
      </c>
      <c r="C76" s="11"/>
      <c r="D76" s="6">
        <v>280.44</v>
      </c>
      <c r="E76" s="2"/>
      <c r="F76" s="7">
        <f t="shared" si="34"/>
        <v>2.1707258378065915E-3</v>
      </c>
      <c r="G76" s="2"/>
      <c r="H76" s="6">
        <v>280.44</v>
      </c>
      <c r="I76" s="2"/>
      <c r="J76" s="7">
        <f t="shared" si="35"/>
        <v>1.303618662070005E-3</v>
      </c>
      <c r="K76" s="2"/>
      <c r="L76" s="6">
        <f t="shared" si="36"/>
        <v>0</v>
      </c>
      <c r="M76" s="2"/>
      <c r="N76" s="7">
        <f t="shared" si="37"/>
        <v>0</v>
      </c>
      <c r="O76" s="11"/>
      <c r="P76" s="6">
        <v>1963.08</v>
      </c>
      <c r="Q76" s="2"/>
      <c r="R76" s="7">
        <f t="shared" si="38"/>
        <v>1.3976712158097042E-3</v>
      </c>
      <c r="S76" s="2"/>
      <c r="T76" s="6">
        <v>1963.08</v>
      </c>
      <c r="U76" s="2"/>
      <c r="V76" s="7">
        <f t="shared" si="39"/>
        <v>1.0915059378005308E-3</v>
      </c>
      <c r="W76" s="2"/>
      <c r="X76" s="6">
        <f t="shared" si="40"/>
        <v>0</v>
      </c>
      <c r="Y76" s="2"/>
      <c r="Z76" s="7">
        <f t="shared" si="41"/>
        <v>0</v>
      </c>
    </row>
    <row r="77" spans="1:26" s="26" customFormat="1" outlineLevel="1" collapsed="1" x14ac:dyDescent="0.25">
      <c r="A77" s="27"/>
      <c r="B77" s="13" t="str">
        <f>CONCATENATE("     ","Discounts and Markdowns                           ")</f>
        <v xml:space="preserve">     Discounts and Markdowns                           </v>
      </c>
      <c r="C77" s="13"/>
      <c r="D77" s="1">
        <f>SUM(OSRRefD22_4x_0)</f>
        <v>0</v>
      </c>
      <c r="E77" s="1"/>
      <c r="F77" s="5">
        <f t="shared" si="34"/>
        <v>0</v>
      </c>
      <c r="G77" s="1"/>
      <c r="H77" s="1">
        <f>SUM(OSRRefH22_4x_0)</f>
        <v>1440.51</v>
      </c>
      <c r="I77" s="1"/>
      <c r="J77" s="5">
        <f t="shared" si="35"/>
        <v>6.6961764330996402E-3</v>
      </c>
      <c r="K77" s="1"/>
      <c r="L77" s="1">
        <f t="shared" si="36"/>
        <v>-1440.51</v>
      </c>
      <c r="M77" s="1"/>
      <c r="N77" s="5">
        <f t="shared" si="37"/>
        <v>-1</v>
      </c>
      <c r="O77" s="13"/>
      <c r="P77" s="1">
        <f>SUM(OSRRefP22_4x_0)</f>
        <v>0</v>
      </c>
      <c r="Q77" s="1"/>
      <c r="R77" s="5">
        <f t="shared" si="38"/>
        <v>0</v>
      </c>
      <c r="S77" s="1"/>
      <c r="T77" s="1">
        <f>SUM(OSRRefT22_4x_0)</f>
        <v>50711.17</v>
      </c>
      <c r="U77" s="1"/>
      <c r="V77" s="5">
        <f t="shared" si="39"/>
        <v>2.8196274817028417E-2</v>
      </c>
      <c r="W77" s="1"/>
      <c r="X77" s="1">
        <f t="shared" si="40"/>
        <v>-50711.17</v>
      </c>
      <c r="Y77" s="1"/>
      <c r="Z77" s="5">
        <f t="shared" si="41"/>
        <v>-1</v>
      </c>
    </row>
    <row r="78" spans="1:26" s="24" customFormat="1" hidden="1" outlineLevel="2" x14ac:dyDescent="0.25">
      <c r="A78" s="25"/>
      <c r="B78" s="11" t="str">
        <f>CONCATENATE("          ", "6382", " - ", "DISCOUNTS/MARK DOWNS")</f>
        <v xml:space="preserve">          6382 - DISCOUNTS/MARK DOWNS</v>
      </c>
      <c r="C78" s="11"/>
      <c r="D78" s="6"/>
      <c r="E78" s="2"/>
      <c r="F78" s="7">
        <f t="shared" si="34"/>
        <v>0</v>
      </c>
      <c r="G78" s="2"/>
      <c r="H78" s="6">
        <v>1440.51</v>
      </c>
      <c r="I78" s="2"/>
      <c r="J78" s="7">
        <f t="shared" si="35"/>
        <v>6.6961764330996402E-3</v>
      </c>
      <c r="K78" s="2"/>
      <c r="L78" s="6">
        <f t="shared" si="36"/>
        <v>-1440.51</v>
      </c>
      <c r="M78" s="2"/>
      <c r="N78" s="7">
        <f t="shared" si="37"/>
        <v>-1</v>
      </c>
      <c r="O78" s="11"/>
      <c r="P78" s="6"/>
      <c r="Q78" s="2"/>
      <c r="R78" s="7">
        <f t="shared" si="38"/>
        <v>0</v>
      </c>
      <c r="S78" s="2"/>
      <c r="T78" s="6">
        <v>50711.17</v>
      </c>
      <c r="U78" s="2"/>
      <c r="V78" s="7">
        <f t="shared" si="39"/>
        <v>2.8196274817028417E-2</v>
      </c>
      <c r="W78" s="2"/>
      <c r="X78" s="6">
        <f t="shared" si="40"/>
        <v>-50711.17</v>
      </c>
      <c r="Y78" s="2"/>
      <c r="Z78" s="7">
        <f t="shared" si="41"/>
        <v>-1</v>
      </c>
    </row>
    <row r="79" spans="1:26" s="26" customFormat="1" outlineLevel="1" collapsed="1" x14ac:dyDescent="0.25">
      <c r="A79" s="27"/>
      <c r="B79" s="13" t="str">
        <f>CONCATENATE("     ","Freight out/Postage                               ")</f>
        <v xml:space="preserve">     Freight out/Postage                               </v>
      </c>
      <c r="C79" s="13"/>
      <c r="D79" s="1">
        <f>SUM(OSRRefD22_5x_0)</f>
        <v>122.94</v>
      </c>
      <c r="E79" s="1"/>
      <c r="F79" s="5">
        <f t="shared" si="34"/>
        <v>9.5160831015526437E-4</v>
      </c>
      <c r="G79" s="1"/>
      <c r="H79" s="1">
        <f>SUM(OSRRefH22_5x_0)</f>
        <v>0</v>
      </c>
      <c r="I79" s="1"/>
      <c r="J79" s="5">
        <f t="shared" si="35"/>
        <v>0</v>
      </c>
      <c r="K79" s="1"/>
      <c r="L79" s="1">
        <f t="shared" si="36"/>
        <v>122.94</v>
      </c>
      <c r="M79" s="1"/>
      <c r="N79" s="5">
        <f t="shared" si="37"/>
        <v>0</v>
      </c>
      <c r="O79" s="13"/>
      <c r="P79" s="1">
        <f>SUM(OSRRefP22_5x_0)</f>
        <v>994.11</v>
      </c>
      <c r="Q79" s="1"/>
      <c r="R79" s="5">
        <f t="shared" si="38"/>
        <v>7.0778518060832219E-4</v>
      </c>
      <c r="S79" s="1"/>
      <c r="T79" s="1">
        <f>SUM(OSRRefT22_5x_0)</f>
        <v>41.61</v>
      </c>
      <c r="U79" s="1"/>
      <c r="V79" s="5">
        <f t="shared" si="39"/>
        <v>2.3135869181021703E-5</v>
      </c>
      <c r="W79" s="1"/>
      <c r="X79" s="1">
        <f t="shared" si="40"/>
        <v>952.5</v>
      </c>
      <c r="Y79" s="1"/>
      <c r="Z79" s="5">
        <f t="shared" si="41"/>
        <v>22.891131939437635</v>
      </c>
    </row>
    <row r="80" spans="1:26" s="24" customFormat="1" hidden="1" outlineLevel="2" x14ac:dyDescent="0.25">
      <c r="A80" s="25"/>
      <c r="B80" s="11" t="str">
        <f>CONCATENATE("          ", "6305", " - ", "FREIGHT OUT")</f>
        <v xml:space="preserve">          6305 - FREIGHT OUT</v>
      </c>
      <c r="C80" s="11"/>
      <c r="D80" s="6">
        <v>122.94</v>
      </c>
      <c r="E80" s="2"/>
      <c r="F80" s="7">
        <f t="shared" si="34"/>
        <v>9.5160831015526437E-4</v>
      </c>
      <c r="G80" s="2"/>
      <c r="H80" s="6"/>
      <c r="I80" s="2"/>
      <c r="J80" s="7">
        <f t="shared" si="35"/>
        <v>0</v>
      </c>
      <c r="K80" s="2"/>
      <c r="L80" s="6">
        <f t="shared" si="36"/>
        <v>122.94</v>
      </c>
      <c r="M80" s="2"/>
      <c r="N80" s="7">
        <f t="shared" si="37"/>
        <v>0</v>
      </c>
      <c r="O80" s="11"/>
      <c r="P80" s="6">
        <v>981.51</v>
      </c>
      <c r="Q80" s="2"/>
      <c r="R80" s="7">
        <f t="shared" si="38"/>
        <v>6.9881424854279135E-4</v>
      </c>
      <c r="S80" s="2"/>
      <c r="T80" s="6">
        <v>41.61</v>
      </c>
      <c r="U80" s="2"/>
      <c r="V80" s="7">
        <f t="shared" si="39"/>
        <v>2.3135869181021703E-5</v>
      </c>
      <c r="W80" s="2"/>
      <c r="X80" s="6">
        <f t="shared" si="40"/>
        <v>939.9</v>
      </c>
      <c r="Y80" s="2"/>
      <c r="Z80" s="7">
        <f t="shared" si="41"/>
        <v>22.588320115356886</v>
      </c>
    </row>
    <row r="81" spans="1:26" s="24" customFormat="1" hidden="1" outlineLevel="2" x14ac:dyDescent="0.25">
      <c r="A81" s="25"/>
      <c r="B81" s="11" t="str">
        <f>CONCATENATE("          ", "6307", " - ", "POSTAGE")</f>
        <v xml:space="preserve">          6307 - POSTAGE</v>
      </c>
      <c r="C81" s="11"/>
      <c r="D81" s="6"/>
      <c r="E81" s="2"/>
      <c r="F81" s="7">
        <f t="shared" si="34"/>
        <v>0</v>
      </c>
      <c r="G81" s="2"/>
      <c r="H81" s="6"/>
      <c r="I81" s="2"/>
      <c r="J81" s="7">
        <f t="shared" si="35"/>
        <v>0</v>
      </c>
      <c r="K81" s="2"/>
      <c r="L81" s="6">
        <f t="shared" si="36"/>
        <v>0</v>
      </c>
      <c r="M81" s="2"/>
      <c r="N81" s="7">
        <f t="shared" si="37"/>
        <v>0</v>
      </c>
      <c r="O81" s="11"/>
      <c r="P81" s="6">
        <v>12.6</v>
      </c>
      <c r="Q81" s="2"/>
      <c r="R81" s="7">
        <f t="shared" si="38"/>
        <v>8.9709320655308361E-6</v>
      </c>
      <c r="S81" s="2"/>
      <c r="T81" s="6"/>
      <c r="U81" s="2"/>
      <c r="V81" s="7">
        <f t="shared" si="39"/>
        <v>0</v>
      </c>
      <c r="W81" s="2"/>
      <c r="X81" s="6">
        <f t="shared" si="40"/>
        <v>12.6</v>
      </c>
      <c r="Y81" s="2"/>
      <c r="Z81" s="7">
        <f t="shared" si="41"/>
        <v>0</v>
      </c>
    </row>
    <row r="82" spans="1:26" s="26" customFormat="1" outlineLevel="1" collapsed="1" x14ac:dyDescent="0.25">
      <c r="A82" s="27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SUM(OSRRefD22_6x_0)</f>
        <v>0</v>
      </c>
      <c r="E82" s="1"/>
      <c r="F82" s="5">
        <f t="shared" ref="F82:F93" si="42">IF(D$12=0,0,D82/D$12)</f>
        <v>0</v>
      </c>
      <c r="G82" s="1"/>
      <c r="H82" s="1">
        <f>SUM(OSRRefH22_6x_0)</f>
        <v>0</v>
      </c>
      <c r="I82" s="1"/>
      <c r="J82" s="5">
        <f t="shared" ref="J82:J93" si="43">IF(H$12=0,0,H82/H$12)</f>
        <v>0</v>
      </c>
      <c r="K82" s="1"/>
      <c r="L82" s="1">
        <f t="shared" ref="L82:L93" si="44">+D82-H82</f>
        <v>0</v>
      </c>
      <c r="M82" s="1"/>
      <c r="N82" s="5">
        <f t="shared" ref="N82:N93" si="45">IF(H82=0,0,L82/H82)</f>
        <v>0</v>
      </c>
      <c r="O82" s="13"/>
      <c r="P82" s="1">
        <f>SUM(OSRRefP22_6x_0)</f>
        <v>-30.15</v>
      </c>
      <c r="Q82" s="1"/>
      <c r="R82" s="5">
        <f t="shared" ref="R82:R93" si="46">IF(P$12=0,0,P82/P$12)</f>
        <v>-2.146615887109164E-5</v>
      </c>
      <c r="S82" s="1"/>
      <c r="T82" s="1">
        <f>SUM(OSRRefT22_6x_0)</f>
        <v>0</v>
      </c>
      <c r="U82" s="1"/>
      <c r="V82" s="5">
        <f t="shared" ref="V82:V93" si="47">IF(T$12=0,0,T82/T$12)</f>
        <v>0</v>
      </c>
      <c r="W82" s="1"/>
      <c r="X82" s="1">
        <f t="shared" ref="X82:X93" si="48">+P82-T82</f>
        <v>-30.15</v>
      </c>
      <c r="Y82" s="1"/>
      <c r="Z82" s="5">
        <f t="shared" ref="Z82:Z93" si="49">IF(T82=0,0,X82/T82)</f>
        <v>0</v>
      </c>
    </row>
    <row r="83" spans="1:26" s="24" customFormat="1" hidden="1" outlineLevel="2" x14ac:dyDescent="0.25">
      <c r="A83" s="25"/>
      <c r="B83" s="11" t="str">
        <f>CONCATENATE("          ", "6279", " - ", "GENERAL EXPENSE")</f>
        <v xml:space="preserve">          6279 - GENERAL EXPENSE</v>
      </c>
      <c r="C83" s="11"/>
      <c r="D83" s="6"/>
      <c r="E83" s="2"/>
      <c r="F83" s="7">
        <f t="shared" si="42"/>
        <v>0</v>
      </c>
      <c r="G83" s="2"/>
      <c r="H83" s="6"/>
      <c r="I83" s="2"/>
      <c r="J83" s="7">
        <f t="shared" si="43"/>
        <v>0</v>
      </c>
      <c r="K83" s="2"/>
      <c r="L83" s="6">
        <f t="shared" si="44"/>
        <v>0</v>
      </c>
      <c r="M83" s="2"/>
      <c r="N83" s="7">
        <f t="shared" si="45"/>
        <v>0</v>
      </c>
      <c r="O83" s="11"/>
      <c r="P83" s="6">
        <v>-30.15</v>
      </c>
      <c r="Q83" s="2"/>
      <c r="R83" s="7">
        <f t="shared" si="46"/>
        <v>-2.146615887109164E-5</v>
      </c>
      <c r="S83" s="2"/>
      <c r="T83" s="6"/>
      <c r="U83" s="2"/>
      <c r="V83" s="7">
        <f t="shared" si="47"/>
        <v>0</v>
      </c>
      <c r="W83" s="2"/>
      <c r="X83" s="6">
        <f t="shared" si="48"/>
        <v>-30.15</v>
      </c>
      <c r="Y83" s="2"/>
      <c r="Z83" s="7">
        <f t="shared" si="49"/>
        <v>0</v>
      </c>
    </row>
    <row r="84" spans="1:26" s="26" customFormat="1" outlineLevel="1" collapsed="1" x14ac:dyDescent="0.25">
      <c r="A84" s="27"/>
      <c r="B84" s="13" t="str">
        <f>CONCATENATE("     ","Inventory Adjustment                              ")</f>
        <v xml:space="preserve">     Inventory Adjustment                              </v>
      </c>
      <c r="C84" s="13"/>
      <c r="D84" s="1">
        <f>SUM(OSRRefD22_7x_0)</f>
        <v>1250</v>
      </c>
      <c r="E84" s="1"/>
      <c r="F84" s="5">
        <f t="shared" si="42"/>
        <v>9.6755359337406914E-3</v>
      </c>
      <c r="G84" s="1"/>
      <c r="H84" s="1">
        <f>SUM(OSRRefH22_7x_0)</f>
        <v>0</v>
      </c>
      <c r="I84" s="1"/>
      <c r="J84" s="5">
        <f t="shared" si="43"/>
        <v>0</v>
      </c>
      <c r="K84" s="1"/>
      <c r="L84" s="1">
        <f t="shared" si="44"/>
        <v>1250</v>
      </c>
      <c r="M84" s="1"/>
      <c r="N84" s="5">
        <f t="shared" si="45"/>
        <v>0</v>
      </c>
      <c r="O84" s="13"/>
      <c r="P84" s="1">
        <f>SUM(OSRRefP22_7x_0)</f>
        <v>8750</v>
      </c>
      <c r="Q84" s="1"/>
      <c r="R84" s="5">
        <f t="shared" si="46"/>
        <v>6.2298139343964134E-3</v>
      </c>
      <c r="S84" s="1"/>
      <c r="T84" s="1">
        <f>SUM(OSRRefT22_7x_0)</f>
        <v>0</v>
      </c>
      <c r="U84" s="1"/>
      <c r="V84" s="5">
        <f t="shared" si="47"/>
        <v>0</v>
      </c>
      <c r="W84" s="1"/>
      <c r="X84" s="1">
        <f t="shared" si="48"/>
        <v>8750</v>
      </c>
      <c r="Y84" s="1"/>
      <c r="Z84" s="5">
        <f t="shared" si="49"/>
        <v>0</v>
      </c>
    </row>
    <row r="85" spans="1:26" s="24" customFormat="1" hidden="1" outlineLevel="2" x14ac:dyDescent="0.25">
      <c r="A85" s="25"/>
      <c r="B85" s="11" t="str">
        <f>CONCATENATE("          ", "6408", " - ", "INVENTORY ADJUSTMENT")</f>
        <v xml:space="preserve">          6408 - INVENTORY ADJUSTMENT</v>
      </c>
      <c r="C85" s="11"/>
      <c r="D85" s="6">
        <v>1250</v>
      </c>
      <c r="E85" s="2"/>
      <c r="F85" s="7">
        <f t="shared" si="42"/>
        <v>9.6755359337406914E-3</v>
      </c>
      <c r="G85" s="2"/>
      <c r="H85" s="6"/>
      <c r="I85" s="2"/>
      <c r="J85" s="7">
        <f t="shared" si="43"/>
        <v>0</v>
      </c>
      <c r="K85" s="2"/>
      <c r="L85" s="6">
        <f t="shared" si="44"/>
        <v>1250</v>
      </c>
      <c r="M85" s="2"/>
      <c r="N85" s="7">
        <f t="shared" si="45"/>
        <v>0</v>
      </c>
      <c r="O85" s="11"/>
      <c r="P85" s="6">
        <v>8750</v>
      </c>
      <c r="Q85" s="2"/>
      <c r="R85" s="7">
        <f t="shared" si="46"/>
        <v>6.2298139343964134E-3</v>
      </c>
      <c r="S85" s="2"/>
      <c r="T85" s="6"/>
      <c r="U85" s="2"/>
      <c r="V85" s="7">
        <f t="shared" si="47"/>
        <v>0</v>
      </c>
      <c r="W85" s="2"/>
      <c r="X85" s="6">
        <f t="shared" si="48"/>
        <v>8750</v>
      </c>
      <c r="Y85" s="2"/>
      <c r="Z85" s="7">
        <f t="shared" si="49"/>
        <v>0</v>
      </c>
    </row>
    <row r="86" spans="1:26" s="26" customFormat="1" outlineLevel="1" collapsed="1" x14ac:dyDescent="0.25">
      <c r="A86" s="27"/>
      <c r="B86" s="13" t="str">
        <f>CONCATENATE("     ","Repair and Maintenance                            ")</f>
        <v xml:space="preserve">     Repair and Maintenance                            </v>
      </c>
      <c r="C86" s="13"/>
      <c r="D86" s="1">
        <f>SUM(OSRRefD22_8x_0)</f>
        <v>0</v>
      </c>
      <c r="E86" s="1"/>
      <c r="F86" s="5">
        <f t="shared" si="42"/>
        <v>0</v>
      </c>
      <c r="G86" s="1"/>
      <c r="H86" s="1">
        <f>SUM(OSRRefH22_8x_0)</f>
        <v>0</v>
      </c>
      <c r="I86" s="1"/>
      <c r="J86" s="5">
        <f t="shared" si="43"/>
        <v>0</v>
      </c>
      <c r="K86" s="1"/>
      <c r="L86" s="1">
        <f t="shared" si="44"/>
        <v>0</v>
      </c>
      <c r="M86" s="1"/>
      <c r="N86" s="5">
        <f t="shared" si="45"/>
        <v>0</v>
      </c>
      <c r="O86" s="13"/>
      <c r="P86" s="1">
        <f>SUM(OSRRefP22_8x_0)</f>
        <v>0</v>
      </c>
      <c r="Q86" s="1"/>
      <c r="R86" s="5">
        <f t="shared" si="46"/>
        <v>0</v>
      </c>
      <c r="S86" s="1"/>
      <c r="T86" s="1">
        <f>SUM(OSRRefT22_8x_0)</f>
        <v>197.18</v>
      </c>
      <c r="U86" s="1"/>
      <c r="V86" s="5">
        <f t="shared" si="47"/>
        <v>1.0963544064200577E-4</v>
      </c>
      <c r="W86" s="1"/>
      <c r="X86" s="1">
        <f t="shared" si="48"/>
        <v>-197.18</v>
      </c>
      <c r="Y86" s="1"/>
      <c r="Z86" s="5">
        <f t="shared" si="49"/>
        <v>-1</v>
      </c>
    </row>
    <row r="87" spans="1:26" s="24" customFormat="1" hidden="1" outlineLevel="2" x14ac:dyDescent="0.25">
      <c r="A87" s="25"/>
      <c r="B87" s="11" t="str">
        <f>CONCATENATE("          ", "6375", " - ", "OUTSIDE REPAIRS &amp; MAINTENANCE")</f>
        <v xml:space="preserve">          6375 - OUTSIDE REPAIRS &amp; MAINTENANCE</v>
      </c>
      <c r="C87" s="11"/>
      <c r="D87" s="6"/>
      <c r="E87" s="2"/>
      <c r="F87" s="7">
        <f t="shared" si="42"/>
        <v>0</v>
      </c>
      <c r="G87" s="2"/>
      <c r="H87" s="6"/>
      <c r="I87" s="2"/>
      <c r="J87" s="7">
        <f t="shared" si="43"/>
        <v>0</v>
      </c>
      <c r="K87" s="2"/>
      <c r="L87" s="6">
        <f t="shared" si="44"/>
        <v>0</v>
      </c>
      <c r="M87" s="2"/>
      <c r="N87" s="7">
        <f t="shared" si="45"/>
        <v>0</v>
      </c>
      <c r="O87" s="11"/>
      <c r="P87" s="6"/>
      <c r="Q87" s="2"/>
      <c r="R87" s="7">
        <f t="shared" si="46"/>
        <v>0</v>
      </c>
      <c r="S87" s="2"/>
      <c r="T87" s="6">
        <v>197.18</v>
      </c>
      <c r="U87" s="2"/>
      <c r="V87" s="7">
        <f t="shared" si="47"/>
        <v>1.0963544064200577E-4</v>
      </c>
      <c r="W87" s="2"/>
      <c r="X87" s="6">
        <f t="shared" si="48"/>
        <v>-197.18</v>
      </c>
      <c r="Y87" s="2"/>
      <c r="Z87" s="7">
        <f t="shared" si="49"/>
        <v>-1</v>
      </c>
    </row>
    <row r="88" spans="1:26" s="26" customFormat="1" outlineLevel="1" collapsed="1" x14ac:dyDescent="0.25">
      <c r="A88" s="27"/>
      <c r="B88" s="13" t="str">
        <f>CONCATENATE("     ","Subscriptions &amp; Dues                              ")</f>
        <v xml:space="preserve">     Subscriptions &amp; Dues                              </v>
      </c>
      <c r="C88" s="13"/>
      <c r="D88" s="1">
        <f>SUM(OSRRefD22_9x_0)</f>
        <v>0</v>
      </c>
      <c r="E88" s="1"/>
      <c r="F88" s="5">
        <f t="shared" si="42"/>
        <v>0</v>
      </c>
      <c r="G88" s="1"/>
      <c r="H88" s="1">
        <f>SUM(OSRRefH22_9x_0)</f>
        <v>0</v>
      </c>
      <c r="I88" s="1"/>
      <c r="J88" s="5">
        <f t="shared" si="43"/>
        <v>0</v>
      </c>
      <c r="K88" s="1"/>
      <c r="L88" s="1">
        <f t="shared" si="44"/>
        <v>0</v>
      </c>
      <c r="M88" s="1"/>
      <c r="N88" s="5">
        <f t="shared" si="45"/>
        <v>0</v>
      </c>
      <c r="O88" s="13"/>
      <c r="P88" s="1">
        <f>SUM(OSRRefP22_9x_0)</f>
        <v>0</v>
      </c>
      <c r="Q88" s="1"/>
      <c r="R88" s="5">
        <f t="shared" si="46"/>
        <v>0</v>
      </c>
      <c r="S88" s="1"/>
      <c r="T88" s="1">
        <f>SUM(OSRRefT22_9x_0)</f>
        <v>-5000</v>
      </c>
      <c r="U88" s="1"/>
      <c r="V88" s="5">
        <f t="shared" si="47"/>
        <v>-2.7800852176185658E-3</v>
      </c>
      <c r="W88" s="1"/>
      <c r="X88" s="1">
        <f t="shared" si="48"/>
        <v>5000</v>
      </c>
      <c r="Y88" s="1"/>
      <c r="Z88" s="5">
        <f t="shared" si="49"/>
        <v>-1</v>
      </c>
    </row>
    <row r="89" spans="1:26" s="24" customFormat="1" hidden="1" outlineLevel="2" x14ac:dyDescent="0.25">
      <c r="A89" s="25"/>
      <c r="B89" s="11" t="str">
        <f>CONCATENATE("          ", "6258", " - ", "MEMBERSHIP DUES")</f>
        <v xml:space="preserve">          6258 - MEMBERSHIP DUES</v>
      </c>
      <c r="C89" s="11"/>
      <c r="D89" s="6"/>
      <c r="E89" s="2"/>
      <c r="F89" s="7">
        <f t="shared" si="42"/>
        <v>0</v>
      </c>
      <c r="G89" s="2"/>
      <c r="H89" s="6"/>
      <c r="I89" s="2"/>
      <c r="J89" s="7">
        <f t="shared" si="43"/>
        <v>0</v>
      </c>
      <c r="K89" s="2"/>
      <c r="L89" s="6">
        <f t="shared" si="44"/>
        <v>0</v>
      </c>
      <c r="M89" s="2"/>
      <c r="N89" s="7">
        <f t="shared" si="45"/>
        <v>0</v>
      </c>
      <c r="O89" s="11"/>
      <c r="P89" s="6"/>
      <c r="Q89" s="2"/>
      <c r="R89" s="7">
        <f t="shared" si="46"/>
        <v>0</v>
      </c>
      <c r="S89" s="2"/>
      <c r="T89" s="6">
        <v>-5000</v>
      </c>
      <c r="U89" s="2"/>
      <c r="V89" s="7">
        <f t="shared" si="47"/>
        <v>-2.7800852176185658E-3</v>
      </c>
      <c r="W89" s="2"/>
      <c r="X89" s="6">
        <f t="shared" si="48"/>
        <v>5000</v>
      </c>
      <c r="Y89" s="2"/>
      <c r="Z89" s="7">
        <f t="shared" si="49"/>
        <v>-1</v>
      </c>
    </row>
    <row r="90" spans="1:26" s="26" customFormat="1" outlineLevel="1" collapsed="1" x14ac:dyDescent="0.25">
      <c r="A90" s="27"/>
      <c r="B90" s="13" t="str">
        <f>CONCATENATE("     ","Supplies                                          ")</f>
        <v xml:space="preserve">     Supplies                                          </v>
      </c>
      <c r="C90" s="13"/>
      <c r="D90" s="1">
        <f>SUM(OSRRefD22_10x_0)</f>
        <v>-683.71</v>
      </c>
      <c r="E90" s="1"/>
      <c r="F90" s="5">
        <f t="shared" si="42"/>
        <v>-5.2922085386062781E-3</v>
      </c>
      <c r="G90" s="1"/>
      <c r="H90" s="1">
        <f>SUM(OSRRefH22_10x_0)</f>
        <v>311.60000000000002</v>
      </c>
      <c r="I90" s="1"/>
      <c r="J90" s="5">
        <f t="shared" si="43"/>
        <v>1.4484651800777835E-3</v>
      </c>
      <c r="K90" s="1"/>
      <c r="L90" s="1">
        <f t="shared" si="44"/>
        <v>-995.31000000000006</v>
      </c>
      <c r="M90" s="1"/>
      <c r="N90" s="5">
        <f t="shared" si="45"/>
        <v>-3.194191270860077</v>
      </c>
      <c r="O90" s="13"/>
      <c r="P90" s="1">
        <f>SUM(OSRRefP22_10x_0)</f>
        <v>2069.86</v>
      </c>
      <c r="Q90" s="1"/>
      <c r="R90" s="5">
        <f t="shared" si="46"/>
        <v>1.4736963051714012E-3</v>
      </c>
      <c r="S90" s="1"/>
      <c r="T90" s="1">
        <f>SUM(OSRRefT22_10x_0)</f>
        <v>3013.63</v>
      </c>
      <c r="U90" s="1"/>
      <c r="V90" s="5">
        <f t="shared" si="47"/>
        <v>1.6756296428743678E-3</v>
      </c>
      <c r="W90" s="1"/>
      <c r="X90" s="1">
        <f t="shared" si="48"/>
        <v>-943.77</v>
      </c>
      <c r="Y90" s="1"/>
      <c r="Z90" s="5">
        <f t="shared" si="49"/>
        <v>-0.31316717712526088</v>
      </c>
    </row>
    <row r="91" spans="1:26" s="24" customFormat="1" hidden="1" outlineLevel="2" x14ac:dyDescent="0.25">
      <c r="A91" s="25"/>
      <c r="B91" s="11" t="str">
        <f>CONCATENATE("          ", "6235", " - ", "COVID-19 EXPENSES")</f>
        <v xml:space="preserve">          6235 - COVID-19 EXPENSES</v>
      </c>
      <c r="C91" s="11"/>
      <c r="D91" s="6"/>
      <c r="E91" s="2"/>
      <c r="F91" s="7">
        <f t="shared" si="42"/>
        <v>0</v>
      </c>
      <c r="G91" s="2"/>
      <c r="H91" s="6"/>
      <c r="I91" s="2"/>
      <c r="J91" s="7">
        <f t="shared" si="43"/>
        <v>0</v>
      </c>
      <c r="K91" s="2"/>
      <c r="L91" s="6">
        <f t="shared" si="44"/>
        <v>0</v>
      </c>
      <c r="M91" s="2"/>
      <c r="N91" s="7">
        <f t="shared" si="45"/>
        <v>0</v>
      </c>
      <c r="O91" s="11"/>
      <c r="P91" s="6">
        <v>668.12</v>
      </c>
      <c r="Q91" s="2"/>
      <c r="R91" s="7">
        <f t="shared" si="46"/>
        <v>4.7568723266844937E-4</v>
      </c>
      <c r="S91" s="2"/>
      <c r="T91" s="6"/>
      <c r="U91" s="2"/>
      <c r="V91" s="7">
        <f t="shared" si="47"/>
        <v>0</v>
      </c>
      <c r="W91" s="2"/>
      <c r="X91" s="6">
        <f t="shared" si="48"/>
        <v>668.12</v>
      </c>
      <c r="Y91" s="2"/>
      <c r="Z91" s="7">
        <f t="shared" si="49"/>
        <v>0</v>
      </c>
    </row>
    <row r="92" spans="1:26" s="24" customFormat="1" hidden="1" outlineLevel="2" x14ac:dyDescent="0.25">
      <c r="A92" s="25"/>
      <c r="B92" s="11" t="str">
        <f>CONCATENATE("          ", "6241", " - ", "OFFICE EXPENSE")</f>
        <v xml:space="preserve">          6241 - OFFICE EXPENSE</v>
      </c>
      <c r="C92" s="11"/>
      <c r="D92" s="6">
        <v>-683.71</v>
      </c>
      <c r="E92" s="2"/>
      <c r="F92" s="7">
        <f t="shared" si="42"/>
        <v>-5.2922085386062781E-3</v>
      </c>
      <c r="G92" s="2"/>
      <c r="H92" s="6">
        <v>311.60000000000002</v>
      </c>
      <c r="I92" s="2"/>
      <c r="J92" s="7">
        <f t="shared" si="43"/>
        <v>1.4484651800777835E-3</v>
      </c>
      <c r="K92" s="2"/>
      <c r="L92" s="6">
        <f t="shared" si="44"/>
        <v>-995.31000000000006</v>
      </c>
      <c r="M92" s="2"/>
      <c r="N92" s="7">
        <f t="shared" si="45"/>
        <v>-3.194191270860077</v>
      </c>
      <c r="O92" s="11"/>
      <c r="P92" s="6">
        <v>1401.74</v>
      </c>
      <c r="Q92" s="2"/>
      <c r="R92" s="7">
        <f t="shared" si="46"/>
        <v>9.9800907250295178E-4</v>
      </c>
      <c r="S92" s="2"/>
      <c r="T92" s="6">
        <v>1004.25</v>
      </c>
      <c r="U92" s="2"/>
      <c r="V92" s="7">
        <f t="shared" si="47"/>
        <v>5.5838011595868897E-4</v>
      </c>
      <c r="W92" s="2"/>
      <c r="X92" s="6">
        <f t="shared" si="48"/>
        <v>397.49</v>
      </c>
      <c r="Y92" s="2"/>
      <c r="Z92" s="7">
        <f t="shared" si="49"/>
        <v>0.39580781677869059</v>
      </c>
    </row>
    <row r="93" spans="1:26" s="24" customFormat="1" hidden="1" outlineLevel="2" x14ac:dyDescent="0.25">
      <c r="A93" s="25"/>
      <c r="B93" s="11" t="str">
        <f>CONCATENATE("          ", "6247", " - ", "STORE SUPPLIES")</f>
        <v xml:space="preserve">          6247 - STORE SUPPLIES</v>
      </c>
      <c r="C93" s="11"/>
      <c r="D93" s="6"/>
      <c r="E93" s="2"/>
      <c r="F93" s="7">
        <f t="shared" si="42"/>
        <v>0</v>
      </c>
      <c r="G93" s="2"/>
      <c r="H93" s="6"/>
      <c r="I93" s="2"/>
      <c r="J93" s="7">
        <f t="shared" si="43"/>
        <v>0</v>
      </c>
      <c r="K93" s="2"/>
      <c r="L93" s="6">
        <f t="shared" si="44"/>
        <v>0</v>
      </c>
      <c r="M93" s="2"/>
      <c r="N93" s="7">
        <f t="shared" si="45"/>
        <v>0</v>
      </c>
      <c r="O93" s="11"/>
      <c r="P93" s="6"/>
      <c r="Q93" s="2"/>
      <c r="R93" s="7">
        <f t="shared" si="46"/>
        <v>0</v>
      </c>
      <c r="S93" s="2"/>
      <c r="T93" s="6">
        <v>2009.38</v>
      </c>
      <c r="U93" s="2"/>
      <c r="V93" s="7">
        <f t="shared" si="47"/>
        <v>1.1172495269156789E-3</v>
      </c>
      <c r="W93" s="2"/>
      <c r="X93" s="6">
        <f t="shared" si="48"/>
        <v>-2009.38</v>
      </c>
      <c r="Y93" s="2"/>
      <c r="Z93" s="7">
        <f t="shared" si="49"/>
        <v>-1</v>
      </c>
    </row>
    <row r="94" spans="1:26" s="26" customFormat="1" outlineLevel="1" collapsed="1" x14ac:dyDescent="0.25">
      <c r="A94" s="27"/>
      <c r="B94" s="13" t="str">
        <f>CONCATENATE("     ","Telephone/Data Lines                              ")</f>
        <v xml:space="preserve">     Telephone/Data Lines                              </v>
      </c>
      <c r="C94" s="13"/>
      <c r="D94" s="1">
        <f>SUM(OSRRefD22_11x_0)</f>
        <v>227.45</v>
      </c>
      <c r="E94" s="1"/>
      <c r="F94" s="5">
        <f t="shared" ref="F94:F99" si="50">IF(D$12=0,0,D94/D$12)</f>
        <v>1.7605605185034559E-3</v>
      </c>
      <c r="G94" s="1"/>
      <c r="H94" s="1">
        <f>SUM(OSRRefH22_11x_0)</f>
        <v>253.9</v>
      </c>
      <c r="I94" s="1"/>
      <c r="J94" s="5">
        <f t="shared" ref="J94:J99" si="51">IF(H$12=0,0,H94/H$12)</f>
        <v>1.1802481040492593E-3</v>
      </c>
      <c r="K94" s="1"/>
      <c r="L94" s="1">
        <f t="shared" ref="L94:L99" si="52">+D94-H94</f>
        <v>-26.450000000000017</v>
      </c>
      <c r="M94" s="1"/>
      <c r="N94" s="5">
        <f t="shared" ref="N94:N99" si="53">IF(H94=0,0,L94/H94)</f>
        <v>-0.10417487199684922</v>
      </c>
      <c r="O94" s="13"/>
      <c r="P94" s="1">
        <f>SUM(OSRRefP22_11x_0)</f>
        <v>2080.75</v>
      </c>
      <c r="Q94" s="1"/>
      <c r="R94" s="5">
        <f t="shared" ref="R94:R99" si="54">IF(P$12=0,0,P94/P$12)</f>
        <v>1.4814497535994673E-3</v>
      </c>
      <c r="S94" s="1"/>
      <c r="T94" s="1">
        <f>SUM(OSRRefT22_11x_0)</f>
        <v>1790.05</v>
      </c>
      <c r="U94" s="1"/>
      <c r="V94" s="5">
        <f t="shared" ref="V94:V99" si="55">IF(T$12=0,0,T94/T$12)</f>
        <v>9.9529830875962262E-4</v>
      </c>
      <c r="W94" s="1"/>
      <c r="X94" s="1">
        <f t="shared" ref="X94:X99" si="56">+P94-T94</f>
        <v>290.70000000000005</v>
      </c>
      <c r="Y94" s="1"/>
      <c r="Z94" s="5">
        <f t="shared" ref="Z94:Z99" si="57">IF(T94=0,0,X94/T94)</f>
        <v>0.16239769838831319</v>
      </c>
    </row>
    <row r="95" spans="1:26" s="24" customFormat="1" hidden="1" outlineLevel="2" x14ac:dyDescent="0.25">
      <c r="A95" s="25"/>
      <c r="B95" s="11" t="str">
        <f>CONCATENATE("          ", "6309", " - ", "TELEPHONE")</f>
        <v xml:space="preserve">          6309 - TELEPHONE</v>
      </c>
      <c r="C95" s="11"/>
      <c r="D95" s="6">
        <v>227.45</v>
      </c>
      <c r="E95" s="2"/>
      <c r="F95" s="7">
        <f t="shared" si="50"/>
        <v>1.7605605185034559E-3</v>
      </c>
      <c r="G95" s="2"/>
      <c r="H95" s="6">
        <v>253.9</v>
      </c>
      <c r="I95" s="2"/>
      <c r="J95" s="7">
        <f t="shared" si="51"/>
        <v>1.1802481040492593E-3</v>
      </c>
      <c r="K95" s="2"/>
      <c r="L95" s="6">
        <f t="shared" si="52"/>
        <v>-26.450000000000017</v>
      </c>
      <c r="M95" s="2"/>
      <c r="N95" s="7">
        <f t="shared" si="53"/>
        <v>-0.10417487199684922</v>
      </c>
      <c r="O95" s="11"/>
      <c r="P95" s="6">
        <v>2080.75</v>
      </c>
      <c r="Q95" s="2"/>
      <c r="R95" s="7">
        <f t="shared" si="54"/>
        <v>1.4814497535994673E-3</v>
      </c>
      <c r="S95" s="2"/>
      <c r="T95" s="6">
        <v>1790.05</v>
      </c>
      <c r="U95" s="2"/>
      <c r="V95" s="7">
        <f t="shared" si="55"/>
        <v>9.9529830875962262E-4</v>
      </c>
      <c r="W95" s="2"/>
      <c r="X95" s="6">
        <f t="shared" si="56"/>
        <v>290.70000000000005</v>
      </c>
      <c r="Y95" s="2"/>
      <c r="Z95" s="7">
        <f t="shared" si="57"/>
        <v>0.16239769838831319</v>
      </c>
    </row>
    <row r="96" spans="1:26" s="26" customFormat="1" outlineLevel="1" collapsed="1" x14ac:dyDescent="0.25">
      <c r="A96" s="27"/>
      <c r="B96" s="13" t="str">
        <f>CONCATENATE("     ","Training                                          ")</f>
        <v xml:space="preserve">     Training                                          </v>
      </c>
      <c r="C96" s="13"/>
      <c r="D96" s="1">
        <f>SUM(OSRRefD22_12x_0)</f>
        <v>0</v>
      </c>
      <c r="E96" s="1"/>
      <c r="F96" s="5">
        <f t="shared" si="50"/>
        <v>0</v>
      </c>
      <c r="G96" s="1"/>
      <c r="H96" s="1">
        <f>SUM(OSRRefH22_12x_0)</f>
        <v>0</v>
      </c>
      <c r="I96" s="1"/>
      <c r="J96" s="5">
        <f t="shared" si="51"/>
        <v>0</v>
      </c>
      <c r="K96" s="1"/>
      <c r="L96" s="1">
        <f t="shared" si="52"/>
        <v>0</v>
      </c>
      <c r="M96" s="1"/>
      <c r="N96" s="5">
        <f t="shared" si="53"/>
        <v>0</v>
      </c>
      <c r="O96" s="13"/>
      <c r="P96" s="1">
        <f>SUM(OSRRefP22_12x_0)</f>
        <v>100</v>
      </c>
      <c r="Q96" s="1"/>
      <c r="R96" s="5">
        <f t="shared" si="54"/>
        <v>7.1197873535959011E-5</v>
      </c>
      <c r="S96" s="1"/>
      <c r="T96" s="1">
        <f>SUM(OSRRefT22_12x_0)</f>
        <v>1163.6400000000001</v>
      </c>
      <c r="U96" s="1"/>
      <c r="V96" s="5">
        <f t="shared" si="55"/>
        <v>6.4700367252593365E-4</v>
      </c>
      <c r="W96" s="1"/>
      <c r="X96" s="1">
        <f t="shared" si="56"/>
        <v>-1063.6400000000001</v>
      </c>
      <c r="Y96" s="1"/>
      <c r="Z96" s="5">
        <f t="shared" si="57"/>
        <v>-0.91406276855384827</v>
      </c>
    </row>
    <row r="97" spans="1:26" s="24" customFormat="1" hidden="1" outlineLevel="2" x14ac:dyDescent="0.25">
      <c r="A97" s="25"/>
      <c r="B97" s="11" t="str">
        <f>CONCATENATE("          ", "6376", " - ", "TRAINING")</f>
        <v xml:space="preserve">          6376 - TRAINING</v>
      </c>
      <c r="C97" s="11"/>
      <c r="D97" s="6"/>
      <c r="E97" s="2"/>
      <c r="F97" s="7">
        <f t="shared" si="50"/>
        <v>0</v>
      </c>
      <c r="G97" s="2"/>
      <c r="H97" s="6"/>
      <c r="I97" s="2"/>
      <c r="J97" s="7">
        <f t="shared" si="51"/>
        <v>0</v>
      </c>
      <c r="K97" s="2"/>
      <c r="L97" s="6">
        <f t="shared" si="52"/>
        <v>0</v>
      </c>
      <c r="M97" s="2"/>
      <c r="N97" s="7">
        <f t="shared" si="53"/>
        <v>0</v>
      </c>
      <c r="O97" s="11"/>
      <c r="P97" s="6">
        <v>100</v>
      </c>
      <c r="Q97" s="2"/>
      <c r="R97" s="7">
        <f t="shared" si="54"/>
        <v>7.1197873535959011E-5</v>
      </c>
      <c r="S97" s="2"/>
      <c r="T97" s="6">
        <v>1163.6400000000001</v>
      </c>
      <c r="U97" s="2"/>
      <c r="V97" s="7">
        <f t="shared" si="55"/>
        <v>6.4700367252593365E-4</v>
      </c>
      <c r="W97" s="2"/>
      <c r="X97" s="6">
        <f t="shared" si="56"/>
        <v>-1063.6400000000001</v>
      </c>
      <c r="Y97" s="2"/>
      <c r="Z97" s="7">
        <f t="shared" si="57"/>
        <v>-0.91406276855384827</v>
      </c>
    </row>
    <row r="98" spans="1:26" s="26" customFormat="1" outlineLevel="1" collapsed="1" x14ac:dyDescent="0.25">
      <c r="A98" s="27"/>
      <c r="B98" s="13" t="str">
        <f>CONCATENATE("     ","Travel                                            ")</f>
        <v xml:space="preserve">     Travel                                            </v>
      </c>
      <c r="C98" s="13"/>
      <c r="D98" s="1">
        <f>SUM(OSRRefD22_13x_0)</f>
        <v>0</v>
      </c>
      <c r="E98" s="1"/>
      <c r="F98" s="5">
        <f t="shared" si="50"/>
        <v>0</v>
      </c>
      <c r="G98" s="1"/>
      <c r="H98" s="1">
        <f>SUM(OSRRefH22_13x_0)</f>
        <v>0</v>
      </c>
      <c r="I98" s="1"/>
      <c r="J98" s="5">
        <f t="shared" si="51"/>
        <v>0</v>
      </c>
      <c r="K98" s="1"/>
      <c r="L98" s="1">
        <f t="shared" si="52"/>
        <v>0</v>
      </c>
      <c r="M98" s="1"/>
      <c r="N98" s="5">
        <f t="shared" si="53"/>
        <v>0</v>
      </c>
      <c r="O98" s="13"/>
      <c r="P98" s="1">
        <f>SUM(OSRRefP22_13x_0)</f>
        <v>0</v>
      </c>
      <c r="Q98" s="1"/>
      <c r="R98" s="5">
        <f t="shared" si="54"/>
        <v>0</v>
      </c>
      <c r="S98" s="1"/>
      <c r="T98" s="1">
        <f>SUM(OSRRefT22_13x_0)</f>
        <v>-178.06</v>
      </c>
      <c r="U98" s="1"/>
      <c r="V98" s="5">
        <f t="shared" si="55"/>
        <v>-9.9004394769832359E-5</v>
      </c>
      <c r="W98" s="1"/>
      <c r="X98" s="1">
        <f t="shared" si="56"/>
        <v>178.06</v>
      </c>
      <c r="Y98" s="1"/>
      <c r="Z98" s="5">
        <f t="shared" si="57"/>
        <v>-1</v>
      </c>
    </row>
    <row r="99" spans="1:26" s="24" customFormat="1" hidden="1" outlineLevel="2" x14ac:dyDescent="0.25">
      <c r="A99" s="25"/>
      <c r="B99" s="11" t="str">
        <f>CONCATENATE("          ", "6292", " - ", "TRAVEL/CONFERENCE")</f>
        <v xml:space="preserve">          6292 - TRAVEL/CONFERENCE</v>
      </c>
      <c r="C99" s="11"/>
      <c r="D99" s="6"/>
      <c r="E99" s="2"/>
      <c r="F99" s="7">
        <f t="shared" si="50"/>
        <v>0</v>
      </c>
      <c r="G99" s="2"/>
      <c r="H99" s="6"/>
      <c r="I99" s="2"/>
      <c r="J99" s="7">
        <f t="shared" si="51"/>
        <v>0</v>
      </c>
      <c r="K99" s="2"/>
      <c r="L99" s="6">
        <f t="shared" si="52"/>
        <v>0</v>
      </c>
      <c r="M99" s="2"/>
      <c r="N99" s="7">
        <f t="shared" si="53"/>
        <v>0</v>
      </c>
      <c r="O99" s="11"/>
      <c r="P99" s="6"/>
      <c r="Q99" s="2"/>
      <c r="R99" s="7">
        <f t="shared" si="54"/>
        <v>0</v>
      </c>
      <c r="S99" s="2"/>
      <c r="T99" s="6">
        <v>-178.06</v>
      </c>
      <c r="U99" s="2"/>
      <c r="V99" s="7">
        <f t="shared" si="55"/>
        <v>-9.9004394769832359E-5</v>
      </c>
      <c r="W99" s="2"/>
      <c r="X99" s="6">
        <f t="shared" si="56"/>
        <v>178.06</v>
      </c>
      <c r="Y99" s="2"/>
      <c r="Z99" s="7">
        <f t="shared" si="57"/>
        <v>-1</v>
      </c>
    </row>
    <row r="100" spans="1:26" s="61" customFormat="1" x14ac:dyDescent="0.25">
      <c r="A100" s="37"/>
      <c r="B100" s="37"/>
      <c r="C100" s="37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7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25">
      <c r="A101" s="10"/>
      <c r="B101" s="29" t="s">
        <v>0</v>
      </c>
      <c r="C101" s="10"/>
      <c r="D101" s="4">
        <f>SUM(OSRRefD25x_0)</f>
        <v>285.94</v>
      </c>
      <c r="E101" s="4"/>
      <c r="F101" s="12">
        <f t="shared" ref="F101:F105" si="58">IF(D$12=0,0,D101/D$12)</f>
        <v>2.2132981959150505E-3</v>
      </c>
      <c r="G101" s="4"/>
      <c r="H101" s="4">
        <f>SUM(OSRRefH25x_0)</f>
        <v>5983.15</v>
      </c>
      <c r="I101" s="4"/>
      <c r="J101" s="12">
        <f t="shared" ref="J101:J105" si="59">IF(H$12=0,0,H101/H$12)</f>
        <v>2.7812530302254137E-2</v>
      </c>
      <c r="K101" s="4"/>
      <c r="L101" s="4">
        <f t="shared" ref="L101:L105" si="60">+D101-H101</f>
        <v>-5697.21</v>
      </c>
      <c r="M101" s="4"/>
      <c r="N101" s="12">
        <f t="shared" ref="N101:N105" si="61">IF(H101=0,0,L101/H101)</f>
        <v>-0.95220912061372365</v>
      </c>
      <c r="O101" s="10"/>
      <c r="P101" s="4">
        <f>SUM(OSRRefP25x_0)</f>
        <v>629.04</v>
      </c>
      <c r="Q101" s="4"/>
      <c r="R101" s="12">
        <f t="shared" ref="R101:R105" si="62">IF(P$12=0,0,P101/P$12)</f>
        <v>4.4786310369059653E-4</v>
      </c>
      <c r="S101" s="4"/>
      <c r="T101" s="4">
        <f>SUM(OSRRefT25x_0)</f>
        <v>13219.810000000001</v>
      </c>
      <c r="U101" s="4"/>
      <c r="V101" s="12">
        <f t="shared" ref="V101:V105" si="63">IF(T$12=0,0,T101/T$12)</f>
        <v>7.3504396721452191E-3</v>
      </c>
      <c r="W101" s="4"/>
      <c r="X101" s="4">
        <f t="shared" ref="X101:X105" si="64">+P101-T101</f>
        <v>-12590.77</v>
      </c>
      <c r="Y101" s="4"/>
      <c r="Z101" s="12">
        <f t="shared" ref="Z101:Z105" si="65">IF(T101=0,0,X101/T101)</f>
        <v>-0.95241686529534075</v>
      </c>
    </row>
    <row r="102" spans="1:26" s="24" customFormat="1" hidden="1" outlineLevel="1" x14ac:dyDescent="0.25">
      <c r="A102" s="44"/>
      <c r="B102" s="11" t="str">
        <f>CONCATENATE("          ", "4187", " - ", "NON-TAXABLE SALES-COMPUTER REP")</f>
        <v xml:space="preserve">          4187 - NON-TAXABLE SALES-COMPUTER REP</v>
      </c>
      <c r="C102" s="11"/>
      <c r="D102" s="2">
        <f>--651.37</f>
        <v>651.37</v>
      </c>
      <c r="E102" s="2"/>
      <c r="F102" s="19">
        <f t="shared" si="58"/>
        <v>5.0418830729285387E-3</v>
      </c>
      <c r="G102" s="2"/>
      <c r="H102" s="2">
        <f>--1922.01</f>
        <v>1922.01</v>
      </c>
      <c r="I102" s="2"/>
      <c r="J102" s="19">
        <f t="shared" si="59"/>
        <v>8.9344177174624541E-3</v>
      </c>
      <c r="K102" s="2"/>
      <c r="L102" s="2">
        <f t="shared" si="60"/>
        <v>-1270.6399999999999</v>
      </c>
      <c r="M102" s="2"/>
      <c r="N102" s="19">
        <f t="shared" si="61"/>
        <v>-0.66109957804589981</v>
      </c>
      <c r="O102" s="11"/>
      <c r="P102" s="2">
        <f>--1685.87</f>
        <v>1685.87</v>
      </c>
      <c r="Q102" s="2"/>
      <c r="R102" s="19">
        <f t="shared" si="62"/>
        <v>1.200303590580672E-3</v>
      </c>
      <c r="S102" s="2"/>
      <c r="T102" s="2">
        <f>--15110.93</f>
        <v>15110.93</v>
      </c>
      <c r="U102" s="2"/>
      <c r="V102" s="19">
        <f t="shared" si="63"/>
        <v>8.4019346234937824E-3</v>
      </c>
      <c r="W102" s="2"/>
      <c r="X102" s="2">
        <f t="shared" si="64"/>
        <v>-13425.060000000001</v>
      </c>
      <c r="Y102" s="2"/>
      <c r="Z102" s="19">
        <f t="shared" si="65"/>
        <v>-0.88843373637492873</v>
      </c>
    </row>
    <row r="103" spans="1:26" s="24" customFormat="1" hidden="1" outlineLevel="1" x14ac:dyDescent="0.25">
      <c r="A103" s="44"/>
      <c r="B103" s="11" t="str">
        <f>CONCATENATE("          ", "4387", " - ", "SALES RETURN NON TAXABLE-COMPU")</f>
        <v xml:space="preserve">          4387 - SALES RETURN NON TAXABLE-COMPU</v>
      </c>
      <c r="C103" s="11"/>
      <c r="D103" s="2">
        <f t="shared" ref="D103:D104" si="66">0</f>
        <v>0</v>
      </c>
      <c r="E103" s="2"/>
      <c r="F103" s="19">
        <f t="shared" si="58"/>
        <v>0</v>
      </c>
      <c r="G103" s="2"/>
      <c r="H103" s="2">
        <f t="shared" ref="H103:H104" si="67">0</f>
        <v>0</v>
      </c>
      <c r="I103" s="2"/>
      <c r="J103" s="19">
        <f t="shared" si="59"/>
        <v>0</v>
      </c>
      <c r="K103" s="2"/>
      <c r="L103" s="2">
        <f t="shared" si="60"/>
        <v>0</v>
      </c>
      <c r="M103" s="2"/>
      <c r="N103" s="19">
        <f t="shared" si="61"/>
        <v>0</v>
      </c>
      <c r="O103" s="11"/>
      <c r="P103" s="2">
        <f t="shared" ref="P103:P104" si="68">0</f>
        <v>0</v>
      </c>
      <c r="Q103" s="2"/>
      <c r="R103" s="19">
        <f t="shared" si="62"/>
        <v>0</v>
      </c>
      <c r="S103" s="2"/>
      <c r="T103" s="2">
        <f>-7889</f>
        <v>-7889</v>
      </c>
      <c r="U103" s="2"/>
      <c r="V103" s="19">
        <f t="shared" si="63"/>
        <v>-4.3864184563585729E-3</v>
      </c>
      <c r="W103" s="2"/>
      <c r="X103" s="2">
        <f t="shared" si="64"/>
        <v>7889</v>
      </c>
      <c r="Y103" s="2"/>
      <c r="Z103" s="19">
        <f t="shared" si="65"/>
        <v>-1</v>
      </c>
    </row>
    <row r="104" spans="1:26" s="24" customFormat="1" hidden="1" outlineLevel="1" x14ac:dyDescent="0.25">
      <c r="A104" s="44"/>
      <c r="B104" s="11" t="str">
        <f>CONCATENATE("          ", "5087", " - ", "PURCHASES @ COST-COMPUTER REPA")</f>
        <v xml:space="preserve">          5087 - PURCHASES @ COST-COMPUTER REPA</v>
      </c>
      <c r="C104" s="11"/>
      <c r="D104" s="2">
        <f t="shared" si="66"/>
        <v>0</v>
      </c>
      <c r="E104" s="2"/>
      <c r="F104" s="19">
        <f t="shared" si="58"/>
        <v>0</v>
      </c>
      <c r="G104" s="2"/>
      <c r="H104" s="2">
        <f t="shared" si="67"/>
        <v>0</v>
      </c>
      <c r="I104" s="2"/>
      <c r="J104" s="19">
        <f t="shared" si="59"/>
        <v>0</v>
      </c>
      <c r="K104" s="2"/>
      <c r="L104" s="2">
        <f t="shared" si="60"/>
        <v>0</v>
      </c>
      <c r="M104" s="2"/>
      <c r="N104" s="19">
        <f t="shared" si="61"/>
        <v>0</v>
      </c>
      <c r="O104" s="11"/>
      <c r="P104" s="2">
        <f t="shared" si="68"/>
        <v>0</v>
      </c>
      <c r="Q104" s="2"/>
      <c r="R104" s="19">
        <f t="shared" si="62"/>
        <v>0</v>
      </c>
      <c r="S104" s="2"/>
      <c r="T104" s="2">
        <f>-56.72</f>
        <v>-56.72</v>
      </c>
      <c r="U104" s="2"/>
      <c r="V104" s="19">
        <f t="shared" si="63"/>
        <v>-3.1537286708665008E-5</v>
      </c>
      <c r="W104" s="2"/>
      <c r="X104" s="2">
        <f t="shared" si="64"/>
        <v>56.72</v>
      </c>
      <c r="Y104" s="2"/>
      <c r="Z104" s="19">
        <f t="shared" si="65"/>
        <v>-1</v>
      </c>
    </row>
    <row r="105" spans="1:26" s="24" customFormat="1" hidden="1" outlineLevel="1" x14ac:dyDescent="0.25">
      <c r="A105" s="44"/>
      <c r="B105" s="11" t="str">
        <f>CONCATENATE("          ", "9150", " - ", "MISC. INCOME")</f>
        <v xml:space="preserve">          9150 - MISC. INCOME</v>
      </c>
      <c r="C105" s="11"/>
      <c r="D105" s="2">
        <f>-365.43</f>
        <v>-365.43</v>
      </c>
      <c r="E105" s="2"/>
      <c r="F105" s="19">
        <f t="shared" si="58"/>
        <v>-2.8285848770134886E-3</v>
      </c>
      <c r="G105" s="2"/>
      <c r="H105" s="2">
        <f>--4061.14</f>
        <v>4061.14</v>
      </c>
      <c r="I105" s="2"/>
      <c r="J105" s="19">
        <f t="shared" si="59"/>
        <v>1.8878112584791686E-2</v>
      </c>
      <c r="K105" s="2"/>
      <c r="L105" s="2">
        <f t="shared" si="60"/>
        <v>-4426.57</v>
      </c>
      <c r="M105" s="2"/>
      <c r="N105" s="19">
        <f t="shared" si="61"/>
        <v>-1.0899821232461822</v>
      </c>
      <c r="O105" s="11"/>
      <c r="P105" s="2">
        <f>-1056.83</f>
        <v>-1056.83</v>
      </c>
      <c r="Q105" s="2"/>
      <c r="R105" s="19">
        <f t="shared" si="62"/>
        <v>-7.5244048689007562E-4</v>
      </c>
      <c r="S105" s="2"/>
      <c r="T105" s="2">
        <f>--6054.6</f>
        <v>6054.6</v>
      </c>
      <c r="U105" s="2"/>
      <c r="V105" s="19">
        <f t="shared" si="63"/>
        <v>3.3664607917186741E-3</v>
      </c>
      <c r="W105" s="2"/>
      <c r="X105" s="2">
        <f t="shared" si="64"/>
        <v>-7111.43</v>
      </c>
      <c r="Y105" s="2"/>
      <c r="Z105" s="19">
        <f t="shared" si="65"/>
        <v>-1.1745499289796189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8" t="s">
        <v>3</v>
      </c>
      <c r="C107" s="28"/>
      <c r="D107" s="20">
        <f>+D54-D56+D101</f>
        <v>4650.4900000000098</v>
      </c>
      <c r="E107" s="14"/>
      <c r="F107" s="22">
        <f>IF(D$12=0,0,D107/D$12)</f>
        <v>3.5996786483601474E-2</v>
      </c>
      <c r="G107" s="14"/>
      <c r="H107" s="20">
        <f>+H54-H56+H101</f>
        <v>22212.960000000072</v>
      </c>
      <c r="I107" s="14"/>
      <c r="J107" s="22">
        <f>IF(H$12=0,0,H107/H$12)</f>
        <v>0.1032564156176531</v>
      </c>
      <c r="K107" s="15"/>
      <c r="L107" s="20">
        <f>+D107-H107</f>
        <v>-17562.470000000063</v>
      </c>
      <c r="M107" s="15"/>
      <c r="N107" s="22">
        <f>IF(H107=0,0,L107/H107)</f>
        <v>-0.79064068903919182</v>
      </c>
      <c r="O107" s="29"/>
      <c r="P107" s="20">
        <f>+P54-P56+P101</f>
        <v>-15855.159999999996</v>
      </c>
      <c r="Q107" s="14"/>
      <c r="R107" s="22">
        <f>IF(P$12=0,0,P107/P$12)</f>
        <v>-1.1288536765723957E-2</v>
      </c>
      <c r="S107" s="14"/>
      <c r="T107" s="20">
        <f>+T54-T56+T101</f>
        <v>77350.589999999298</v>
      </c>
      <c r="U107" s="14"/>
      <c r="V107" s="22">
        <f>IF(T$12=0,0,T107/T$12)</f>
        <v>4.3008246366614503E-2</v>
      </c>
      <c r="W107" s="15"/>
      <c r="X107" s="20">
        <f>+P107-T107</f>
        <v>-93205.749999999302</v>
      </c>
      <c r="Y107" s="15"/>
      <c r="Z107" s="22">
        <f>IF(T107=0,0,X107/T107)</f>
        <v>-1.2049778805824254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1"/>
      <c r="B109" s="10" t="s">
        <v>13</v>
      </c>
      <c r="C109" s="10"/>
      <c r="D109" s="4">
        <v>18994.759999999998</v>
      </c>
      <c r="E109" s="4"/>
      <c r="F109" s="12">
        <f>IF(D$12=0,0,D109/D$12)</f>
        <v>0.14702758634622423</v>
      </c>
      <c r="G109" s="4"/>
      <c r="H109" s="4">
        <v>16541.28</v>
      </c>
      <c r="I109" s="4"/>
      <c r="J109" s="12">
        <f>IF(H$12=0,0,H109/H$12)</f>
        <v>7.6891746193572003E-2</v>
      </c>
      <c r="K109" s="4"/>
      <c r="L109" s="4">
        <f>+D109-H109</f>
        <v>2453.4799999999996</v>
      </c>
      <c r="M109" s="4"/>
      <c r="N109" s="12">
        <f>IF(H109=0,0,L109/H109)</f>
        <v>0.14832467620401804</v>
      </c>
      <c r="O109" s="10"/>
      <c r="P109" s="4">
        <v>254960.5</v>
      </c>
      <c r="Q109" s="4"/>
      <c r="R109" s="12">
        <f>IF(P$12=0,0,P109/P$12)</f>
        <v>0.18152645435664877</v>
      </c>
      <c r="S109" s="4"/>
      <c r="T109" s="4">
        <v>187558.7</v>
      </c>
      <c r="U109" s="4"/>
      <c r="V109" s="12">
        <f>IF(T$12=0,0,T109/T$12)</f>
        <v>0.10428583386115106</v>
      </c>
      <c r="W109" s="4"/>
      <c r="X109" s="4">
        <f>+P109-T109</f>
        <v>67401.799999999988</v>
      </c>
      <c r="Y109" s="4"/>
      <c r="Z109" s="12">
        <f>IF(T109=0,0,X109/T109)</f>
        <v>0.35936376185162289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8" t="s">
        <v>4</v>
      </c>
      <c r="C111" s="28"/>
      <c r="D111" s="30">
        <f>+D107-D109</f>
        <v>-14344.26999999999</v>
      </c>
      <c r="E111" s="14"/>
      <c r="F111" s="36">
        <f>IF(D$12=0,0,D111/D$12)</f>
        <v>-0.11103079986262278</v>
      </c>
      <c r="G111" s="14"/>
      <c r="H111" s="30">
        <f>+H107-H109</f>
        <v>5671.6800000000731</v>
      </c>
      <c r="I111" s="14"/>
      <c r="J111" s="36">
        <f>IF(H$12=0,0,H111/H$12)</f>
        <v>2.6364669424081093E-2</v>
      </c>
      <c r="K111" s="15"/>
      <c r="L111" s="30">
        <f>D111-H111</f>
        <v>-20015.950000000063</v>
      </c>
      <c r="M111" s="15"/>
      <c r="N111" s="36">
        <f>IF(H111=0,0,L111/H111)</f>
        <v>-3.5291042512976412</v>
      </c>
      <c r="O111" s="29"/>
      <c r="P111" s="30">
        <f>+P107-P109</f>
        <v>-270815.65999999997</v>
      </c>
      <c r="Q111" s="14"/>
      <c r="R111" s="36">
        <f>IF(P$12=0,0,P111/P$12)</f>
        <v>-0.19281499112237271</v>
      </c>
      <c r="S111" s="14"/>
      <c r="T111" s="30">
        <f>+T107-T109</f>
        <v>-110208.11000000071</v>
      </c>
      <c r="U111" s="14"/>
      <c r="V111" s="36">
        <f>IF(T$12=0,0,T111/T$12)</f>
        <v>-6.1277587494536566E-2</v>
      </c>
      <c r="W111" s="15"/>
      <c r="X111" s="30">
        <f>P111-T111</f>
        <v>-160607.54999999926</v>
      </c>
      <c r="Y111" s="15"/>
      <c r="Z111" s="36">
        <f>IF(T111=0,0,X111/T111)</f>
        <v>1.4573115354214696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8" t="s">
        <v>5</v>
      </c>
      <c r="C114" s="28"/>
      <c r="D114" s="32">
        <f>SUM(D111:D113)</f>
        <v>-14344.26999999999</v>
      </c>
      <c r="E114" s="14"/>
      <c r="F114" s="31">
        <f>IF(D$12=0,0,D114/D$12)</f>
        <v>-0.11103079986262278</v>
      </c>
      <c r="G114" s="14"/>
      <c r="H114" s="32">
        <f>SUM(H111:H113)</f>
        <v>5671.6800000000731</v>
      </c>
      <c r="I114" s="14"/>
      <c r="J114" s="31">
        <f>IF(H$12=0,0,H114/H$12)</f>
        <v>2.6364669424081093E-2</v>
      </c>
      <c r="K114" s="15"/>
      <c r="L114" s="32">
        <f>+D114-H114</f>
        <v>-20015.950000000063</v>
      </c>
      <c r="M114" s="15"/>
      <c r="N114" s="31">
        <f>IF(H114=0,0,L114/H114)</f>
        <v>-3.5291042512976412</v>
      </c>
      <c r="O114" s="29"/>
      <c r="P114" s="32">
        <f>SUM(P111:P113)</f>
        <v>-270815.65999999997</v>
      </c>
      <c r="Q114" s="14"/>
      <c r="R114" s="31">
        <f>IF(P$12=0,0,P114/P$12)</f>
        <v>-0.19281499112237271</v>
      </c>
      <c r="S114" s="14"/>
      <c r="T114" s="32">
        <f>SUM(T111:T113)</f>
        <v>-110208.11000000071</v>
      </c>
      <c r="U114" s="14"/>
      <c r="V114" s="31">
        <f>IF(T$12=0,0,T114/T$12)</f>
        <v>-6.1277587494536566E-2</v>
      </c>
      <c r="W114" s="15"/>
      <c r="X114" s="32">
        <f>+P114-T114</f>
        <v>-160607.54999999926</v>
      </c>
      <c r="Y114" s="15"/>
      <c r="Z114" s="31">
        <f>IF(T114=0,0,X114/T114)</f>
        <v>1.4573115354214696</v>
      </c>
    </row>
    <row r="115" spans="1:26" ht="15.75" thickTop="1" x14ac:dyDescent="0.25">
      <c r="A115" s="9"/>
      <c r="C115" s="9"/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6" x14ac:dyDescent="0.25">
      <c r="A116" s="9"/>
      <c r="B116" s="62">
        <v>44238.496269409719</v>
      </c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6" x14ac:dyDescent="0.25">
      <c r="A117" s="9"/>
      <c r="B117" s="59" t="s">
        <v>313</v>
      </c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56"/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181190.88999999998</v>
      </c>
      <c r="I12" s="4"/>
      <c r="J12" s="12"/>
      <c r="K12" s="4"/>
      <c r="L12" s="4">
        <f t="shared" ref="L12:L21" si="0">+D12-H12</f>
        <v>-181190.88999999998</v>
      </c>
      <c r="M12" s="4"/>
      <c r="N12" s="12">
        <f t="shared" ref="N12:N21" si="1">IF(H12=0,0,L12/H12)</f>
        <v>-1</v>
      </c>
      <c r="O12" s="10"/>
      <c r="P12" s="4">
        <f>SUM(OSRRefP13x_0)</f>
        <v>2586.4700000000003</v>
      </c>
      <c r="Q12" s="4"/>
      <c r="R12" s="12"/>
      <c r="S12" s="4"/>
      <c r="T12" s="4">
        <f>SUM(OSRRefT13x_0)</f>
        <v>1807983.71</v>
      </c>
      <c r="U12" s="4"/>
      <c r="V12" s="12"/>
      <c r="W12" s="4"/>
      <c r="X12" s="4">
        <f t="shared" ref="X12:X21" si="2">+P12-T12</f>
        <v>-1805397.24</v>
      </c>
      <c r="Y12" s="4"/>
      <c r="Z12" s="12">
        <f t="shared" ref="Z12:Z21" si="3">IF(T12=0,0,X12/T12)</f>
        <v>-0.99856941742024874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21" si="4">0</f>
        <v>0</v>
      </c>
      <c r="E13" s="2"/>
      <c r="F13" s="19"/>
      <c r="G13" s="2"/>
      <c r="H13" s="2">
        <f>--21457.4</f>
        <v>21457.4</v>
      </c>
      <c r="I13" s="2"/>
      <c r="J13" s="19"/>
      <c r="K13" s="2"/>
      <c r="L13" s="2">
        <f t="shared" si="0"/>
        <v>-21457.4</v>
      </c>
      <c r="M13" s="2"/>
      <c r="N13" s="19">
        <f t="shared" si="1"/>
        <v>-1</v>
      </c>
      <c r="O13" s="11"/>
      <c r="P13" s="2">
        <f>--444.59</f>
        <v>444.59</v>
      </c>
      <c r="Q13" s="2"/>
      <c r="R13" s="19"/>
      <c r="S13" s="2"/>
      <c r="T13" s="2">
        <f>--211406.28</f>
        <v>211406.28</v>
      </c>
      <c r="U13" s="2"/>
      <c r="V13" s="19"/>
      <c r="W13" s="2"/>
      <c r="X13" s="2">
        <f t="shared" si="2"/>
        <v>-210961.69</v>
      </c>
      <c r="Y13" s="2"/>
      <c r="Z13" s="19">
        <f t="shared" si="3"/>
        <v>-0.99789698773376079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>
        <f>--302.09</f>
        <v>302.08999999999997</v>
      </c>
      <c r="I14" s="2"/>
      <c r="J14" s="19"/>
      <c r="K14" s="2"/>
      <c r="L14" s="2">
        <f t="shared" si="0"/>
        <v>-302.08999999999997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--2504.01</f>
        <v>2504.0100000000002</v>
      </c>
      <c r="U14" s="2"/>
      <c r="V14" s="19"/>
      <c r="W14" s="2"/>
      <c r="X14" s="2">
        <f t="shared" si="2"/>
        <v>-2504.0100000000002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"4051", " - ", "TAXABLE SALES-FOOD")</f>
        <v xml:space="preserve">          4051 - TAXABLE SALES-FOOD</v>
      </c>
      <c r="C15" s="11"/>
      <c r="D15" s="2">
        <f t="shared" si="4"/>
        <v>0</v>
      </c>
      <c r="E15" s="2"/>
      <c r="F15" s="19"/>
      <c r="G15" s="2"/>
      <c r="H15" s="2">
        <f>--8565.55</f>
        <v>8565.5499999999993</v>
      </c>
      <c r="I15" s="2"/>
      <c r="J15" s="19"/>
      <c r="K15" s="2"/>
      <c r="L15" s="2">
        <f t="shared" si="0"/>
        <v>-8565.5499999999993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--116936.71</f>
        <v>116936.71</v>
      </c>
      <c r="U15" s="2"/>
      <c r="V15" s="19"/>
      <c r="W15" s="2"/>
      <c r="X15" s="2">
        <f t="shared" si="2"/>
        <v>-116936.71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 t="shared" si="4"/>
        <v>0</v>
      </c>
      <c r="E16" s="2"/>
      <c r="F16" s="19"/>
      <c r="G16" s="2"/>
      <c r="H16" s="2">
        <f>--91062.58</f>
        <v>91062.58</v>
      </c>
      <c r="I16" s="2"/>
      <c r="J16" s="19"/>
      <c r="K16" s="2"/>
      <c r="L16" s="2">
        <f t="shared" si="0"/>
        <v>-91062.58</v>
      </c>
      <c r="M16" s="2"/>
      <c r="N16" s="19">
        <f t="shared" si="1"/>
        <v>-1</v>
      </c>
      <c r="O16" s="11"/>
      <c r="P16" s="2">
        <f>--2031.88</f>
        <v>2031.88</v>
      </c>
      <c r="Q16" s="2"/>
      <c r="R16" s="19"/>
      <c r="S16" s="2"/>
      <c r="T16" s="2">
        <f>--830184.3</f>
        <v>830184.3</v>
      </c>
      <c r="U16" s="2"/>
      <c r="V16" s="19"/>
      <c r="W16" s="2"/>
      <c r="X16" s="2">
        <f t="shared" si="2"/>
        <v>-828152.42</v>
      </c>
      <c r="Y16" s="2"/>
      <c r="Z16" s="19">
        <f t="shared" si="3"/>
        <v>-0.99755249527123069</v>
      </c>
    </row>
    <row r="17" spans="1:26" s="24" customFormat="1" hidden="1" outlineLevel="1" x14ac:dyDescent="0.25">
      <c r="A17" s="44"/>
      <c r="B17" s="11" t="str">
        <f>CONCATENATE("          ", "4133", " - ", "NON-TAXABLE SALES-CANDY")</f>
        <v xml:space="preserve">          4133 - NON-TAXABLE SALES-CANDY</v>
      </c>
      <c r="C17" s="11"/>
      <c r="D17" s="2">
        <f t="shared" si="4"/>
        <v>0</v>
      </c>
      <c r="E17" s="2"/>
      <c r="F17" s="19"/>
      <c r="G17" s="2"/>
      <c r="H17" s="2">
        <f>--1.59</f>
        <v>1.59</v>
      </c>
      <c r="I17" s="2"/>
      <c r="J17" s="19"/>
      <c r="K17" s="2"/>
      <c r="L17" s="2">
        <f t="shared" si="0"/>
        <v>-1.59</v>
      </c>
      <c r="M17" s="2"/>
      <c r="N17" s="19">
        <f t="shared" si="1"/>
        <v>-1</v>
      </c>
      <c r="O17" s="11"/>
      <c r="P17" s="2">
        <f t="shared" ref="P17:P20" si="6">0</f>
        <v>0</v>
      </c>
      <c r="Q17" s="2"/>
      <c r="R17" s="19"/>
      <c r="S17" s="2"/>
      <c r="T17" s="2">
        <f>--1.59</f>
        <v>1.59</v>
      </c>
      <c r="U17" s="2"/>
      <c r="V17" s="19"/>
      <c r="W17" s="2"/>
      <c r="X17" s="2">
        <f t="shared" si="2"/>
        <v>-1.59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 t="shared" si="4"/>
        <v>0</v>
      </c>
      <c r="E18" s="2"/>
      <c r="F18" s="19"/>
      <c r="G18" s="2"/>
      <c r="H18" s="2">
        <f>--8.02</f>
        <v>8.02</v>
      </c>
      <c r="I18" s="2"/>
      <c r="J18" s="19"/>
      <c r="K18" s="2"/>
      <c r="L18" s="2">
        <f t="shared" si="0"/>
        <v>-8.02</v>
      </c>
      <c r="M18" s="2"/>
      <c r="N18" s="19">
        <f t="shared" si="1"/>
        <v>-1</v>
      </c>
      <c r="O18" s="11"/>
      <c r="P18" s="2">
        <f t="shared" si="6"/>
        <v>0</v>
      </c>
      <c r="Q18" s="2"/>
      <c r="R18" s="19"/>
      <c r="S18" s="2"/>
      <c r="T18" s="2">
        <f>--8.41</f>
        <v>8.41</v>
      </c>
      <c r="U18" s="2"/>
      <c r="V18" s="19"/>
      <c r="W18" s="2"/>
      <c r="X18" s="2">
        <f t="shared" si="2"/>
        <v>-8.41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 t="shared" si="4"/>
        <v>0</v>
      </c>
      <c r="E19" s="2"/>
      <c r="F19" s="19"/>
      <c r="G19" s="2"/>
      <c r="H19" s="2">
        <f>--132.68</f>
        <v>132.68</v>
      </c>
      <c r="I19" s="2"/>
      <c r="J19" s="19"/>
      <c r="K19" s="2"/>
      <c r="L19" s="2">
        <f t="shared" si="0"/>
        <v>-132.68</v>
      </c>
      <c r="M19" s="2"/>
      <c r="N19" s="19">
        <f t="shared" si="1"/>
        <v>-1</v>
      </c>
      <c r="O19" s="11"/>
      <c r="P19" s="2">
        <f t="shared" si="6"/>
        <v>0</v>
      </c>
      <c r="Q19" s="2"/>
      <c r="R19" s="19"/>
      <c r="S19" s="2"/>
      <c r="T19" s="2">
        <f>--1282.78</f>
        <v>1282.78</v>
      </c>
      <c r="U19" s="2"/>
      <c r="V19" s="19"/>
      <c r="W19" s="2"/>
      <c r="X19" s="2">
        <f t="shared" si="2"/>
        <v>-1282.78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 t="shared" si="4"/>
        <v>0</v>
      </c>
      <c r="E20" s="2"/>
      <c r="F20" s="19"/>
      <c r="G20" s="2"/>
      <c r="H20" s="2">
        <f>--58945.98</f>
        <v>58945.98</v>
      </c>
      <c r="I20" s="2"/>
      <c r="J20" s="19"/>
      <c r="K20" s="2"/>
      <c r="L20" s="2">
        <f t="shared" si="0"/>
        <v>-58945.98</v>
      </c>
      <c r="M20" s="2"/>
      <c r="N20" s="19">
        <f t="shared" si="1"/>
        <v>-1</v>
      </c>
      <c r="O20" s="11"/>
      <c r="P20" s="2">
        <f t="shared" si="6"/>
        <v>0</v>
      </c>
      <c r="Q20" s="2"/>
      <c r="R20" s="19"/>
      <c r="S20" s="2"/>
      <c r="T20" s="2">
        <f>--635384.63</f>
        <v>635384.63</v>
      </c>
      <c r="U20" s="2"/>
      <c r="V20" s="19"/>
      <c r="W20" s="2"/>
      <c r="X20" s="2">
        <f t="shared" si="2"/>
        <v>-635384.63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 t="shared" si="4"/>
        <v>0</v>
      </c>
      <c r="E21" s="2"/>
      <c r="F21" s="19"/>
      <c r="G21" s="2"/>
      <c r="H21" s="2">
        <f>--715</f>
        <v>715</v>
      </c>
      <c r="I21" s="2"/>
      <c r="J21" s="19"/>
      <c r="K21" s="2"/>
      <c r="L21" s="2">
        <f t="shared" si="0"/>
        <v>-715</v>
      </c>
      <c r="M21" s="2"/>
      <c r="N21" s="19">
        <f t="shared" si="1"/>
        <v>-1</v>
      </c>
      <c r="O21" s="11"/>
      <c r="P21" s="2">
        <f>--110</f>
        <v>110</v>
      </c>
      <c r="Q21" s="2"/>
      <c r="R21" s="19"/>
      <c r="S21" s="2"/>
      <c r="T21" s="2">
        <f>--10275</f>
        <v>10275</v>
      </c>
      <c r="U21" s="2"/>
      <c r="V21" s="19"/>
      <c r="W21" s="2"/>
      <c r="X21" s="2">
        <f t="shared" si="2"/>
        <v>-10165</v>
      </c>
      <c r="Y21" s="2"/>
      <c r="Z21" s="19">
        <f t="shared" si="3"/>
        <v>-0.98929440389294399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9" t="s">
        <v>8</v>
      </c>
      <c r="C23" s="10"/>
      <c r="D23" s="4">
        <f>SUM(OSRRefD16x_0)</f>
        <v>-257.75</v>
      </c>
      <c r="E23" s="4"/>
      <c r="F23" s="12">
        <f t="shared" ref="F23:F25" si="7">IF(D$12=0,0,D23/D$12)</f>
        <v>0</v>
      </c>
      <c r="G23" s="4"/>
      <c r="H23" s="4">
        <f>SUM(OSRRefH16x_0)</f>
        <v>87962.520000000019</v>
      </c>
      <c r="I23" s="4"/>
      <c r="J23" s="12">
        <f t="shared" ref="J23:J25" si="8">IF(H$12=0,0,H23/H$12)</f>
        <v>0.48546877825921614</v>
      </c>
      <c r="K23" s="4"/>
      <c r="L23" s="4">
        <f t="shared" ref="L23:L25" si="9">+D23-H23</f>
        <v>-88220.270000000019</v>
      </c>
      <c r="M23" s="4"/>
      <c r="N23" s="12">
        <f t="shared" ref="N23:N25" si="10">IF(H23=0,0,L23/H23)</f>
        <v>-1.0029302252823133</v>
      </c>
      <c r="O23" s="10"/>
      <c r="P23" s="4">
        <f>SUM(OSRRefP16x_0)</f>
        <v>8874.9599999999991</v>
      </c>
      <c r="Q23" s="4"/>
      <c r="R23" s="12">
        <f t="shared" ref="R23:R25" si="11">IF(P$12=0,0,P23/P$12)</f>
        <v>3.4313021221974345</v>
      </c>
      <c r="S23" s="4"/>
      <c r="T23" s="4">
        <f>SUM(OSRRefT16x_0)</f>
        <v>862221.05999999994</v>
      </c>
      <c r="U23" s="4"/>
      <c r="V23" s="12">
        <f t="shared" ref="V23:V25" si="12">IF(T$12=0,0,T23/T$12)</f>
        <v>0.4768964760196871</v>
      </c>
      <c r="W23" s="4"/>
      <c r="X23" s="4">
        <f t="shared" ref="X23:X25" si="13">+P23-T23</f>
        <v>-853346.1</v>
      </c>
      <c r="Y23" s="4"/>
      <c r="Z23" s="12">
        <f t="shared" ref="Z23:Z25" si="14">IF(T23=0,0,X23/T23)</f>
        <v>-0.98970686241414707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-257.75</v>
      </c>
      <c r="E24" s="2"/>
      <c r="F24" s="19">
        <f t="shared" si="7"/>
        <v>0</v>
      </c>
      <c r="G24" s="2"/>
      <c r="H24" s="2">
        <v>115854.20000000001</v>
      </c>
      <c r="I24" s="2"/>
      <c r="J24" s="19">
        <f t="shared" si="8"/>
        <v>0.639404111321491</v>
      </c>
      <c r="K24" s="2"/>
      <c r="L24" s="2">
        <f t="shared" si="9"/>
        <v>-116111.95000000001</v>
      </c>
      <c r="M24" s="2"/>
      <c r="N24" s="19">
        <f t="shared" si="10"/>
        <v>-1.0022247790757695</v>
      </c>
      <c r="O24" s="11"/>
      <c r="P24" s="2">
        <v>-2822.95</v>
      </c>
      <c r="Q24" s="2"/>
      <c r="R24" s="19">
        <f t="shared" si="11"/>
        <v>-1.0914296318921153</v>
      </c>
      <c r="S24" s="2"/>
      <c r="T24" s="2">
        <v>899726.58</v>
      </c>
      <c r="U24" s="2"/>
      <c r="V24" s="19">
        <f t="shared" si="12"/>
        <v>0.49764086646555017</v>
      </c>
      <c r="W24" s="2"/>
      <c r="X24" s="2">
        <f t="shared" si="13"/>
        <v>-902549.52999999991</v>
      </c>
      <c r="Y24" s="2"/>
      <c r="Z24" s="19">
        <f t="shared" si="14"/>
        <v>-1.0031375643031464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/>
      <c r="E25" s="2"/>
      <c r="F25" s="19">
        <f t="shared" si="7"/>
        <v>0</v>
      </c>
      <c r="G25" s="2"/>
      <c r="H25" s="2">
        <v>-27891.68</v>
      </c>
      <c r="I25" s="2"/>
      <c r="J25" s="19">
        <f t="shared" si="8"/>
        <v>-0.15393533306227483</v>
      </c>
      <c r="K25" s="2"/>
      <c r="L25" s="2">
        <f t="shared" si="9"/>
        <v>27891.68</v>
      </c>
      <c r="M25" s="2"/>
      <c r="N25" s="19">
        <f t="shared" si="10"/>
        <v>-1</v>
      </c>
      <c r="O25" s="11"/>
      <c r="P25" s="2">
        <v>11697.91</v>
      </c>
      <c r="Q25" s="2"/>
      <c r="R25" s="19">
        <f t="shared" si="11"/>
        <v>4.5227317540895502</v>
      </c>
      <c r="S25" s="2"/>
      <c r="T25" s="2">
        <v>-37505.519999999997</v>
      </c>
      <c r="U25" s="2"/>
      <c r="V25" s="19">
        <f t="shared" si="12"/>
        <v>-2.0744390445863032E-2</v>
      </c>
      <c r="W25" s="2"/>
      <c r="X25" s="2">
        <f t="shared" si="13"/>
        <v>49203.429999999993</v>
      </c>
      <c r="Y25" s="2"/>
      <c r="Z25" s="19">
        <f t="shared" si="14"/>
        <v>-1.3118983552287768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6</v>
      </c>
      <c r="C27" s="28"/>
      <c r="D27" s="20">
        <f>D12-D23</f>
        <v>257.75</v>
      </c>
      <c r="E27" s="14"/>
      <c r="F27" s="22">
        <f>IF(D$12=0,0,D27/D$12)</f>
        <v>0</v>
      </c>
      <c r="G27" s="14"/>
      <c r="H27" s="20">
        <f>H12-H23</f>
        <v>93228.369999999966</v>
      </c>
      <c r="I27" s="14"/>
      <c r="J27" s="22">
        <f>IF(H$12=0,0,H27/H$12)</f>
        <v>0.51453122174078381</v>
      </c>
      <c r="K27" s="15"/>
      <c r="L27" s="20">
        <f>+D27-H27</f>
        <v>-92970.619999999966</v>
      </c>
      <c r="M27" s="15"/>
      <c r="N27" s="22">
        <f>IF(H27=0,0,L27/H27)</f>
        <v>-0.99723528363737346</v>
      </c>
      <c r="O27" s="29"/>
      <c r="P27" s="20">
        <f>P12-P23</f>
        <v>-6288.4899999999989</v>
      </c>
      <c r="Q27" s="14"/>
      <c r="R27" s="22">
        <f>IF(P$12=0,0,P27/P$12)</f>
        <v>-2.4313021221974345</v>
      </c>
      <c r="S27" s="14"/>
      <c r="T27" s="20">
        <f>T12-T23</f>
        <v>945762.65</v>
      </c>
      <c r="U27" s="14"/>
      <c r="V27" s="22">
        <f>IF(T$12=0,0,T27/T$12)</f>
        <v>0.5231035239803129</v>
      </c>
      <c r="W27" s="15"/>
      <c r="X27" s="20">
        <f>+P27-T27</f>
        <v>-952051.14</v>
      </c>
      <c r="Y27" s="15"/>
      <c r="Z27" s="22">
        <f>IF(T27=0,0,X27/T27)</f>
        <v>-1.0066491206858297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9" t="s">
        <v>9</v>
      </c>
      <c r="C29" s="10"/>
      <c r="D29" s="21">
        <f>SUM(OSRRefD22x_0)</f>
        <v>15948.990000000002</v>
      </c>
      <c r="E29" s="21"/>
      <c r="F29" s="35">
        <f t="shared" ref="F29:F38" si="15">IF(D$12=0,0,D29/D$12)</f>
        <v>0</v>
      </c>
      <c r="G29" s="21"/>
      <c r="H29" s="21">
        <f>SUM(OSRRefH22x_0)</f>
        <v>94346.829999999958</v>
      </c>
      <c r="I29" s="21"/>
      <c r="J29" s="35">
        <f t="shared" ref="J29:J38" si="16">IF(H$12=0,0,H29/H$12)</f>
        <v>0.52070404864173891</v>
      </c>
      <c r="K29" s="4"/>
      <c r="L29" s="21">
        <f t="shared" ref="L29:L38" si="17">+D29-H29</f>
        <v>-78397.839999999953</v>
      </c>
      <c r="M29" s="4"/>
      <c r="N29" s="35">
        <f t="shared" ref="N29:N38" si="18">IF(H29=0,0,L29/H29)</f>
        <v>-0.83095362080527757</v>
      </c>
      <c r="O29" s="10"/>
      <c r="P29" s="21">
        <f>SUM(OSRRefP22x_0)</f>
        <v>187959.88999999998</v>
      </c>
      <c r="Q29" s="21"/>
      <c r="R29" s="35">
        <f t="shared" ref="R29:R38" si="19">IF(P$12=0,0,P29/P$12)</f>
        <v>72.670431128139882</v>
      </c>
      <c r="S29" s="21"/>
      <c r="T29" s="21">
        <f>SUM(OSRRefT22x_0)</f>
        <v>733021.34</v>
      </c>
      <c r="U29" s="21"/>
      <c r="V29" s="35">
        <f t="shared" ref="V29:V38" si="20">IF(T$12=0,0,T29/T$12)</f>
        <v>0.40543581003835483</v>
      </c>
      <c r="W29" s="4"/>
      <c r="X29" s="21">
        <f t="shared" ref="X29:X38" si="21">+P29-T29</f>
        <v>-545061.44999999995</v>
      </c>
      <c r="Y29" s="4"/>
      <c r="Z29" s="35">
        <f t="shared" ref="Z29:Z38" si="22">IF(T29=0,0,X29/T29)</f>
        <v>-0.74358196720439274</v>
      </c>
    </row>
    <row r="30" spans="1:26" s="26" customFormat="1" outlineLevel="1" collapsed="1" x14ac:dyDescent="0.25">
      <c r="A30" s="27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0</v>
      </c>
      <c r="E30" s="1"/>
      <c r="F30" s="5">
        <f t="shared" si="15"/>
        <v>0</v>
      </c>
      <c r="G30" s="1"/>
      <c r="H30" s="1">
        <f>SUM(OSRRefH22_0x_0)</f>
        <v>11053.82</v>
      </c>
      <c r="I30" s="1"/>
      <c r="J30" s="5">
        <f t="shared" si="16"/>
        <v>6.1006488792013772E-2</v>
      </c>
      <c r="K30" s="1"/>
      <c r="L30" s="1">
        <f t="shared" si="17"/>
        <v>-11053.82</v>
      </c>
      <c r="M30" s="1"/>
      <c r="N30" s="5">
        <f t="shared" si="18"/>
        <v>-1</v>
      </c>
      <c r="O30" s="13"/>
      <c r="P30" s="1">
        <f>SUM(OSRRefP22_0x_0)</f>
        <v>35025.26</v>
      </c>
      <c r="Q30" s="1"/>
      <c r="R30" s="5">
        <f t="shared" si="19"/>
        <v>13.541722888724786</v>
      </c>
      <c r="S30" s="1"/>
      <c r="T30" s="1">
        <f>SUM(OSRRefT22_0x_0)</f>
        <v>95098.310000000012</v>
      </c>
      <c r="U30" s="1"/>
      <c r="V30" s="5">
        <f t="shared" si="20"/>
        <v>5.2599096703144527E-2</v>
      </c>
      <c r="W30" s="1"/>
      <c r="X30" s="1">
        <f t="shared" si="21"/>
        <v>-60073.05000000001</v>
      </c>
      <c r="Y30" s="1"/>
      <c r="Z30" s="5">
        <f t="shared" si="22"/>
        <v>-0.63169419099035518</v>
      </c>
    </row>
    <row r="31" spans="1:26" s="24" customFormat="1" hidden="1" outlineLevel="2" x14ac:dyDescent="0.25">
      <c r="A31" s="25"/>
      <c r="B31" s="11" t="str">
        <f>CONCATENATE("          ", "6111", " - ", "F.I.C.A.")</f>
        <v xml:space="preserve">          6111 - F.I.C.A.</v>
      </c>
      <c r="C31" s="11"/>
      <c r="D31" s="6"/>
      <c r="E31" s="2"/>
      <c r="F31" s="7">
        <f t="shared" si="15"/>
        <v>0</v>
      </c>
      <c r="G31" s="2"/>
      <c r="H31" s="6">
        <v>1664.79</v>
      </c>
      <c r="I31" s="2"/>
      <c r="J31" s="7">
        <f t="shared" si="16"/>
        <v>9.1880447190253334E-3</v>
      </c>
      <c r="K31" s="2"/>
      <c r="L31" s="6">
        <f t="shared" si="17"/>
        <v>-1664.79</v>
      </c>
      <c r="M31" s="2"/>
      <c r="N31" s="7">
        <f t="shared" si="18"/>
        <v>-1</v>
      </c>
      <c r="O31" s="11"/>
      <c r="P31" s="6">
        <v>3909.68</v>
      </c>
      <c r="Q31" s="2"/>
      <c r="R31" s="7">
        <f t="shared" si="19"/>
        <v>1.5115891543300326</v>
      </c>
      <c r="S31" s="2"/>
      <c r="T31" s="6">
        <v>16032.670000000002</v>
      </c>
      <c r="U31" s="2"/>
      <c r="V31" s="7">
        <f t="shared" si="20"/>
        <v>8.8677071100380662E-3</v>
      </c>
      <c r="W31" s="2"/>
      <c r="X31" s="6">
        <f t="shared" si="21"/>
        <v>-12122.990000000002</v>
      </c>
      <c r="Y31" s="2"/>
      <c r="Z31" s="7">
        <f t="shared" si="22"/>
        <v>-0.75614292566366048</v>
      </c>
    </row>
    <row r="32" spans="1:26" s="24" customFormat="1" hidden="1" outlineLevel="2" x14ac:dyDescent="0.25">
      <c r="A32" s="25"/>
      <c r="B32" s="11" t="str">
        <f>CONCATENATE("          ", "6112", " - ", "COMPENSATION INSURANCE")</f>
        <v xml:space="preserve">          6112 - COMPENSATION INSURANCE</v>
      </c>
      <c r="C32" s="11"/>
      <c r="D32" s="6"/>
      <c r="E32" s="2"/>
      <c r="F32" s="7">
        <f t="shared" si="15"/>
        <v>0</v>
      </c>
      <c r="G32" s="2"/>
      <c r="H32" s="6">
        <v>664.76</v>
      </c>
      <c r="I32" s="2"/>
      <c r="J32" s="7">
        <f t="shared" si="16"/>
        <v>3.6688378758998317E-3</v>
      </c>
      <c r="K32" s="2"/>
      <c r="L32" s="6">
        <f t="shared" si="17"/>
        <v>-664.76</v>
      </c>
      <c r="M32" s="2"/>
      <c r="N32" s="7">
        <f t="shared" si="18"/>
        <v>-1</v>
      </c>
      <c r="O32" s="11"/>
      <c r="P32" s="6">
        <v>830.67</v>
      </c>
      <c r="Q32" s="2"/>
      <c r="R32" s="7">
        <f t="shared" si="19"/>
        <v>0.32115972735040416</v>
      </c>
      <c r="S32" s="2"/>
      <c r="T32" s="6">
        <v>6050.54</v>
      </c>
      <c r="U32" s="2"/>
      <c r="V32" s="7">
        <f t="shared" si="20"/>
        <v>3.3465677630469359E-3</v>
      </c>
      <c r="W32" s="2"/>
      <c r="X32" s="6">
        <f t="shared" si="21"/>
        <v>-5219.87</v>
      </c>
      <c r="Y32" s="2"/>
      <c r="Z32" s="7">
        <f t="shared" si="22"/>
        <v>-0.8627114274097849</v>
      </c>
    </row>
    <row r="33" spans="1:26" s="24" customFormat="1" hidden="1" outlineLevel="2" x14ac:dyDescent="0.25">
      <c r="A33" s="25"/>
      <c r="B33" s="11" t="str">
        <f>CONCATENATE("          ", "6113", " - ", "GROUP INSURANCE")</f>
        <v xml:space="preserve">          6113 - GROUP INSURANCE</v>
      </c>
      <c r="C33" s="11"/>
      <c r="D33" s="6"/>
      <c r="E33" s="2"/>
      <c r="F33" s="7">
        <f t="shared" si="15"/>
        <v>0</v>
      </c>
      <c r="G33" s="2"/>
      <c r="H33" s="6">
        <v>4620.57</v>
      </c>
      <c r="I33" s="2"/>
      <c r="J33" s="7">
        <f t="shared" si="16"/>
        <v>2.550111652964451E-2</v>
      </c>
      <c r="K33" s="2"/>
      <c r="L33" s="6">
        <f t="shared" si="17"/>
        <v>-4620.57</v>
      </c>
      <c r="M33" s="2"/>
      <c r="N33" s="7">
        <f t="shared" si="18"/>
        <v>-1</v>
      </c>
      <c r="O33" s="11"/>
      <c r="P33" s="6">
        <v>18067.72</v>
      </c>
      <c r="Q33" s="2"/>
      <c r="R33" s="7">
        <f t="shared" si="19"/>
        <v>6.9854744110699132</v>
      </c>
      <c r="S33" s="2"/>
      <c r="T33" s="6">
        <v>41456</v>
      </c>
      <c r="U33" s="2"/>
      <c r="V33" s="7">
        <f t="shared" si="20"/>
        <v>2.2929410132793732E-2</v>
      </c>
      <c r="W33" s="2"/>
      <c r="X33" s="6">
        <f t="shared" si="21"/>
        <v>-23388.28</v>
      </c>
      <c r="Y33" s="2"/>
      <c r="Z33" s="7">
        <f t="shared" si="22"/>
        <v>-0.56417116943265144</v>
      </c>
    </row>
    <row r="34" spans="1:26" s="24" customFormat="1" hidden="1" outlineLevel="2" x14ac:dyDescent="0.25">
      <c r="A34" s="25"/>
      <c r="B34" s="11" t="str">
        <f>CONCATENATE("          ", "6114", " - ", "STATE UNEMPLOYMENT INSURANCE")</f>
        <v xml:space="preserve">          6114 - STATE UNEMPLOYMENT INSURANCE</v>
      </c>
      <c r="C34" s="11"/>
      <c r="D34" s="6"/>
      <c r="E34" s="2"/>
      <c r="F34" s="7">
        <f t="shared" si="15"/>
        <v>0</v>
      </c>
      <c r="G34" s="2"/>
      <c r="H34" s="6">
        <v>90.97</v>
      </c>
      <c r="I34" s="2"/>
      <c r="J34" s="7">
        <f t="shared" si="16"/>
        <v>5.020671845035918E-4</v>
      </c>
      <c r="K34" s="2"/>
      <c r="L34" s="6">
        <f t="shared" si="17"/>
        <v>-90.97</v>
      </c>
      <c r="M34" s="2"/>
      <c r="N34" s="7">
        <f t="shared" si="18"/>
        <v>-1</v>
      </c>
      <c r="O34" s="11"/>
      <c r="P34" s="6">
        <v>132.15</v>
      </c>
      <c r="Q34" s="2"/>
      <c r="R34" s="7">
        <f t="shared" si="19"/>
        <v>5.1092802158927031E-2</v>
      </c>
      <c r="S34" s="2"/>
      <c r="T34" s="6">
        <v>961.22</v>
      </c>
      <c r="U34" s="2"/>
      <c r="V34" s="7">
        <f t="shared" si="20"/>
        <v>5.3165302025868371E-4</v>
      </c>
      <c r="W34" s="2"/>
      <c r="X34" s="6">
        <f t="shared" si="21"/>
        <v>-829.07</v>
      </c>
      <c r="Y34" s="2"/>
      <c r="Z34" s="7">
        <f t="shared" si="22"/>
        <v>-0.8625184661159776</v>
      </c>
    </row>
    <row r="35" spans="1:26" s="24" customFormat="1" hidden="1" outlineLevel="2" x14ac:dyDescent="0.25">
      <c r="A35" s="25"/>
      <c r="B35" s="11" t="str">
        <f>CONCATENATE("          ", "6115", " - ", "P.E.R.S.")</f>
        <v xml:space="preserve">          6115 - P.E.R.S.</v>
      </c>
      <c r="C35" s="11"/>
      <c r="D35" s="6"/>
      <c r="E35" s="2"/>
      <c r="F35" s="7">
        <f t="shared" si="15"/>
        <v>0</v>
      </c>
      <c r="G35" s="2"/>
      <c r="H35" s="6">
        <v>1899.58</v>
      </c>
      <c r="I35" s="2"/>
      <c r="J35" s="7">
        <f t="shared" si="16"/>
        <v>1.0483860419251763E-2</v>
      </c>
      <c r="K35" s="2"/>
      <c r="L35" s="6">
        <f t="shared" si="17"/>
        <v>-1899.58</v>
      </c>
      <c r="M35" s="2"/>
      <c r="N35" s="7">
        <f t="shared" si="18"/>
        <v>-1</v>
      </c>
      <c r="O35" s="11"/>
      <c r="P35" s="6">
        <v>5525.49</v>
      </c>
      <c r="Q35" s="2"/>
      <c r="R35" s="7">
        <f t="shared" si="19"/>
        <v>2.1363054665238721</v>
      </c>
      <c r="S35" s="2"/>
      <c r="T35" s="6">
        <v>11551.25</v>
      </c>
      <c r="U35" s="2"/>
      <c r="V35" s="7">
        <f t="shared" si="20"/>
        <v>6.3890232727815896E-3</v>
      </c>
      <c r="W35" s="2"/>
      <c r="X35" s="6">
        <f t="shared" si="21"/>
        <v>-6025.76</v>
      </c>
      <c r="Y35" s="2"/>
      <c r="Z35" s="7">
        <f t="shared" si="22"/>
        <v>-0.52165436641056162</v>
      </c>
    </row>
    <row r="36" spans="1:26" s="24" customFormat="1" hidden="1" outlineLevel="2" x14ac:dyDescent="0.25">
      <c r="A36" s="25"/>
      <c r="B36" s="11" t="str">
        <f>CONCATENATE("          ", "6118", " - ", "VACATION")</f>
        <v xml:space="preserve">          6118 - VACATION</v>
      </c>
      <c r="C36" s="11"/>
      <c r="D36" s="6"/>
      <c r="E36" s="2"/>
      <c r="F36" s="7">
        <f t="shared" si="15"/>
        <v>0</v>
      </c>
      <c r="G36" s="2"/>
      <c r="H36" s="6">
        <v>950.98</v>
      </c>
      <c r="I36" s="2"/>
      <c r="J36" s="7">
        <f t="shared" si="16"/>
        <v>5.248497868739428E-3</v>
      </c>
      <c r="K36" s="2"/>
      <c r="L36" s="6">
        <f t="shared" si="17"/>
        <v>-950.98</v>
      </c>
      <c r="M36" s="2"/>
      <c r="N36" s="7">
        <f t="shared" si="18"/>
        <v>-1</v>
      </c>
      <c r="O36" s="11"/>
      <c r="P36" s="6">
        <v>3386</v>
      </c>
      <c r="Q36" s="2"/>
      <c r="R36" s="7">
        <f t="shared" si="19"/>
        <v>1.3091201521765183</v>
      </c>
      <c r="S36" s="2"/>
      <c r="T36" s="6">
        <v>8748.56</v>
      </c>
      <c r="U36" s="2"/>
      <c r="V36" s="7">
        <f t="shared" si="20"/>
        <v>4.8388489075490617E-3</v>
      </c>
      <c r="W36" s="2"/>
      <c r="X36" s="6">
        <f t="shared" si="21"/>
        <v>-5362.5599999999995</v>
      </c>
      <c r="Y36" s="2"/>
      <c r="Z36" s="7">
        <f t="shared" si="22"/>
        <v>-0.61296487650539055</v>
      </c>
    </row>
    <row r="37" spans="1:26" s="24" customFormat="1" hidden="1" outlineLevel="2" x14ac:dyDescent="0.25">
      <c r="A37" s="25"/>
      <c r="B37" s="11" t="str">
        <f>CONCATENATE("          ", "6119", " - ", "SICK LEAVE")</f>
        <v xml:space="preserve">          6119 - SICK LEAVE</v>
      </c>
      <c r="C37" s="11"/>
      <c r="D37" s="6"/>
      <c r="E37" s="2"/>
      <c r="F37" s="7">
        <f t="shared" si="15"/>
        <v>0</v>
      </c>
      <c r="G37" s="2"/>
      <c r="H37" s="6">
        <v>640.52</v>
      </c>
      <c r="I37" s="2"/>
      <c r="J37" s="7">
        <f t="shared" si="16"/>
        <v>3.5350563154692822E-3</v>
      </c>
      <c r="K37" s="2"/>
      <c r="L37" s="6">
        <f t="shared" si="17"/>
        <v>-640.52</v>
      </c>
      <c r="M37" s="2"/>
      <c r="N37" s="7">
        <f t="shared" si="18"/>
        <v>-1</v>
      </c>
      <c r="O37" s="11"/>
      <c r="P37" s="6">
        <v>2447.1799999999998</v>
      </c>
      <c r="Q37" s="2"/>
      <c r="R37" s="7">
        <f t="shared" si="19"/>
        <v>0.94614667867788904</v>
      </c>
      <c r="S37" s="2"/>
      <c r="T37" s="6">
        <v>5990.6</v>
      </c>
      <c r="U37" s="2"/>
      <c r="V37" s="7">
        <f t="shared" si="20"/>
        <v>3.3134148094730348E-3</v>
      </c>
      <c r="W37" s="2"/>
      <c r="X37" s="6">
        <f t="shared" si="21"/>
        <v>-3543.4200000000005</v>
      </c>
      <c r="Y37" s="2"/>
      <c r="Z37" s="7">
        <f t="shared" si="22"/>
        <v>-0.59149667812906892</v>
      </c>
    </row>
    <row r="38" spans="1:26" s="24" customFormat="1" hidden="1" outlineLevel="2" x14ac:dyDescent="0.25">
      <c r="A38" s="25"/>
      <c r="B38" s="11" t="str">
        <f>CONCATENATE("          ", "6156", " - ", "EMPLOYEE MEALS")</f>
        <v xml:space="preserve">          6156 - EMPLOYEE MEALS</v>
      </c>
      <c r="C38" s="11"/>
      <c r="D38" s="6"/>
      <c r="E38" s="2"/>
      <c r="F38" s="7">
        <f t="shared" si="15"/>
        <v>0</v>
      </c>
      <c r="G38" s="2"/>
      <c r="H38" s="6">
        <v>521.65</v>
      </c>
      <c r="I38" s="2"/>
      <c r="J38" s="7">
        <f t="shared" si="16"/>
        <v>2.8790078794800338E-3</v>
      </c>
      <c r="K38" s="2"/>
      <c r="L38" s="6">
        <f t="shared" si="17"/>
        <v>-521.65</v>
      </c>
      <c r="M38" s="2"/>
      <c r="N38" s="7">
        <f t="shared" si="18"/>
        <v>-1</v>
      </c>
      <c r="O38" s="11"/>
      <c r="P38" s="6">
        <v>726.37</v>
      </c>
      <c r="Q38" s="2"/>
      <c r="R38" s="7">
        <f t="shared" si="19"/>
        <v>0.28083449643722908</v>
      </c>
      <c r="S38" s="2"/>
      <c r="T38" s="6">
        <v>4307.47</v>
      </c>
      <c r="U38" s="2"/>
      <c r="V38" s="7">
        <f t="shared" si="20"/>
        <v>2.3824716872034211E-3</v>
      </c>
      <c r="W38" s="2"/>
      <c r="X38" s="6">
        <f t="shared" si="21"/>
        <v>-3581.1000000000004</v>
      </c>
      <c r="Y38" s="2"/>
      <c r="Z38" s="7">
        <f t="shared" si="22"/>
        <v>-0.83136969032866159</v>
      </c>
    </row>
    <row r="39" spans="1:26" s="26" customFormat="1" outlineLevel="1" collapsed="1" x14ac:dyDescent="0.25">
      <c r="A39" s="27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0</v>
      </c>
      <c r="E39" s="1"/>
      <c r="F39" s="5">
        <f t="shared" ref="F39:F45" si="23">IF(D$12=0,0,D39/D$12)</f>
        <v>0</v>
      </c>
      <c r="G39" s="1"/>
      <c r="H39" s="1">
        <f>SUM(OSRRefH22_1x_0)</f>
        <v>49952.36</v>
      </c>
      <c r="I39" s="1"/>
      <c r="J39" s="5">
        <f t="shared" ref="J39:J45" si="24">IF(H$12=0,0,H39/H$12)</f>
        <v>0.27568913646817456</v>
      </c>
      <c r="K39" s="1"/>
      <c r="L39" s="1">
        <f t="shared" ref="L39:L45" si="25">+D39-H39</f>
        <v>-49952.36</v>
      </c>
      <c r="M39" s="1"/>
      <c r="N39" s="5">
        <f t="shared" ref="N39:N45" si="26">IF(H39=0,0,L39/H39)</f>
        <v>-1</v>
      </c>
      <c r="O39" s="13"/>
      <c r="P39" s="1">
        <f>SUM(OSRRefP22_1x_0)</f>
        <v>41960.38</v>
      </c>
      <c r="Q39" s="1"/>
      <c r="R39" s="5">
        <f t="shared" ref="R39:R45" si="27">IF(P$12=0,0,P39/P$12)</f>
        <v>16.223029843763893</v>
      </c>
      <c r="S39" s="1"/>
      <c r="T39" s="1">
        <f>SUM(OSRRefT22_1x_0)</f>
        <v>366990.49999999994</v>
      </c>
      <c r="U39" s="1"/>
      <c r="V39" s="5">
        <f t="shared" ref="V39:V45" si="28">IF(T$12=0,0,T39/T$12)</f>
        <v>0.20298330010949045</v>
      </c>
      <c r="W39" s="1"/>
      <c r="X39" s="1">
        <f t="shared" ref="X39:X45" si="29">+P39-T39</f>
        <v>-325030.11999999994</v>
      </c>
      <c r="Y39" s="1"/>
      <c r="Z39" s="5">
        <f t="shared" ref="Z39:Z45" si="30">IF(T39=0,0,X39/T39)</f>
        <v>-0.88566357984743471</v>
      </c>
    </row>
    <row r="40" spans="1:26" s="24" customFormat="1" hidden="1" outlineLevel="2" x14ac:dyDescent="0.25">
      <c r="A40" s="25"/>
      <c r="B40" s="11" t="str">
        <f>CONCATENATE("          ", "6002", " - ", "STAFF SALARIES")</f>
        <v xml:space="preserve">          6002 - STAFF SALARIES</v>
      </c>
      <c r="C40" s="11"/>
      <c r="D40" s="6"/>
      <c r="E40" s="2"/>
      <c r="F40" s="7">
        <f t="shared" si="23"/>
        <v>0</v>
      </c>
      <c r="G40" s="2"/>
      <c r="H40" s="6">
        <v>16075.66</v>
      </c>
      <c r="I40" s="2"/>
      <c r="J40" s="7">
        <f t="shared" si="24"/>
        <v>8.8722231012828515E-2</v>
      </c>
      <c r="K40" s="2"/>
      <c r="L40" s="6">
        <f t="shared" si="25"/>
        <v>-16075.66</v>
      </c>
      <c r="M40" s="2"/>
      <c r="N40" s="7">
        <f t="shared" si="26"/>
        <v>-1</v>
      </c>
      <c r="O40" s="11"/>
      <c r="P40" s="6">
        <v>39828.42</v>
      </c>
      <c r="Q40" s="2"/>
      <c r="R40" s="7">
        <f t="shared" si="27"/>
        <v>15.398755833239896</v>
      </c>
      <c r="S40" s="2"/>
      <c r="T40" s="6">
        <v>114721.79</v>
      </c>
      <c r="U40" s="2"/>
      <c r="V40" s="7">
        <f t="shared" si="28"/>
        <v>6.345288918560002E-2</v>
      </c>
      <c r="W40" s="2"/>
      <c r="X40" s="6">
        <f t="shared" si="29"/>
        <v>-74893.37</v>
      </c>
      <c r="Y40" s="2"/>
      <c r="Z40" s="7">
        <f t="shared" si="30"/>
        <v>-0.65282602372225884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6"/>
      <c r="E41" s="2"/>
      <c r="F41" s="7">
        <f t="shared" si="23"/>
        <v>0</v>
      </c>
      <c r="G41" s="2"/>
      <c r="H41" s="6"/>
      <c r="I41" s="2"/>
      <c r="J41" s="7">
        <f t="shared" si="24"/>
        <v>0</v>
      </c>
      <c r="K41" s="2"/>
      <c r="L41" s="6">
        <f t="shared" si="25"/>
        <v>0</v>
      </c>
      <c r="M41" s="2"/>
      <c r="N41" s="7">
        <f t="shared" si="26"/>
        <v>0</v>
      </c>
      <c r="O41" s="11"/>
      <c r="P41" s="6"/>
      <c r="Q41" s="2"/>
      <c r="R41" s="7">
        <f t="shared" si="27"/>
        <v>0</v>
      </c>
      <c r="S41" s="2"/>
      <c r="T41" s="6">
        <v>254.64</v>
      </c>
      <c r="U41" s="2"/>
      <c r="V41" s="7">
        <f t="shared" si="28"/>
        <v>1.4084197694458209E-4</v>
      </c>
      <c r="W41" s="2"/>
      <c r="X41" s="6">
        <f t="shared" si="29"/>
        <v>-254.64</v>
      </c>
      <c r="Y41" s="2"/>
      <c r="Z41" s="7">
        <f t="shared" si="30"/>
        <v>-1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3"/>
        <v>0</v>
      </c>
      <c r="G42" s="2"/>
      <c r="H42" s="6">
        <v>7125.11</v>
      </c>
      <c r="I42" s="2"/>
      <c r="J42" s="7">
        <f t="shared" si="24"/>
        <v>3.9323776156737239E-2</v>
      </c>
      <c r="K42" s="2"/>
      <c r="L42" s="6">
        <f t="shared" si="25"/>
        <v>-7125.11</v>
      </c>
      <c r="M42" s="2"/>
      <c r="N42" s="7">
        <f t="shared" si="26"/>
        <v>-1</v>
      </c>
      <c r="O42" s="11"/>
      <c r="P42" s="6">
        <v>2131.96</v>
      </c>
      <c r="Q42" s="2"/>
      <c r="R42" s="7">
        <f t="shared" si="27"/>
        <v>0.82427401052399596</v>
      </c>
      <c r="S42" s="2"/>
      <c r="T42" s="6">
        <v>46578.39</v>
      </c>
      <c r="U42" s="2"/>
      <c r="V42" s="7">
        <f t="shared" si="28"/>
        <v>2.5762615969587468E-2</v>
      </c>
      <c r="W42" s="2"/>
      <c r="X42" s="6">
        <f t="shared" si="29"/>
        <v>-44446.43</v>
      </c>
      <c r="Y42" s="2"/>
      <c r="Z42" s="7">
        <f t="shared" si="30"/>
        <v>-0.95422855963892272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3"/>
        <v>0</v>
      </c>
      <c r="G43" s="2"/>
      <c r="H43" s="6">
        <v>602.55999999999995</v>
      </c>
      <c r="I43" s="2"/>
      <c r="J43" s="7">
        <f t="shared" si="24"/>
        <v>3.3255535087884387E-3</v>
      </c>
      <c r="K43" s="2"/>
      <c r="L43" s="6">
        <f t="shared" si="25"/>
        <v>-602.55999999999995</v>
      </c>
      <c r="M43" s="2"/>
      <c r="N43" s="7">
        <f t="shared" si="26"/>
        <v>-1</v>
      </c>
      <c r="O43" s="11"/>
      <c r="P43" s="6"/>
      <c r="Q43" s="2"/>
      <c r="R43" s="7">
        <f t="shared" si="27"/>
        <v>0</v>
      </c>
      <c r="S43" s="2"/>
      <c r="T43" s="6">
        <v>10635.99</v>
      </c>
      <c r="U43" s="2"/>
      <c r="V43" s="7">
        <f t="shared" si="28"/>
        <v>5.8827908355435351E-3</v>
      </c>
      <c r="W43" s="2"/>
      <c r="X43" s="6">
        <f t="shared" si="29"/>
        <v>-10635.99</v>
      </c>
      <c r="Y43" s="2"/>
      <c r="Z43" s="7">
        <f t="shared" si="30"/>
        <v>-1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6"/>
      <c r="E44" s="2"/>
      <c r="F44" s="7">
        <f t="shared" si="23"/>
        <v>0</v>
      </c>
      <c r="G44" s="2"/>
      <c r="H44" s="6">
        <v>25996.28</v>
      </c>
      <c r="I44" s="2"/>
      <c r="J44" s="7">
        <f t="shared" si="24"/>
        <v>0.14347454223553954</v>
      </c>
      <c r="K44" s="2"/>
      <c r="L44" s="6">
        <f t="shared" si="25"/>
        <v>-25996.28</v>
      </c>
      <c r="M44" s="2"/>
      <c r="N44" s="7">
        <f t="shared" si="26"/>
        <v>-1</v>
      </c>
      <c r="O44" s="11"/>
      <c r="P44" s="6">
        <v>0</v>
      </c>
      <c r="Q44" s="2"/>
      <c r="R44" s="7">
        <f t="shared" si="27"/>
        <v>0</v>
      </c>
      <c r="S44" s="2"/>
      <c r="T44" s="6">
        <v>185816.15</v>
      </c>
      <c r="U44" s="2"/>
      <c r="V44" s="7">
        <f t="shared" si="28"/>
        <v>0.10277534524910072</v>
      </c>
      <c r="W44" s="2"/>
      <c r="X44" s="6">
        <f t="shared" si="29"/>
        <v>-185816.15</v>
      </c>
      <c r="Y44" s="2"/>
      <c r="Z44" s="7">
        <f t="shared" si="30"/>
        <v>-1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3"/>
        <v>0</v>
      </c>
      <c r="G45" s="2"/>
      <c r="H45" s="6">
        <v>152.75</v>
      </c>
      <c r="I45" s="2"/>
      <c r="J45" s="7">
        <f t="shared" si="24"/>
        <v>8.4303355428079203E-4</v>
      </c>
      <c r="K45" s="2"/>
      <c r="L45" s="6">
        <f t="shared" si="25"/>
        <v>-152.75</v>
      </c>
      <c r="M45" s="2"/>
      <c r="N45" s="7">
        <f t="shared" si="26"/>
        <v>-1</v>
      </c>
      <c r="O45" s="11"/>
      <c r="P45" s="6"/>
      <c r="Q45" s="2"/>
      <c r="R45" s="7">
        <f t="shared" si="27"/>
        <v>0</v>
      </c>
      <c r="S45" s="2"/>
      <c r="T45" s="6">
        <v>8983.5400000000009</v>
      </c>
      <c r="U45" s="2"/>
      <c r="V45" s="7">
        <f t="shared" si="28"/>
        <v>4.96881689271415E-3</v>
      </c>
      <c r="W45" s="2"/>
      <c r="X45" s="6">
        <f t="shared" si="29"/>
        <v>-8983.5400000000009</v>
      </c>
      <c r="Y45" s="2"/>
      <c r="Z45" s="7">
        <f t="shared" si="30"/>
        <v>-1</v>
      </c>
    </row>
    <row r="46" spans="1:26" s="26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4" si="31">IF(D$12=0,0,D46/D$12)</f>
        <v>0</v>
      </c>
      <c r="G46" s="1"/>
      <c r="H46" s="1">
        <f>SUM(OSRRefH22_2x_0)</f>
        <v>580.57000000000005</v>
      </c>
      <c r="I46" s="1"/>
      <c r="J46" s="5">
        <f t="shared" ref="J46:J54" si="32">IF(H$12=0,0,H46/H$12)</f>
        <v>3.2041897912196363E-3</v>
      </c>
      <c r="K46" s="1"/>
      <c r="L46" s="1">
        <f t="shared" ref="L46:L54" si="33">+D46-H46</f>
        <v>-580.57000000000005</v>
      </c>
      <c r="M46" s="1"/>
      <c r="N46" s="5">
        <f t="shared" ref="N46:N54" si="34">IF(H46=0,0,L46/H46)</f>
        <v>-1</v>
      </c>
      <c r="O46" s="13"/>
      <c r="P46" s="1">
        <f>SUM(OSRRefP22_2x_0)</f>
        <v>0</v>
      </c>
      <c r="Q46" s="1"/>
      <c r="R46" s="5">
        <f t="shared" ref="R46:R54" si="35">IF(P$12=0,0,P46/P$12)</f>
        <v>0</v>
      </c>
      <c r="S46" s="1"/>
      <c r="T46" s="1">
        <f>SUM(OSRRefT22_2x_0)</f>
        <v>3013.98</v>
      </c>
      <c r="U46" s="1"/>
      <c r="V46" s="5">
        <f t="shared" ref="V46:V54" si="36">IF(T$12=0,0,T46/T$12)</f>
        <v>1.6670393562340227E-3</v>
      </c>
      <c r="W46" s="1"/>
      <c r="X46" s="1">
        <f t="shared" ref="X46:X54" si="37">+P46-T46</f>
        <v>-3013.98</v>
      </c>
      <c r="Y46" s="1"/>
      <c r="Z46" s="5">
        <f t="shared" ref="Z46:Z54" si="38">IF(T46=0,0,X46/T46)</f>
        <v>-1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31"/>
        <v>0</v>
      </c>
      <c r="G47" s="2"/>
      <c r="H47" s="6">
        <v>580.57000000000005</v>
      </c>
      <c r="I47" s="2"/>
      <c r="J47" s="7">
        <f t="shared" si="32"/>
        <v>3.2041897912196363E-3</v>
      </c>
      <c r="K47" s="2"/>
      <c r="L47" s="6">
        <f t="shared" si="33"/>
        <v>-580.57000000000005</v>
      </c>
      <c r="M47" s="2"/>
      <c r="N47" s="7">
        <f t="shared" si="34"/>
        <v>-1</v>
      </c>
      <c r="O47" s="11"/>
      <c r="P47" s="6"/>
      <c r="Q47" s="2"/>
      <c r="R47" s="7">
        <f t="shared" si="35"/>
        <v>0</v>
      </c>
      <c r="S47" s="2"/>
      <c r="T47" s="6">
        <v>3013.98</v>
      </c>
      <c r="U47" s="2"/>
      <c r="V47" s="7">
        <f t="shared" si="36"/>
        <v>1.6670393562340227E-3</v>
      </c>
      <c r="W47" s="2"/>
      <c r="X47" s="6">
        <f t="shared" si="37"/>
        <v>-3013.98</v>
      </c>
      <c r="Y47" s="2"/>
      <c r="Z47" s="7">
        <f t="shared" si="38"/>
        <v>-1</v>
      </c>
    </row>
    <row r="48" spans="1:26" s="26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</v>
      </c>
      <c r="E48" s="1"/>
      <c r="F48" s="5">
        <f t="shared" si="31"/>
        <v>0</v>
      </c>
      <c r="G48" s="1"/>
      <c r="H48" s="1">
        <f>SUM(OSRRefH22_3x_0)</f>
        <v>-35.44</v>
      </c>
      <c r="I48" s="1"/>
      <c r="J48" s="5">
        <f t="shared" si="32"/>
        <v>-1.955948226756875E-4</v>
      </c>
      <c r="K48" s="1"/>
      <c r="L48" s="1">
        <f t="shared" si="33"/>
        <v>35.44</v>
      </c>
      <c r="M48" s="1"/>
      <c r="N48" s="5">
        <f t="shared" si="34"/>
        <v>-1</v>
      </c>
      <c r="O48" s="13"/>
      <c r="P48" s="1">
        <f>SUM(OSRRefP22_3x_0)</f>
        <v>3.31</v>
      </c>
      <c r="Q48" s="1"/>
      <c r="R48" s="5">
        <f t="shared" si="35"/>
        <v>1.2797364748092959E-3</v>
      </c>
      <c r="S48" s="1"/>
      <c r="T48" s="1">
        <f>SUM(OSRRefT22_3x_0)</f>
        <v>-318.32</v>
      </c>
      <c r="U48" s="1"/>
      <c r="V48" s="5">
        <f t="shared" si="36"/>
        <v>-1.7606353322729883E-4</v>
      </c>
      <c r="W48" s="1"/>
      <c r="X48" s="1">
        <f t="shared" si="37"/>
        <v>321.63</v>
      </c>
      <c r="Y48" s="1"/>
      <c r="Z48" s="5">
        <f t="shared" si="38"/>
        <v>-1.0103983412917819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/>
      <c r="E49" s="2"/>
      <c r="F49" s="7">
        <f t="shared" si="31"/>
        <v>0</v>
      </c>
      <c r="G49" s="2"/>
      <c r="H49" s="6">
        <v>-35.44</v>
      </c>
      <c r="I49" s="2"/>
      <c r="J49" s="7">
        <f t="shared" si="32"/>
        <v>-1.955948226756875E-4</v>
      </c>
      <c r="K49" s="2"/>
      <c r="L49" s="6">
        <f t="shared" si="33"/>
        <v>35.44</v>
      </c>
      <c r="M49" s="2"/>
      <c r="N49" s="7">
        <f t="shared" si="34"/>
        <v>-1</v>
      </c>
      <c r="O49" s="11"/>
      <c r="P49" s="6">
        <v>3.31</v>
      </c>
      <c r="Q49" s="2"/>
      <c r="R49" s="7">
        <f t="shared" si="35"/>
        <v>1.2797364748092959E-3</v>
      </c>
      <c r="S49" s="2"/>
      <c r="T49" s="6">
        <v>-318.32</v>
      </c>
      <c r="U49" s="2"/>
      <c r="V49" s="7">
        <f t="shared" si="36"/>
        <v>-1.7606353322729883E-4</v>
      </c>
      <c r="W49" s="2"/>
      <c r="X49" s="6">
        <f t="shared" si="37"/>
        <v>321.63</v>
      </c>
      <c r="Y49" s="2"/>
      <c r="Z49" s="7">
        <f t="shared" si="38"/>
        <v>-1.0103983412917819</v>
      </c>
    </row>
    <row r="50" spans="1:26" s="26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224.95</v>
      </c>
      <c r="E50" s="1"/>
      <c r="F50" s="5">
        <f t="shared" si="31"/>
        <v>0</v>
      </c>
      <c r="G50" s="1"/>
      <c r="H50" s="1">
        <f>SUM(OSRRefH22_4x_0)</f>
        <v>7439.16</v>
      </c>
      <c r="I50" s="1"/>
      <c r="J50" s="5">
        <f t="shared" si="32"/>
        <v>4.1057031068173461E-2</v>
      </c>
      <c r="K50" s="1"/>
      <c r="L50" s="1">
        <f t="shared" si="33"/>
        <v>-7214.21</v>
      </c>
      <c r="M50" s="1"/>
      <c r="N50" s="5">
        <f t="shared" si="34"/>
        <v>-0.96976137090746806</v>
      </c>
      <c r="O50" s="13"/>
      <c r="P50" s="1">
        <f>SUM(OSRRefP22_4x_0)</f>
        <v>1138.28</v>
      </c>
      <c r="Q50" s="1"/>
      <c r="R50" s="5">
        <f t="shared" si="35"/>
        <v>0.44009016149423724</v>
      </c>
      <c r="S50" s="1"/>
      <c r="T50" s="1">
        <f>SUM(OSRRefT22_4x_0)</f>
        <v>64154.16</v>
      </c>
      <c r="U50" s="1"/>
      <c r="V50" s="5">
        <f t="shared" si="36"/>
        <v>3.5483815282826861E-2</v>
      </c>
      <c r="W50" s="1"/>
      <c r="X50" s="1">
        <f t="shared" si="37"/>
        <v>-63015.880000000005</v>
      </c>
      <c r="Y50" s="1"/>
      <c r="Z50" s="5">
        <f t="shared" si="38"/>
        <v>-0.98225711317863096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224.95</v>
      </c>
      <c r="E51" s="2"/>
      <c r="F51" s="7">
        <f t="shared" si="31"/>
        <v>0</v>
      </c>
      <c r="G51" s="2"/>
      <c r="H51" s="6">
        <v>7439.16</v>
      </c>
      <c r="I51" s="2"/>
      <c r="J51" s="7">
        <f t="shared" si="32"/>
        <v>4.1057031068173461E-2</v>
      </c>
      <c r="K51" s="2"/>
      <c r="L51" s="6">
        <f t="shared" si="33"/>
        <v>-7214.21</v>
      </c>
      <c r="M51" s="2"/>
      <c r="N51" s="7">
        <f t="shared" si="34"/>
        <v>-0.96976137090746806</v>
      </c>
      <c r="O51" s="11"/>
      <c r="P51" s="6">
        <v>1138.28</v>
      </c>
      <c r="Q51" s="2"/>
      <c r="R51" s="7">
        <f t="shared" si="35"/>
        <v>0.44009016149423724</v>
      </c>
      <c r="S51" s="2"/>
      <c r="T51" s="6">
        <v>64154.16</v>
      </c>
      <c r="U51" s="2"/>
      <c r="V51" s="7">
        <f t="shared" si="36"/>
        <v>3.5483815282826861E-2</v>
      </c>
      <c r="W51" s="2"/>
      <c r="X51" s="6">
        <f t="shared" si="37"/>
        <v>-63015.880000000005</v>
      </c>
      <c r="Y51" s="2"/>
      <c r="Z51" s="7">
        <f t="shared" si="38"/>
        <v>-0.98225711317863096</v>
      </c>
    </row>
    <row r="52" spans="1:26" s="26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9152.09</v>
      </c>
      <c r="E52" s="1"/>
      <c r="F52" s="5">
        <f t="shared" si="31"/>
        <v>0</v>
      </c>
      <c r="G52" s="1"/>
      <c r="H52" s="1">
        <f>SUM(OSRRefH22_5x_0)</f>
        <v>8546.9</v>
      </c>
      <c r="I52" s="1"/>
      <c r="J52" s="5">
        <f t="shared" si="32"/>
        <v>4.7170693846693951E-2</v>
      </c>
      <c r="K52" s="1"/>
      <c r="L52" s="1">
        <f t="shared" si="33"/>
        <v>605.19000000000051</v>
      </c>
      <c r="M52" s="1"/>
      <c r="N52" s="5">
        <f t="shared" si="34"/>
        <v>7.0808129263241704E-2</v>
      </c>
      <c r="O52" s="13"/>
      <c r="P52" s="1">
        <f>SUM(OSRRefP22_5x_0)</f>
        <v>64245.91</v>
      </c>
      <c r="Q52" s="1"/>
      <c r="R52" s="5">
        <f t="shared" si="35"/>
        <v>24.839224889521237</v>
      </c>
      <c r="S52" s="1"/>
      <c r="T52" s="1">
        <f>SUM(OSRRefT22_5x_0)</f>
        <v>59111.199999999997</v>
      </c>
      <c r="U52" s="1"/>
      <c r="V52" s="5">
        <f t="shared" si="36"/>
        <v>3.2694542363990657E-2</v>
      </c>
      <c r="W52" s="1"/>
      <c r="X52" s="1">
        <f t="shared" si="37"/>
        <v>5134.7100000000064</v>
      </c>
      <c r="Y52" s="1"/>
      <c r="Z52" s="5">
        <f t="shared" si="38"/>
        <v>8.6865264112384905E-2</v>
      </c>
    </row>
    <row r="53" spans="1:26" s="24" customFormat="1" hidden="1" outlineLevel="2" x14ac:dyDescent="0.25">
      <c r="A53" s="25"/>
      <c r="B53" s="11" t="str">
        <f>CONCATENATE("          ", "6321", " - ", "BUILDING DEPRECIATION")</f>
        <v xml:space="preserve">          6321 - BUILDING DEPRECIATION</v>
      </c>
      <c r="C53" s="11"/>
      <c r="D53" s="6">
        <v>5080.51</v>
      </c>
      <c r="E53" s="2"/>
      <c r="F53" s="7">
        <f t="shared" si="31"/>
        <v>0</v>
      </c>
      <c r="G53" s="2"/>
      <c r="H53" s="6">
        <v>5080.51</v>
      </c>
      <c r="I53" s="2"/>
      <c r="J53" s="7">
        <f t="shared" si="32"/>
        <v>2.8039544372236377E-2</v>
      </c>
      <c r="K53" s="2"/>
      <c r="L53" s="6">
        <f t="shared" si="33"/>
        <v>0</v>
      </c>
      <c r="M53" s="2"/>
      <c r="N53" s="7">
        <f t="shared" si="34"/>
        <v>0</v>
      </c>
      <c r="O53" s="11"/>
      <c r="P53" s="6">
        <v>35563.57</v>
      </c>
      <c r="Q53" s="2"/>
      <c r="R53" s="7">
        <f t="shared" si="35"/>
        <v>13.749848248771491</v>
      </c>
      <c r="S53" s="2"/>
      <c r="T53" s="6">
        <v>35563.57</v>
      </c>
      <c r="U53" s="2"/>
      <c r="V53" s="7">
        <f t="shared" si="36"/>
        <v>1.9670293378915456E-2</v>
      </c>
      <c r="W53" s="2"/>
      <c r="X53" s="6">
        <f t="shared" si="37"/>
        <v>0</v>
      </c>
      <c r="Y53" s="2"/>
      <c r="Z53" s="7">
        <f t="shared" si="38"/>
        <v>0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4071.58</v>
      </c>
      <c r="E54" s="2"/>
      <c r="F54" s="7">
        <f t="shared" si="31"/>
        <v>0</v>
      </c>
      <c r="G54" s="2"/>
      <c r="H54" s="6">
        <v>3466.39</v>
      </c>
      <c r="I54" s="2"/>
      <c r="J54" s="7">
        <f t="shared" si="32"/>
        <v>1.9131149474457574E-2</v>
      </c>
      <c r="K54" s="2"/>
      <c r="L54" s="6">
        <f t="shared" si="33"/>
        <v>605.19000000000005</v>
      </c>
      <c r="M54" s="2"/>
      <c r="N54" s="7">
        <f t="shared" si="34"/>
        <v>0.17458797192468248</v>
      </c>
      <c r="O54" s="11"/>
      <c r="P54" s="6">
        <v>28682.34</v>
      </c>
      <c r="Q54" s="2"/>
      <c r="R54" s="7">
        <f t="shared" si="35"/>
        <v>11.089376640749746</v>
      </c>
      <c r="S54" s="2"/>
      <c r="T54" s="6">
        <v>23547.63</v>
      </c>
      <c r="U54" s="2"/>
      <c r="V54" s="7">
        <f t="shared" si="36"/>
        <v>1.3024248985075204E-2</v>
      </c>
      <c r="W54" s="2"/>
      <c r="X54" s="6">
        <f t="shared" si="37"/>
        <v>5134.7099999999991</v>
      </c>
      <c r="Y54" s="2"/>
      <c r="Z54" s="7">
        <f t="shared" si="38"/>
        <v>0.21805633942778951</v>
      </c>
    </row>
    <row r="55" spans="1:26" s="26" customFormat="1" outlineLevel="1" collapsed="1" x14ac:dyDescent="0.25">
      <c r="A55" s="27"/>
      <c r="B55" s="13" t="str">
        <f>CONCATENATE("     ","Discounts and Markdowns                           ")</f>
        <v xml:space="preserve">     Discounts and Markdowns                           </v>
      </c>
      <c r="C55" s="13"/>
      <c r="D55" s="1">
        <f>SUM(OSRRefD22_6x_0)</f>
        <v>0</v>
      </c>
      <c r="E55" s="1"/>
      <c r="F55" s="5">
        <f t="shared" ref="F55:F74" si="39">IF(D$12=0,0,D55/D$12)</f>
        <v>0</v>
      </c>
      <c r="G55" s="1"/>
      <c r="H55" s="1">
        <f>SUM(OSRRefH22_6x_0)</f>
        <v>31.78</v>
      </c>
      <c r="I55" s="1"/>
      <c r="J55" s="5">
        <f t="shared" ref="J55:J74" si="40">IF(H$12=0,0,H55/H$12)</f>
        <v>1.7539513162057984E-4</v>
      </c>
      <c r="K55" s="1"/>
      <c r="L55" s="1">
        <f t="shared" ref="L55:L74" si="41">+D55-H55</f>
        <v>-31.78</v>
      </c>
      <c r="M55" s="1"/>
      <c r="N55" s="5">
        <f t="shared" ref="N55:N74" si="42">IF(H55=0,0,L55/H55)</f>
        <v>-1</v>
      </c>
      <c r="O55" s="13"/>
      <c r="P55" s="1">
        <f>SUM(OSRRefP22_6x_0)</f>
        <v>0</v>
      </c>
      <c r="Q55" s="1"/>
      <c r="R55" s="5">
        <f t="shared" ref="R55:R74" si="43">IF(P$12=0,0,P55/P$12)</f>
        <v>0</v>
      </c>
      <c r="S55" s="1"/>
      <c r="T55" s="1">
        <f>SUM(OSRRefT22_6x_0)</f>
        <v>108.15</v>
      </c>
      <c r="U55" s="1"/>
      <c r="V55" s="5">
        <f t="shared" ref="V55:V74" si="44">IF(T$12=0,0,T55/T$12)</f>
        <v>5.9818016833791057E-5</v>
      </c>
      <c r="W55" s="1"/>
      <c r="X55" s="1">
        <f t="shared" ref="X55:X74" si="45">+P55-T55</f>
        <v>-108.15</v>
      </c>
      <c r="Y55" s="1"/>
      <c r="Z55" s="5">
        <f t="shared" ref="Z55:Z74" si="46">IF(T55=0,0,X55/T55)</f>
        <v>-1</v>
      </c>
    </row>
    <row r="56" spans="1:26" s="24" customFormat="1" hidden="1" outlineLevel="2" x14ac:dyDescent="0.25">
      <c r="A56" s="25"/>
      <c r="B56" s="11" t="str">
        <f>CONCATENATE("          ", "6382", " - ", "DISCOUNTS/MARK DOWNS")</f>
        <v xml:space="preserve">          6382 - DISCOUNTS/MARK DOWNS</v>
      </c>
      <c r="C56" s="11"/>
      <c r="D56" s="6"/>
      <c r="E56" s="2"/>
      <c r="F56" s="7">
        <f t="shared" si="39"/>
        <v>0</v>
      </c>
      <c r="G56" s="2"/>
      <c r="H56" s="6">
        <v>31.78</v>
      </c>
      <c r="I56" s="2"/>
      <c r="J56" s="7">
        <f t="shared" si="40"/>
        <v>1.7539513162057984E-4</v>
      </c>
      <c r="K56" s="2"/>
      <c r="L56" s="6">
        <f t="shared" si="41"/>
        <v>-31.78</v>
      </c>
      <c r="M56" s="2"/>
      <c r="N56" s="7">
        <f t="shared" si="42"/>
        <v>-1</v>
      </c>
      <c r="O56" s="11"/>
      <c r="P56" s="6"/>
      <c r="Q56" s="2"/>
      <c r="R56" s="7">
        <f t="shared" si="43"/>
        <v>0</v>
      </c>
      <c r="S56" s="2"/>
      <c r="T56" s="6">
        <v>108.15</v>
      </c>
      <c r="U56" s="2"/>
      <c r="V56" s="7">
        <f t="shared" si="44"/>
        <v>5.9818016833791057E-5</v>
      </c>
      <c r="W56" s="2"/>
      <c r="X56" s="6">
        <f t="shared" si="45"/>
        <v>-108.15</v>
      </c>
      <c r="Y56" s="2"/>
      <c r="Z56" s="7">
        <f t="shared" si="46"/>
        <v>-1</v>
      </c>
    </row>
    <row r="57" spans="1:26" s="26" customFormat="1" outlineLevel="1" collapsed="1" x14ac:dyDescent="0.25">
      <c r="A57" s="27"/>
      <c r="B57" s="13" t="str">
        <f>CONCATENATE("     ","Employees' Appreciation                           ")</f>
        <v xml:space="preserve">     Employees' Appreciation                           </v>
      </c>
      <c r="C57" s="13"/>
      <c r="D57" s="1">
        <f>SUM(OSRRefD22_7x_0)</f>
        <v>0</v>
      </c>
      <c r="E57" s="1"/>
      <c r="F57" s="5">
        <f t="shared" si="39"/>
        <v>0</v>
      </c>
      <c r="G57" s="1"/>
      <c r="H57" s="1">
        <f>SUM(OSRRefH22_7x_0)</f>
        <v>39.909999999999997</v>
      </c>
      <c r="I57" s="1"/>
      <c r="J57" s="5">
        <f t="shared" si="40"/>
        <v>2.2026493716102393E-4</v>
      </c>
      <c r="K57" s="1"/>
      <c r="L57" s="1">
        <f t="shared" si="41"/>
        <v>-39.909999999999997</v>
      </c>
      <c r="M57" s="1"/>
      <c r="N57" s="5">
        <f t="shared" si="42"/>
        <v>-1</v>
      </c>
      <c r="O57" s="13"/>
      <c r="P57" s="1">
        <f>SUM(OSRRefP22_7x_0)</f>
        <v>0</v>
      </c>
      <c r="Q57" s="1"/>
      <c r="R57" s="5">
        <f t="shared" si="43"/>
        <v>0</v>
      </c>
      <c r="S57" s="1"/>
      <c r="T57" s="1">
        <f>SUM(OSRRefT22_7x_0)</f>
        <v>136.83000000000001</v>
      </c>
      <c r="U57" s="1"/>
      <c r="V57" s="5">
        <f t="shared" si="44"/>
        <v>7.5680991616899033E-5</v>
      </c>
      <c r="W57" s="1"/>
      <c r="X57" s="1">
        <f t="shared" si="45"/>
        <v>-136.83000000000001</v>
      </c>
      <c r="Y57" s="1"/>
      <c r="Z57" s="5">
        <f t="shared" si="46"/>
        <v>-1</v>
      </c>
    </row>
    <row r="58" spans="1:26" s="24" customFormat="1" hidden="1" outlineLevel="2" x14ac:dyDescent="0.25">
      <c r="A58" s="25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39"/>
        <v>0</v>
      </c>
      <c r="G58" s="2"/>
      <c r="H58" s="6">
        <v>39.909999999999997</v>
      </c>
      <c r="I58" s="2"/>
      <c r="J58" s="7">
        <f t="shared" si="40"/>
        <v>2.2026493716102393E-4</v>
      </c>
      <c r="K58" s="2"/>
      <c r="L58" s="6">
        <f t="shared" si="41"/>
        <v>-39.909999999999997</v>
      </c>
      <c r="M58" s="2"/>
      <c r="N58" s="7">
        <f t="shared" si="42"/>
        <v>-1</v>
      </c>
      <c r="O58" s="11"/>
      <c r="P58" s="6"/>
      <c r="Q58" s="2"/>
      <c r="R58" s="7">
        <f t="shared" si="43"/>
        <v>0</v>
      </c>
      <c r="S58" s="2"/>
      <c r="T58" s="6">
        <v>136.83000000000001</v>
      </c>
      <c r="U58" s="2"/>
      <c r="V58" s="7">
        <f t="shared" si="44"/>
        <v>7.5680991616899033E-5</v>
      </c>
      <c r="W58" s="2"/>
      <c r="X58" s="6">
        <f t="shared" si="45"/>
        <v>-136.83000000000001</v>
      </c>
      <c r="Y58" s="2"/>
      <c r="Z58" s="7">
        <f t="shared" si="46"/>
        <v>-1</v>
      </c>
    </row>
    <row r="59" spans="1:26" s="26" customFormat="1" outlineLevel="1" collapsed="1" x14ac:dyDescent="0.25">
      <c r="A59" s="27"/>
      <c r="B59" s="13" t="str">
        <f>CONCATENATE("     ","Equipment Rental                                  ")</f>
        <v xml:space="preserve">     Equipment Rental                                  </v>
      </c>
      <c r="C59" s="13"/>
      <c r="D59" s="1">
        <f>SUM(OSRRefD22_8x_0)</f>
        <v>176.4</v>
      </c>
      <c r="E59" s="1"/>
      <c r="F59" s="5">
        <f t="shared" si="39"/>
        <v>0</v>
      </c>
      <c r="G59" s="1"/>
      <c r="H59" s="1">
        <f>SUM(OSRRefH22_8x_0)</f>
        <v>93</v>
      </c>
      <c r="I59" s="1"/>
      <c r="J59" s="5">
        <f t="shared" si="40"/>
        <v>5.1327083828552316E-4</v>
      </c>
      <c r="K59" s="1"/>
      <c r="L59" s="1">
        <f t="shared" si="41"/>
        <v>83.4</v>
      </c>
      <c r="M59" s="1"/>
      <c r="N59" s="5">
        <f t="shared" si="42"/>
        <v>0.89677419354838717</v>
      </c>
      <c r="O59" s="13"/>
      <c r="P59" s="1">
        <f>SUM(OSRRefP22_8x_0)</f>
        <v>264.55</v>
      </c>
      <c r="Q59" s="1"/>
      <c r="R59" s="5">
        <f t="shared" si="43"/>
        <v>0.10228226115129888</v>
      </c>
      <c r="S59" s="1"/>
      <c r="T59" s="1">
        <f>SUM(OSRRefT22_8x_0)</f>
        <v>773.97</v>
      </c>
      <c r="U59" s="1"/>
      <c r="V59" s="5">
        <f t="shared" si="44"/>
        <v>4.2808460923577681E-4</v>
      </c>
      <c r="W59" s="1"/>
      <c r="X59" s="1">
        <f t="shared" si="45"/>
        <v>-509.42</v>
      </c>
      <c r="Y59" s="1"/>
      <c r="Z59" s="5">
        <f t="shared" si="46"/>
        <v>-0.65819088595165187</v>
      </c>
    </row>
    <row r="60" spans="1:26" s="24" customFormat="1" hidden="1" outlineLevel="2" x14ac:dyDescent="0.25">
      <c r="A60" s="25"/>
      <c r="B60" s="11" t="str">
        <f>CONCATENATE("          ", "6351", " - ", "EQUIPMENT RENTAL")</f>
        <v xml:space="preserve">          6351 - EQUIPMENT RENTAL</v>
      </c>
      <c r="C60" s="11"/>
      <c r="D60" s="6">
        <v>176.4</v>
      </c>
      <c r="E60" s="2"/>
      <c r="F60" s="7">
        <f t="shared" si="39"/>
        <v>0</v>
      </c>
      <c r="G60" s="2"/>
      <c r="H60" s="6">
        <v>93</v>
      </c>
      <c r="I60" s="2"/>
      <c r="J60" s="7">
        <f t="shared" si="40"/>
        <v>5.1327083828552316E-4</v>
      </c>
      <c r="K60" s="2"/>
      <c r="L60" s="6">
        <f t="shared" si="41"/>
        <v>83.4</v>
      </c>
      <c r="M60" s="2"/>
      <c r="N60" s="7">
        <f t="shared" si="42"/>
        <v>0.89677419354838717</v>
      </c>
      <c r="O60" s="11"/>
      <c r="P60" s="6">
        <v>264.55</v>
      </c>
      <c r="Q60" s="2"/>
      <c r="R60" s="7">
        <f t="shared" si="43"/>
        <v>0.10228226115129888</v>
      </c>
      <c r="S60" s="2"/>
      <c r="T60" s="6">
        <v>773.97</v>
      </c>
      <c r="U60" s="2"/>
      <c r="V60" s="7">
        <f t="shared" si="44"/>
        <v>4.2808460923577681E-4</v>
      </c>
      <c r="W60" s="2"/>
      <c r="X60" s="6">
        <f t="shared" si="45"/>
        <v>-509.42</v>
      </c>
      <c r="Y60" s="2"/>
      <c r="Z60" s="7">
        <f t="shared" si="46"/>
        <v>-0.65819088595165187</v>
      </c>
    </row>
    <row r="61" spans="1:26" s="26" customFormat="1" outlineLevel="1" collapsed="1" x14ac:dyDescent="0.25">
      <c r="A61" s="27"/>
      <c r="B61" s="13" t="str">
        <f>CONCATENATE("     ","Freight out/Postage                               ")</f>
        <v xml:space="preserve">     Freight out/Postage                               </v>
      </c>
      <c r="C61" s="13"/>
      <c r="D61" s="1">
        <f>SUM(OSRRefD22_9x_0)</f>
        <v>8.17</v>
      </c>
      <c r="E61" s="1"/>
      <c r="F61" s="5">
        <f t="shared" si="39"/>
        <v>0</v>
      </c>
      <c r="G61" s="1"/>
      <c r="H61" s="1">
        <f>SUM(OSRRefH22_9x_0)</f>
        <v>7.64</v>
      </c>
      <c r="I61" s="1"/>
      <c r="J61" s="5">
        <f t="shared" si="40"/>
        <v>4.2165475317219314E-5</v>
      </c>
      <c r="K61" s="1"/>
      <c r="L61" s="1">
        <f t="shared" si="41"/>
        <v>0.53000000000000025</v>
      </c>
      <c r="M61" s="1"/>
      <c r="N61" s="5">
        <f t="shared" si="42"/>
        <v>6.9371727748691131E-2</v>
      </c>
      <c r="O61" s="13"/>
      <c r="P61" s="1">
        <f>SUM(OSRRefP22_9x_0)</f>
        <v>117.43</v>
      </c>
      <c r="Q61" s="1"/>
      <c r="R61" s="5">
        <f t="shared" si="43"/>
        <v>4.5401647805696568E-2</v>
      </c>
      <c r="S61" s="1"/>
      <c r="T61" s="1">
        <f>SUM(OSRRefT22_9x_0)</f>
        <v>233.63</v>
      </c>
      <c r="U61" s="1"/>
      <c r="V61" s="5">
        <f t="shared" si="44"/>
        <v>1.2922129702153123E-4</v>
      </c>
      <c r="W61" s="1"/>
      <c r="X61" s="1">
        <f t="shared" si="45"/>
        <v>-116.19999999999999</v>
      </c>
      <c r="Y61" s="1"/>
      <c r="Z61" s="5">
        <f t="shared" si="46"/>
        <v>-0.49736763258143213</v>
      </c>
    </row>
    <row r="62" spans="1:26" s="24" customFormat="1" hidden="1" outlineLevel="2" x14ac:dyDescent="0.25">
      <c r="A62" s="25"/>
      <c r="B62" s="11" t="str">
        <f>CONCATENATE("          ", "6305", " - ", "FREIGHT OUT")</f>
        <v xml:space="preserve">          6305 - FREIGHT OUT</v>
      </c>
      <c r="C62" s="11"/>
      <c r="D62" s="6">
        <v>8.17</v>
      </c>
      <c r="E62" s="2"/>
      <c r="F62" s="7">
        <f t="shared" si="39"/>
        <v>0</v>
      </c>
      <c r="G62" s="2"/>
      <c r="H62" s="6">
        <v>7.64</v>
      </c>
      <c r="I62" s="2"/>
      <c r="J62" s="7">
        <f t="shared" si="40"/>
        <v>4.2165475317219314E-5</v>
      </c>
      <c r="K62" s="2"/>
      <c r="L62" s="6">
        <f t="shared" si="41"/>
        <v>0.53000000000000025</v>
      </c>
      <c r="M62" s="2"/>
      <c r="N62" s="7">
        <f t="shared" si="42"/>
        <v>6.9371727748691131E-2</v>
      </c>
      <c r="O62" s="11"/>
      <c r="P62" s="6">
        <v>117.43</v>
      </c>
      <c r="Q62" s="2"/>
      <c r="R62" s="7">
        <f t="shared" si="43"/>
        <v>4.5401647805696568E-2</v>
      </c>
      <c r="S62" s="2"/>
      <c r="T62" s="6">
        <v>233.63</v>
      </c>
      <c r="U62" s="2"/>
      <c r="V62" s="7">
        <f t="shared" si="44"/>
        <v>1.2922129702153123E-4</v>
      </c>
      <c r="W62" s="2"/>
      <c r="X62" s="6">
        <f t="shared" si="45"/>
        <v>-116.19999999999999</v>
      </c>
      <c r="Y62" s="2"/>
      <c r="Z62" s="7">
        <f t="shared" si="46"/>
        <v>-0.49736763258143213</v>
      </c>
    </row>
    <row r="63" spans="1:26" s="26" customFormat="1" outlineLevel="1" collapsed="1" x14ac:dyDescent="0.25">
      <c r="A63" s="27"/>
      <c r="B63" s="13" t="str">
        <f>CONCATENATE("     ","General                                           ")</f>
        <v xml:space="preserve">     General                                           </v>
      </c>
      <c r="C63" s="13"/>
      <c r="D63" s="1">
        <f>SUM(OSRRefD22_10x_0)</f>
        <v>-421.99</v>
      </c>
      <c r="E63" s="1"/>
      <c r="F63" s="5">
        <f t="shared" si="39"/>
        <v>0</v>
      </c>
      <c r="G63" s="1"/>
      <c r="H63" s="1">
        <f>SUM(OSRRefH22_10x_0)</f>
        <v>3643.7</v>
      </c>
      <c r="I63" s="1"/>
      <c r="J63" s="5">
        <f t="shared" si="40"/>
        <v>2.0109730682375919E-2</v>
      </c>
      <c r="K63" s="1"/>
      <c r="L63" s="1">
        <f t="shared" si="41"/>
        <v>-4065.6899999999996</v>
      </c>
      <c r="M63" s="1"/>
      <c r="N63" s="5">
        <f t="shared" si="42"/>
        <v>-1.1158135960699289</v>
      </c>
      <c r="O63" s="13"/>
      <c r="P63" s="1">
        <f>SUM(OSRRefP22_10x_0)</f>
        <v>2788.49</v>
      </c>
      <c r="Q63" s="1"/>
      <c r="R63" s="5">
        <f t="shared" si="43"/>
        <v>1.0781064539700826</v>
      </c>
      <c r="S63" s="1"/>
      <c r="T63" s="1">
        <f>SUM(OSRRefT22_10x_0)</f>
        <v>10472.84</v>
      </c>
      <c r="U63" s="1"/>
      <c r="V63" s="5">
        <f t="shared" si="44"/>
        <v>5.7925521906389303E-3</v>
      </c>
      <c r="W63" s="1"/>
      <c r="X63" s="1">
        <f t="shared" si="45"/>
        <v>-7684.35</v>
      </c>
      <c r="Y63" s="1"/>
      <c r="Z63" s="5">
        <f t="shared" si="46"/>
        <v>-0.73374080001222208</v>
      </c>
    </row>
    <row r="64" spans="1:26" s="24" customFormat="1" hidden="1" outlineLevel="2" x14ac:dyDescent="0.25">
      <c r="A64" s="25"/>
      <c r="B64" s="11" t="str">
        <f>CONCATENATE("          ", "6279", " - ", "GENERAL EXPENSE")</f>
        <v xml:space="preserve">          6279 - GENERAL EXPENSE</v>
      </c>
      <c r="C64" s="11"/>
      <c r="D64" s="6">
        <v>-421.99</v>
      </c>
      <c r="E64" s="2"/>
      <c r="F64" s="7">
        <f t="shared" si="39"/>
        <v>0</v>
      </c>
      <c r="G64" s="2"/>
      <c r="H64" s="6">
        <v>3643.7</v>
      </c>
      <c r="I64" s="2"/>
      <c r="J64" s="7">
        <f t="shared" si="40"/>
        <v>2.0109730682375919E-2</v>
      </c>
      <c r="K64" s="2"/>
      <c r="L64" s="6">
        <f t="shared" si="41"/>
        <v>-4065.6899999999996</v>
      </c>
      <c r="M64" s="2"/>
      <c r="N64" s="7">
        <f t="shared" si="42"/>
        <v>-1.1158135960699289</v>
      </c>
      <c r="O64" s="11"/>
      <c r="P64" s="6">
        <v>2788.49</v>
      </c>
      <c r="Q64" s="2"/>
      <c r="R64" s="7">
        <f t="shared" si="43"/>
        <v>1.0781064539700826</v>
      </c>
      <c r="S64" s="2"/>
      <c r="T64" s="6">
        <v>10472.84</v>
      </c>
      <c r="U64" s="2"/>
      <c r="V64" s="7">
        <f t="shared" si="44"/>
        <v>5.7925521906389303E-3</v>
      </c>
      <c r="W64" s="2"/>
      <c r="X64" s="6">
        <f t="shared" si="45"/>
        <v>-7684.35</v>
      </c>
      <c r="Y64" s="2"/>
      <c r="Z64" s="7">
        <f t="shared" si="46"/>
        <v>-0.73374080001222208</v>
      </c>
    </row>
    <row r="65" spans="1:26" s="26" customFormat="1" outlineLevel="1" collapsed="1" x14ac:dyDescent="0.25">
      <c r="A65" s="27"/>
      <c r="B65" s="13" t="str">
        <f>CONCATENATE("     ","Insurance                                         ")</f>
        <v xml:space="preserve">     Insurance                                         </v>
      </c>
      <c r="C65" s="13"/>
      <c r="D65" s="1">
        <f>SUM(OSRRefD22_11x_0)</f>
        <v>243.54</v>
      </c>
      <c r="E65" s="1"/>
      <c r="F65" s="5">
        <f t="shared" si="39"/>
        <v>0</v>
      </c>
      <c r="G65" s="1"/>
      <c r="H65" s="1">
        <f>SUM(OSRRefH22_11x_0)</f>
        <v>243.54</v>
      </c>
      <c r="I65" s="1"/>
      <c r="J65" s="5">
        <f t="shared" si="40"/>
        <v>1.344107311355444E-3</v>
      </c>
      <c r="K65" s="1"/>
      <c r="L65" s="1">
        <f t="shared" si="41"/>
        <v>0</v>
      </c>
      <c r="M65" s="1"/>
      <c r="N65" s="5">
        <f t="shared" si="42"/>
        <v>0</v>
      </c>
      <c r="O65" s="13"/>
      <c r="P65" s="1">
        <f>SUM(OSRRefP22_11x_0)</f>
        <v>1704.78</v>
      </c>
      <c r="Q65" s="1"/>
      <c r="R65" s="5">
        <f t="shared" si="43"/>
        <v>0.65911454608017872</v>
      </c>
      <c r="S65" s="1"/>
      <c r="T65" s="1">
        <f>SUM(OSRRefT22_11x_0)</f>
        <v>1704.78</v>
      </c>
      <c r="U65" s="1"/>
      <c r="V65" s="5">
        <f t="shared" si="44"/>
        <v>9.4291778768294322E-4</v>
      </c>
      <c r="W65" s="1"/>
      <c r="X65" s="1">
        <f t="shared" si="45"/>
        <v>0</v>
      </c>
      <c r="Y65" s="1"/>
      <c r="Z65" s="5">
        <f t="shared" si="46"/>
        <v>0</v>
      </c>
    </row>
    <row r="66" spans="1:26" s="24" customFormat="1" hidden="1" outlineLevel="2" x14ac:dyDescent="0.25">
      <c r="A66" s="25"/>
      <c r="B66" s="11" t="str">
        <f>CONCATENATE("          ", "6314", " - ", "LIABILITY INSURANCE")</f>
        <v xml:space="preserve">          6314 - LIABILITY INSURANCE</v>
      </c>
      <c r="C66" s="11"/>
      <c r="D66" s="6">
        <v>243.54</v>
      </c>
      <c r="E66" s="2"/>
      <c r="F66" s="7">
        <f t="shared" si="39"/>
        <v>0</v>
      </c>
      <c r="G66" s="2"/>
      <c r="H66" s="6">
        <v>243.54</v>
      </c>
      <c r="I66" s="2"/>
      <c r="J66" s="7">
        <f t="shared" si="40"/>
        <v>1.344107311355444E-3</v>
      </c>
      <c r="K66" s="2"/>
      <c r="L66" s="6">
        <f t="shared" si="41"/>
        <v>0</v>
      </c>
      <c r="M66" s="2"/>
      <c r="N66" s="7">
        <f t="shared" si="42"/>
        <v>0</v>
      </c>
      <c r="O66" s="11"/>
      <c r="P66" s="6">
        <v>1704.78</v>
      </c>
      <c r="Q66" s="2"/>
      <c r="R66" s="7">
        <f t="shared" si="43"/>
        <v>0.65911454608017872</v>
      </c>
      <c r="S66" s="2"/>
      <c r="T66" s="6">
        <v>1704.78</v>
      </c>
      <c r="U66" s="2"/>
      <c r="V66" s="7">
        <f t="shared" si="44"/>
        <v>9.4291778768294322E-4</v>
      </c>
      <c r="W66" s="2"/>
      <c r="X66" s="6">
        <f t="shared" si="45"/>
        <v>0</v>
      </c>
      <c r="Y66" s="2"/>
      <c r="Z66" s="7">
        <f t="shared" si="46"/>
        <v>0</v>
      </c>
    </row>
    <row r="67" spans="1:26" s="26" customFormat="1" outlineLevel="1" collapsed="1" x14ac:dyDescent="0.25">
      <c r="A67" s="27"/>
      <c r="B67" s="13" t="str">
        <f>CONCATENATE("     ","Interest                                          ")</f>
        <v xml:space="preserve">     Interest                                          </v>
      </c>
      <c r="C67" s="13"/>
      <c r="D67" s="1">
        <f>SUM(OSRRefD22_12x_0)</f>
        <v>4044</v>
      </c>
      <c r="E67" s="1"/>
      <c r="F67" s="5">
        <f t="shared" si="39"/>
        <v>0</v>
      </c>
      <c r="G67" s="1"/>
      <c r="H67" s="1">
        <f>SUM(OSRRefH22_12x_0)</f>
        <v>4175</v>
      </c>
      <c r="I67" s="1"/>
      <c r="J67" s="5">
        <f t="shared" si="40"/>
        <v>2.3041997310129667E-2</v>
      </c>
      <c r="K67" s="1"/>
      <c r="L67" s="1">
        <f t="shared" si="41"/>
        <v>-131</v>
      </c>
      <c r="M67" s="1"/>
      <c r="N67" s="5">
        <f t="shared" si="42"/>
        <v>-3.1377245508982035E-2</v>
      </c>
      <c r="O67" s="13"/>
      <c r="P67" s="1">
        <f>SUM(OSRRefP22_12x_0)</f>
        <v>28045.85</v>
      </c>
      <c r="Q67" s="1"/>
      <c r="R67" s="5">
        <f t="shared" si="43"/>
        <v>10.843292209072596</v>
      </c>
      <c r="S67" s="1"/>
      <c r="T67" s="1">
        <f>SUM(OSRRefT22_12x_0)</f>
        <v>29018.95</v>
      </c>
      <c r="U67" s="1"/>
      <c r="V67" s="5">
        <f t="shared" si="44"/>
        <v>1.6050448817373473E-2</v>
      </c>
      <c r="W67" s="1"/>
      <c r="X67" s="1">
        <f t="shared" si="45"/>
        <v>-973.10000000000218</v>
      </c>
      <c r="Y67" s="1"/>
      <c r="Z67" s="5">
        <f t="shared" si="46"/>
        <v>-3.353326016275579E-2</v>
      </c>
    </row>
    <row r="68" spans="1:26" s="24" customFormat="1" hidden="1" outlineLevel="2" x14ac:dyDescent="0.25">
      <c r="A68" s="25"/>
      <c r="B68" s="11" t="str">
        <f>CONCATENATE("          ", "6401", " - ", "INTEREST EXPENSE")</f>
        <v xml:space="preserve">          6401 - INTEREST EXPENSE</v>
      </c>
      <c r="C68" s="11"/>
      <c r="D68" s="6">
        <v>4044</v>
      </c>
      <c r="E68" s="2"/>
      <c r="F68" s="7">
        <f t="shared" si="39"/>
        <v>0</v>
      </c>
      <c r="G68" s="2"/>
      <c r="H68" s="6">
        <v>4175</v>
      </c>
      <c r="I68" s="2"/>
      <c r="J68" s="7">
        <f t="shared" si="40"/>
        <v>2.3041997310129667E-2</v>
      </c>
      <c r="K68" s="2"/>
      <c r="L68" s="6">
        <f t="shared" si="41"/>
        <v>-131</v>
      </c>
      <c r="M68" s="2"/>
      <c r="N68" s="7">
        <f t="shared" si="42"/>
        <v>-3.1377245508982035E-2</v>
      </c>
      <c r="O68" s="11"/>
      <c r="P68" s="6">
        <v>28045.85</v>
      </c>
      <c r="Q68" s="2"/>
      <c r="R68" s="7">
        <f t="shared" si="43"/>
        <v>10.843292209072596</v>
      </c>
      <c r="S68" s="2"/>
      <c r="T68" s="6">
        <v>29018.95</v>
      </c>
      <c r="U68" s="2"/>
      <c r="V68" s="7">
        <f t="shared" si="44"/>
        <v>1.6050448817373473E-2</v>
      </c>
      <c r="W68" s="2"/>
      <c r="X68" s="6">
        <f t="shared" si="45"/>
        <v>-973.10000000000218</v>
      </c>
      <c r="Y68" s="2"/>
      <c r="Z68" s="7">
        <f t="shared" si="46"/>
        <v>-3.353326016275579E-2</v>
      </c>
    </row>
    <row r="69" spans="1:26" s="26" customFormat="1" outlineLevel="1" collapsed="1" x14ac:dyDescent="0.25">
      <c r="A69" s="27"/>
      <c r="B69" s="13" t="str">
        <f>CONCATENATE("     ","Rent                                              ")</f>
        <v xml:space="preserve">     Rent                                              </v>
      </c>
      <c r="C69" s="13"/>
      <c r="D69" s="1">
        <f>SUM(OSRRefD22_13x_0)</f>
        <v>0</v>
      </c>
      <c r="E69" s="1"/>
      <c r="F69" s="5">
        <f t="shared" si="39"/>
        <v>0</v>
      </c>
      <c r="G69" s="1"/>
      <c r="H69" s="1">
        <f>SUM(OSRRefH22_13x_0)</f>
        <v>1150</v>
      </c>
      <c r="I69" s="1"/>
      <c r="J69" s="5">
        <f t="shared" si="40"/>
        <v>6.3468974626704469E-3</v>
      </c>
      <c r="K69" s="1"/>
      <c r="L69" s="1">
        <f t="shared" si="41"/>
        <v>-1150</v>
      </c>
      <c r="M69" s="1"/>
      <c r="N69" s="5">
        <f t="shared" si="42"/>
        <v>-1</v>
      </c>
      <c r="O69" s="13"/>
      <c r="P69" s="1">
        <f>SUM(OSRRefP22_13x_0)</f>
        <v>0</v>
      </c>
      <c r="Q69" s="1"/>
      <c r="R69" s="5">
        <f t="shared" si="43"/>
        <v>0</v>
      </c>
      <c r="S69" s="1"/>
      <c r="T69" s="1">
        <f>SUM(OSRRefT22_13x_0)</f>
        <v>8050</v>
      </c>
      <c r="U69" s="1"/>
      <c r="V69" s="5">
        <f t="shared" si="44"/>
        <v>4.4524737449100141E-3</v>
      </c>
      <c r="W69" s="1"/>
      <c r="X69" s="1">
        <f t="shared" si="45"/>
        <v>-8050</v>
      </c>
      <c r="Y69" s="1"/>
      <c r="Z69" s="5">
        <f t="shared" si="46"/>
        <v>-1</v>
      </c>
    </row>
    <row r="70" spans="1:26" s="24" customFormat="1" hidden="1" outlineLevel="2" x14ac:dyDescent="0.25">
      <c r="A70" s="25"/>
      <c r="B70" s="11" t="str">
        <f>CONCATENATE("          ", "6273", " - ", "RENT")</f>
        <v xml:space="preserve">          6273 - RENT</v>
      </c>
      <c r="C70" s="11"/>
      <c r="D70" s="6"/>
      <c r="E70" s="2"/>
      <c r="F70" s="7">
        <f t="shared" si="39"/>
        <v>0</v>
      </c>
      <c r="G70" s="2"/>
      <c r="H70" s="6">
        <v>1150</v>
      </c>
      <c r="I70" s="2"/>
      <c r="J70" s="7">
        <f t="shared" si="40"/>
        <v>6.3468974626704469E-3</v>
      </c>
      <c r="K70" s="2"/>
      <c r="L70" s="6">
        <f t="shared" si="41"/>
        <v>-1150</v>
      </c>
      <c r="M70" s="2"/>
      <c r="N70" s="7">
        <f t="shared" si="42"/>
        <v>-1</v>
      </c>
      <c r="O70" s="11"/>
      <c r="P70" s="6"/>
      <c r="Q70" s="2"/>
      <c r="R70" s="7">
        <f t="shared" si="43"/>
        <v>0</v>
      </c>
      <c r="S70" s="2"/>
      <c r="T70" s="6">
        <v>8050</v>
      </c>
      <c r="U70" s="2"/>
      <c r="V70" s="7">
        <f t="shared" si="44"/>
        <v>4.4524737449100141E-3</v>
      </c>
      <c r="W70" s="2"/>
      <c r="X70" s="6">
        <f t="shared" si="45"/>
        <v>-8050</v>
      </c>
      <c r="Y70" s="2"/>
      <c r="Z70" s="7">
        <f t="shared" si="46"/>
        <v>-1</v>
      </c>
    </row>
    <row r="71" spans="1:26" s="26" customFormat="1" outlineLevel="1" collapsed="1" x14ac:dyDescent="0.25">
      <c r="A71" s="27"/>
      <c r="B71" s="13" t="str">
        <f>CONCATENATE("     ","Repair and Maintenance                            ")</f>
        <v xml:space="preserve">     Repair and Maintenance                            </v>
      </c>
      <c r="C71" s="13"/>
      <c r="D71" s="1">
        <f>SUM(OSRRefD22_14x_0)</f>
        <v>0</v>
      </c>
      <c r="E71" s="1"/>
      <c r="F71" s="5">
        <f t="shared" si="39"/>
        <v>0</v>
      </c>
      <c r="G71" s="1"/>
      <c r="H71" s="1">
        <f>SUM(OSRRefH22_14x_0)</f>
        <v>528.76</v>
      </c>
      <c r="I71" s="1"/>
      <c r="J71" s="5">
        <f t="shared" si="40"/>
        <v>2.9182482629231529E-3</v>
      </c>
      <c r="K71" s="1"/>
      <c r="L71" s="1">
        <f t="shared" si="41"/>
        <v>-528.76</v>
      </c>
      <c r="M71" s="1"/>
      <c r="N71" s="5">
        <f t="shared" si="42"/>
        <v>-1</v>
      </c>
      <c r="O71" s="13"/>
      <c r="P71" s="1">
        <f>SUM(OSRRefP22_14x_0)</f>
        <v>2291.85</v>
      </c>
      <c r="Q71" s="1"/>
      <c r="R71" s="5">
        <f t="shared" si="43"/>
        <v>0.88609185492195919</v>
      </c>
      <c r="S71" s="1"/>
      <c r="T71" s="1">
        <f>SUM(OSRRefT22_14x_0)</f>
        <v>14915.029999999999</v>
      </c>
      <c r="U71" s="1"/>
      <c r="V71" s="5">
        <f t="shared" si="44"/>
        <v>8.2495378235459878E-3</v>
      </c>
      <c r="W71" s="1"/>
      <c r="X71" s="1">
        <f t="shared" si="45"/>
        <v>-12623.179999999998</v>
      </c>
      <c r="Y71" s="1"/>
      <c r="Z71" s="5">
        <f t="shared" si="46"/>
        <v>-0.84633956485504891</v>
      </c>
    </row>
    <row r="72" spans="1:26" s="24" customFormat="1" hidden="1" outlineLevel="2" x14ac:dyDescent="0.25">
      <c r="A72" s="25"/>
      <c r="B72" s="11" t="str">
        <f>CONCATENATE("          ", "6371", " - ", "COMPUTER SOFTWARE MAINTENANCE")</f>
        <v xml:space="preserve">          6371 - COMPUTER SOFTWARE MAINTENANCE</v>
      </c>
      <c r="C72" s="11"/>
      <c r="D72" s="6"/>
      <c r="E72" s="2"/>
      <c r="F72" s="7">
        <f t="shared" si="39"/>
        <v>0</v>
      </c>
      <c r="G72" s="2"/>
      <c r="H72" s="6"/>
      <c r="I72" s="2"/>
      <c r="J72" s="7">
        <f t="shared" si="40"/>
        <v>0</v>
      </c>
      <c r="K72" s="2"/>
      <c r="L72" s="6">
        <f t="shared" si="41"/>
        <v>0</v>
      </c>
      <c r="M72" s="2"/>
      <c r="N72" s="7">
        <f t="shared" si="42"/>
        <v>0</v>
      </c>
      <c r="O72" s="11"/>
      <c r="P72" s="6"/>
      <c r="Q72" s="2"/>
      <c r="R72" s="7">
        <f t="shared" si="43"/>
        <v>0</v>
      </c>
      <c r="S72" s="2"/>
      <c r="T72" s="6">
        <v>1311.93</v>
      </c>
      <c r="U72" s="2"/>
      <c r="V72" s="7">
        <f t="shared" si="44"/>
        <v>7.2563153790804896E-4</v>
      </c>
      <c r="W72" s="2"/>
      <c r="X72" s="6">
        <f t="shared" si="45"/>
        <v>-1311.93</v>
      </c>
      <c r="Y72" s="2"/>
      <c r="Z72" s="7">
        <f t="shared" si="46"/>
        <v>-1</v>
      </c>
    </row>
    <row r="73" spans="1:26" s="24" customFormat="1" hidden="1" outlineLevel="2" x14ac:dyDescent="0.25">
      <c r="A73" s="25"/>
      <c r="B73" s="11" t="str">
        <f>CONCATENATE("          ", "6373", " - ", "MAINTENANCE CONTRACTS")</f>
        <v xml:space="preserve">          6373 - MAINTENANCE CONTRACTS</v>
      </c>
      <c r="C73" s="11"/>
      <c r="D73" s="6"/>
      <c r="E73" s="2"/>
      <c r="F73" s="7">
        <f t="shared" si="39"/>
        <v>0</v>
      </c>
      <c r="G73" s="2"/>
      <c r="H73" s="6"/>
      <c r="I73" s="2"/>
      <c r="J73" s="7">
        <f t="shared" si="40"/>
        <v>0</v>
      </c>
      <c r="K73" s="2"/>
      <c r="L73" s="6">
        <f t="shared" si="41"/>
        <v>0</v>
      </c>
      <c r="M73" s="2"/>
      <c r="N73" s="7">
        <f t="shared" si="42"/>
        <v>0</v>
      </c>
      <c r="O73" s="11"/>
      <c r="P73" s="6">
        <v>956.6</v>
      </c>
      <c r="Q73" s="2"/>
      <c r="R73" s="7">
        <f t="shared" si="43"/>
        <v>0.36984770749322432</v>
      </c>
      <c r="S73" s="2"/>
      <c r="T73" s="6">
        <v>582.62</v>
      </c>
      <c r="U73" s="2"/>
      <c r="V73" s="7">
        <f t="shared" si="44"/>
        <v>3.2224847866577295E-4</v>
      </c>
      <c r="W73" s="2"/>
      <c r="X73" s="6">
        <f t="shared" si="45"/>
        <v>373.98</v>
      </c>
      <c r="Y73" s="2"/>
      <c r="Z73" s="7">
        <f t="shared" si="46"/>
        <v>0.64189351549895302</v>
      </c>
    </row>
    <row r="74" spans="1:26" s="24" customFormat="1" hidden="1" outlineLevel="2" x14ac:dyDescent="0.25">
      <c r="A74" s="25"/>
      <c r="B74" s="11" t="str">
        <f>CONCATENATE("          ", "6375", " - ", "OUTSIDE REPAIRS &amp; MAINTENANCE")</f>
        <v xml:space="preserve">          6375 - OUTSIDE REPAIRS &amp; MAINTENANCE</v>
      </c>
      <c r="C74" s="11"/>
      <c r="D74" s="6"/>
      <c r="E74" s="2"/>
      <c r="F74" s="7">
        <f t="shared" si="39"/>
        <v>0</v>
      </c>
      <c r="G74" s="2"/>
      <c r="H74" s="6">
        <v>528.76</v>
      </c>
      <c r="I74" s="2"/>
      <c r="J74" s="7">
        <f t="shared" si="40"/>
        <v>2.9182482629231529E-3</v>
      </c>
      <c r="K74" s="2"/>
      <c r="L74" s="6">
        <f t="shared" si="41"/>
        <v>-528.76</v>
      </c>
      <c r="M74" s="2"/>
      <c r="N74" s="7">
        <f t="shared" si="42"/>
        <v>-1</v>
      </c>
      <c r="O74" s="11"/>
      <c r="P74" s="6">
        <v>1335.25</v>
      </c>
      <c r="Q74" s="2"/>
      <c r="R74" s="7">
        <f t="shared" si="43"/>
        <v>0.51624414742873481</v>
      </c>
      <c r="S74" s="2"/>
      <c r="T74" s="6">
        <v>13020.48</v>
      </c>
      <c r="U74" s="2"/>
      <c r="V74" s="7">
        <f t="shared" si="44"/>
        <v>7.2016578069721655E-3</v>
      </c>
      <c r="W74" s="2"/>
      <c r="X74" s="6">
        <f t="shared" si="45"/>
        <v>-11685.23</v>
      </c>
      <c r="Y74" s="2"/>
      <c r="Z74" s="7">
        <f t="shared" si="46"/>
        <v>-0.89745001720366679</v>
      </c>
    </row>
    <row r="75" spans="1:26" s="26" customFormat="1" outlineLevel="1" collapsed="1" x14ac:dyDescent="0.25">
      <c r="A75" s="27"/>
      <c r="B75" s="13" t="str">
        <f>CONCATENATE("     ","Royalty &amp; Commissions                             ")</f>
        <v xml:space="preserve">     Royalty &amp; Commissions                             </v>
      </c>
      <c r="C75" s="13"/>
      <c r="D75" s="1">
        <f>SUM(OSRRefD22_15x_0)</f>
        <v>0</v>
      </c>
      <c r="E75" s="1"/>
      <c r="F75" s="5">
        <f t="shared" ref="F75:F81" si="47">IF(D$12=0,0,D75/D$12)</f>
        <v>0</v>
      </c>
      <c r="G75" s="1"/>
      <c r="H75" s="1">
        <f>SUM(OSRRefH22_15x_0)</f>
        <v>0</v>
      </c>
      <c r="I75" s="1"/>
      <c r="J75" s="5">
        <f t="shared" ref="J75:J81" si="48">IF(H$12=0,0,H75/H$12)</f>
        <v>0</v>
      </c>
      <c r="K75" s="1"/>
      <c r="L75" s="1">
        <f t="shared" ref="L75:L81" si="49">+D75-H75</f>
        <v>0</v>
      </c>
      <c r="M75" s="1"/>
      <c r="N75" s="5">
        <f t="shared" ref="N75:N81" si="50">IF(H75=0,0,L75/H75)</f>
        <v>0</v>
      </c>
      <c r="O75" s="13"/>
      <c r="P75" s="1">
        <f>SUM(OSRRefP22_15x_0)</f>
        <v>185.7</v>
      </c>
      <c r="Q75" s="1"/>
      <c r="R75" s="5">
        <f t="shared" ref="R75:R81" si="51">IF(P$12=0,0,P75/P$12)</f>
        <v>7.1796695882805517E-2</v>
      </c>
      <c r="S75" s="1"/>
      <c r="T75" s="1">
        <f>SUM(OSRRefT22_15x_0)</f>
        <v>15334.79</v>
      </c>
      <c r="U75" s="1"/>
      <c r="V75" s="5">
        <f t="shared" ref="V75:V81" si="52">IF(T$12=0,0,T75/T$12)</f>
        <v>8.4817080569824389E-3</v>
      </c>
      <c r="W75" s="1"/>
      <c r="X75" s="1">
        <f t="shared" ref="X75:X81" si="53">+P75-T75</f>
        <v>-15149.09</v>
      </c>
      <c r="Y75" s="1"/>
      <c r="Z75" s="5">
        <f t="shared" ref="Z75:Z81" si="54">IF(T75=0,0,X75/T75)</f>
        <v>-0.98789028085810104</v>
      </c>
    </row>
    <row r="76" spans="1:26" s="24" customFormat="1" hidden="1" outlineLevel="2" x14ac:dyDescent="0.25">
      <c r="A76" s="25"/>
      <c r="B76" s="11" t="str">
        <f>CONCATENATE("          ", "6254", " - ", "ROYALTY &amp; COMMISSIONS")</f>
        <v xml:space="preserve">          6254 - ROYALTY &amp; COMMISSIONS</v>
      </c>
      <c r="C76" s="11"/>
      <c r="D76" s="6"/>
      <c r="E76" s="2"/>
      <c r="F76" s="7">
        <f t="shared" si="47"/>
        <v>0</v>
      </c>
      <c r="G76" s="2"/>
      <c r="H76" s="6"/>
      <c r="I76" s="2"/>
      <c r="J76" s="7">
        <f t="shared" si="48"/>
        <v>0</v>
      </c>
      <c r="K76" s="2"/>
      <c r="L76" s="6">
        <f t="shared" si="49"/>
        <v>0</v>
      </c>
      <c r="M76" s="2"/>
      <c r="N76" s="7">
        <f t="shared" si="50"/>
        <v>0</v>
      </c>
      <c r="O76" s="11"/>
      <c r="P76" s="6">
        <v>185.7</v>
      </c>
      <c r="Q76" s="2"/>
      <c r="R76" s="7">
        <f t="shared" si="51"/>
        <v>7.1796695882805517E-2</v>
      </c>
      <c r="S76" s="2"/>
      <c r="T76" s="6">
        <v>15334.79</v>
      </c>
      <c r="U76" s="2"/>
      <c r="V76" s="7">
        <f t="shared" si="52"/>
        <v>8.4817080569824389E-3</v>
      </c>
      <c r="W76" s="2"/>
      <c r="X76" s="6">
        <f t="shared" si="53"/>
        <v>-15149.09</v>
      </c>
      <c r="Y76" s="2"/>
      <c r="Z76" s="7">
        <f t="shared" si="54"/>
        <v>-0.98789028085810104</v>
      </c>
    </row>
    <row r="77" spans="1:26" s="26" customFormat="1" outlineLevel="1" collapsed="1" x14ac:dyDescent="0.25">
      <c r="A77" s="27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SUM(OSRRefD22_16x_0)</f>
        <v>1060.33</v>
      </c>
      <c r="E77" s="1"/>
      <c r="F77" s="5">
        <f t="shared" si="47"/>
        <v>0</v>
      </c>
      <c r="G77" s="1"/>
      <c r="H77" s="1">
        <f>SUM(OSRRefH22_16x_0)</f>
        <v>1792.51</v>
      </c>
      <c r="I77" s="1"/>
      <c r="J77" s="5">
        <f t="shared" si="48"/>
        <v>9.8929366702707848E-3</v>
      </c>
      <c r="K77" s="1"/>
      <c r="L77" s="1">
        <f t="shared" si="49"/>
        <v>-732.18000000000006</v>
      </c>
      <c r="M77" s="1"/>
      <c r="N77" s="5">
        <f t="shared" si="50"/>
        <v>-0.40846634049461372</v>
      </c>
      <c r="O77" s="13"/>
      <c r="P77" s="1">
        <f>SUM(OSRRefP22_16x_0)</f>
        <v>1414.2199999999998</v>
      </c>
      <c r="Q77" s="1"/>
      <c r="R77" s="5">
        <f t="shared" si="51"/>
        <v>0.5467761079772816</v>
      </c>
      <c r="S77" s="1"/>
      <c r="T77" s="1">
        <f>SUM(OSRRefT22_16x_0)</f>
        <v>12588.86</v>
      </c>
      <c r="U77" s="1"/>
      <c r="V77" s="5">
        <f t="shared" si="52"/>
        <v>6.9629277799189912E-3</v>
      </c>
      <c r="W77" s="1"/>
      <c r="X77" s="1">
        <f t="shared" si="53"/>
        <v>-11174.640000000001</v>
      </c>
      <c r="Y77" s="1"/>
      <c r="Z77" s="5">
        <f t="shared" si="54"/>
        <v>-0.88766099551508248</v>
      </c>
    </row>
    <row r="78" spans="1:26" s="24" customFormat="1" hidden="1" outlineLevel="2" x14ac:dyDescent="0.25">
      <c r="A78" s="25"/>
      <c r="B78" s="11" t="str">
        <f>CONCATENATE("          ", "6282", " - ", "JANITORIAL/EXTERMINATOR EXPENS")</f>
        <v xml:space="preserve">          6282 - JANITORIAL/EXTERMINATOR EXPENS</v>
      </c>
      <c r="C78" s="11"/>
      <c r="D78" s="6">
        <v>771.33</v>
      </c>
      <c r="E78" s="2"/>
      <c r="F78" s="7">
        <f t="shared" si="47"/>
        <v>0</v>
      </c>
      <c r="G78" s="2"/>
      <c r="H78" s="6">
        <v>485.74</v>
      </c>
      <c r="I78" s="2"/>
      <c r="J78" s="7">
        <f t="shared" si="48"/>
        <v>2.680819107406559E-3</v>
      </c>
      <c r="K78" s="2"/>
      <c r="L78" s="6">
        <f t="shared" si="49"/>
        <v>285.59000000000003</v>
      </c>
      <c r="M78" s="2"/>
      <c r="N78" s="7">
        <f t="shared" si="50"/>
        <v>0.58794828509078934</v>
      </c>
      <c r="O78" s="11"/>
      <c r="P78" s="6">
        <v>1351.82</v>
      </c>
      <c r="Q78" s="2"/>
      <c r="R78" s="7">
        <f t="shared" si="51"/>
        <v>0.52265056234945695</v>
      </c>
      <c r="S78" s="2"/>
      <c r="T78" s="6">
        <v>4637.37</v>
      </c>
      <c r="U78" s="2"/>
      <c r="V78" s="7">
        <f t="shared" si="52"/>
        <v>2.5649401453954473E-3</v>
      </c>
      <c r="W78" s="2"/>
      <c r="X78" s="6">
        <f t="shared" si="53"/>
        <v>-3285.55</v>
      </c>
      <c r="Y78" s="2"/>
      <c r="Z78" s="7">
        <f t="shared" si="54"/>
        <v>-0.70849425428637358</v>
      </c>
    </row>
    <row r="79" spans="1:26" s="24" customFormat="1" hidden="1" outlineLevel="2" x14ac:dyDescent="0.25">
      <c r="A79" s="25"/>
      <c r="B79" s="11" t="str">
        <f>CONCATENATE("          ", "6284", " - ", "TRASH REMOVAL EXPENSE")</f>
        <v xml:space="preserve">          6284 - TRASH REMOVAL EXPENSE</v>
      </c>
      <c r="C79" s="11"/>
      <c r="D79" s="6">
        <v>289</v>
      </c>
      <c r="E79" s="2"/>
      <c r="F79" s="7">
        <f t="shared" si="47"/>
        <v>0</v>
      </c>
      <c r="G79" s="2"/>
      <c r="H79" s="6">
        <v>289</v>
      </c>
      <c r="I79" s="2"/>
      <c r="J79" s="7">
        <f t="shared" si="48"/>
        <v>1.5950029275754428E-3</v>
      </c>
      <c r="K79" s="2"/>
      <c r="L79" s="6">
        <f t="shared" si="49"/>
        <v>0</v>
      </c>
      <c r="M79" s="2"/>
      <c r="N79" s="7">
        <f t="shared" si="50"/>
        <v>0</v>
      </c>
      <c r="O79" s="11"/>
      <c r="P79" s="6">
        <v>867</v>
      </c>
      <c r="Q79" s="2"/>
      <c r="R79" s="7">
        <f t="shared" si="51"/>
        <v>0.33520589838660408</v>
      </c>
      <c r="S79" s="2"/>
      <c r="T79" s="6">
        <v>2022</v>
      </c>
      <c r="U79" s="2"/>
      <c r="V79" s="7">
        <f t="shared" si="52"/>
        <v>1.1183729083488257E-3</v>
      </c>
      <c r="W79" s="2"/>
      <c r="X79" s="6">
        <f t="shared" si="53"/>
        <v>-1155</v>
      </c>
      <c r="Y79" s="2"/>
      <c r="Z79" s="7">
        <f t="shared" si="54"/>
        <v>-0.57121661721068251</v>
      </c>
    </row>
    <row r="80" spans="1:26" s="24" customFormat="1" hidden="1" outlineLevel="2" x14ac:dyDescent="0.25">
      <c r="A80" s="25"/>
      <c r="B80" s="11" t="str">
        <f>CONCATENATE("          ", "6285", " - ", "JANITORIAL SERVICES")</f>
        <v xml:space="preserve">          6285 - JANITORIAL SERVICES</v>
      </c>
      <c r="C80" s="11"/>
      <c r="D80" s="6"/>
      <c r="E80" s="2"/>
      <c r="F80" s="7">
        <f t="shared" si="47"/>
        <v>0</v>
      </c>
      <c r="G80" s="2"/>
      <c r="H80" s="6">
        <v>134.1</v>
      </c>
      <c r="I80" s="2"/>
      <c r="J80" s="7">
        <f t="shared" si="48"/>
        <v>7.4010343456009297E-4</v>
      </c>
      <c r="K80" s="2"/>
      <c r="L80" s="6">
        <f t="shared" si="49"/>
        <v>-134.1</v>
      </c>
      <c r="M80" s="2"/>
      <c r="N80" s="7">
        <f t="shared" si="50"/>
        <v>-1</v>
      </c>
      <c r="O80" s="11"/>
      <c r="P80" s="6">
        <v>-804.6</v>
      </c>
      <c r="Q80" s="2"/>
      <c r="R80" s="7">
        <f t="shared" si="51"/>
        <v>-0.31108035275877932</v>
      </c>
      <c r="S80" s="2"/>
      <c r="T80" s="6">
        <v>785.48</v>
      </c>
      <c r="U80" s="2"/>
      <c r="V80" s="7">
        <f t="shared" si="52"/>
        <v>4.3445081703750532E-4</v>
      </c>
      <c r="W80" s="2"/>
      <c r="X80" s="6">
        <f t="shared" si="53"/>
        <v>-1590.08</v>
      </c>
      <c r="Y80" s="2"/>
      <c r="Z80" s="7">
        <f t="shared" si="54"/>
        <v>-2.0243418037378418</v>
      </c>
    </row>
    <row r="81" spans="1:26" s="24" customFormat="1" hidden="1" outlineLevel="2" x14ac:dyDescent="0.25">
      <c r="A81" s="25"/>
      <c r="B81" s="11" t="str">
        <f>CONCATENATE("          ", "6286", " - ", "LAUNDRY EXPENSE")</f>
        <v xml:space="preserve">          6286 - LAUNDRY EXPENSE</v>
      </c>
      <c r="C81" s="11"/>
      <c r="D81" s="6"/>
      <c r="E81" s="2"/>
      <c r="F81" s="7">
        <f t="shared" si="47"/>
        <v>0</v>
      </c>
      <c r="G81" s="2"/>
      <c r="H81" s="6">
        <v>883.67</v>
      </c>
      <c r="I81" s="2"/>
      <c r="J81" s="7">
        <f t="shared" si="48"/>
        <v>4.8770112007286903E-3</v>
      </c>
      <c r="K81" s="2"/>
      <c r="L81" s="6">
        <f t="shared" si="49"/>
        <v>-883.67</v>
      </c>
      <c r="M81" s="2"/>
      <c r="N81" s="7">
        <f t="shared" si="50"/>
        <v>-1</v>
      </c>
      <c r="O81" s="11"/>
      <c r="P81" s="6"/>
      <c r="Q81" s="2"/>
      <c r="R81" s="7">
        <f t="shared" si="51"/>
        <v>0</v>
      </c>
      <c r="S81" s="2"/>
      <c r="T81" s="6">
        <v>5144.01</v>
      </c>
      <c r="U81" s="2"/>
      <c r="V81" s="7">
        <f t="shared" si="52"/>
        <v>2.8451639091372125E-3</v>
      </c>
      <c r="W81" s="2"/>
      <c r="X81" s="6">
        <f t="shared" si="53"/>
        <v>-5144.01</v>
      </c>
      <c r="Y81" s="2"/>
      <c r="Z81" s="7">
        <f t="shared" si="54"/>
        <v>-1</v>
      </c>
    </row>
    <row r="82" spans="1:26" s="26" customFormat="1" outlineLevel="1" collapsed="1" x14ac:dyDescent="0.25">
      <c r="A82" s="27"/>
      <c r="B82" s="13" t="str">
        <f>CONCATENATE("     ","Subscriptions &amp; Dues                              ")</f>
        <v xml:space="preserve">     Subscriptions &amp; Dues                              </v>
      </c>
      <c r="C82" s="13"/>
      <c r="D82" s="1">
        <f>SUM(OSRRefD22_17x_0)</f>
        <v>0</v>
      </c>
      <c r="E82" s="1"/>
      <c r="F82" s="5">
        <f t="shared" ref="F82:F92" si="55">IF(D$12=0,0,D82/D$12)</f>
        <v>0</v>
      </c>
      <c r="G82" s="1"/>
      <c r="H82" s="1">
        <f>SUM(OSRRefH22_17x_0)</f>
        <v>176.4</v>
      </c>
      <c r="I82" s="1"/>
      <c r="J82" s="5">
        <f t="shared" ref="J82:J92" si="56">IF(H$12=0,0,H82/H$12)</f>
        <v>9.7355888036092773E-4</v>
      </c>
      <c r="K82" s="1"/>
      <c r="L82" s="1">
        <f t="shared" ref="L82:L92" si="57">+D82-H82</f>
        <v>-176.4</v>
      </c>
      <c r="M82" s="1"/>
      <c r="N82" s="5">
        <f t="shared" ref="N82:N92" si="58">IF(H82=0,0,L82/H82)</f>
        <v>-1</v>
      </c>
      <c r="O82" s="13"/>
      <c r="P82" s="1">
        <f>SUM(OSRRefP22_17x_0)</f>
        <v>0</v>
      </c>
      <c r="Q82" s="1"/>
      <c r="R82" s="5">
        <f t="shared" ref="R82:R92" si="59">IF(P$12=0,0,P82/P$12)</f>
        <v>0</v>
      </c>
      <c r="S82" s="1"/>
      <c r="T82" s="1">
        <f>SUM(OSRRefT22_17x_0)</f>
        <v>1234.8</v>
      </c>
      <c r="U82" s="1"/>
      <c r="V82" s="5">
        <f t="shared" ref="V82:V92" si="60">IF(T$12=0,0,T82/T$12)</f>
        <v>6.829707553061969E-4</v>
      </c>
      <c r="W82" s="1"/>
      <c r="X82" s="1">
        <f t="shared" ref="X82:X92" si="61">+P82-T82</f>
        <v>-1234.8</v>
      </c>
      <c r="Y82" s="1"/>
      <c r="Z82" s="5">
        <f t="shared" ref="Z82:Z92" si="62">IF(T82=0,0,X82/T82)</f>
        <v>-1</v>
      </c>
    </row>
    <row r="83" spans="1:26" s="24" customFormat="1" hidden="1" outlineLevel="2" x14ac:dyDescent="0.25">
      <c r="A83" s="25"/>
      <c r="B83" s="11" t="str">
        <f>CONCATENATE("          ", "6275", " - ", "SUBSCRIPTIONS")</f>
        <v xml:space="preserve">          6275 - SUBSCRIPTIONS</v>
      </c>
      <c r="C83" s="11"/>
      <c r="D83" s="6"/>
      <c r="E83" s="2"/>
      <c r="F83" s="7">
        <f t="shared" si="55"/>
        <v>0</v>
      </c>
      <c r="G83" s="2"/>
      <c r="H83" s="6">
        <v>176.4</v>
      </c>
      <c r="I83" s="2"/>
      <c r="J83" s="7">
        <f t="shared" si="56"/>
        <v>9.7355888036092773E-4</v>
      </c>
      <c r="K83" s="2"/>
      <c r="L83" s="6">
        <f t="shared" si="57"/>
        <v>-176.4</v>
      </c>
      <c r="M83" s="2"/>
      <c r="N83" s="7">
        <f t="shared" si="58"/>
        <v>-1</v>
      </c>
      <c r="O83" s="11"/>
      <c r="P83" s="6"/>
      <c r="Q83" s="2"/>
      <c r="R83" s="7">
        <f t="shared" si="59"/>
        <v>0</v>
      </c>
      <c r="S83" s="2"/>
      <c r="T83" s="6">
        <v>1234.8</v>
      </c>
      <c r="U83" s="2"/>
      <c r="V83" s="7">
        <f t="shared" si="60"/>
        <v>6.829707553061969E-4</v>
      </c>
      <c r="W83" s="2"/>
      <c r="X83" s="6">
        <f t="shared" si="61"/>
        <v>-1234.8</v>
      </c>
      <c r="Y83" s="2"/>
      <c r="Z83" s="7">
        <f t="shared" si="62"/>
        <v>-1</v>
      </c>
    </row>
    <row r="84" spans="1:26" s="26" customFormat="1" outlineLevel="1" collapsed="1" x14ac:dyDescent="0.25">
      <c r="A84" s="27"/>
      <c r="B84" s="13" t="str">
        <f>CONCATENATE("     ","Supplies                                          ")</f>
        <v xml:space="preserve">     Supplies                                          </v>
      </c>
      <c r="C84" s="13"/>
      <c r="D84" s="1">
        <f>SUM(OSRRefD22_18x_0)</f>
        <v>0</v>
      </c>
      <c r="E84" s="1"/>
      <c r="F84" s="5">
        <f t="shared" si="55"/>
        <v>0</v>
      </c>
      <c r="G84" s="1"/>
      <c r="H84" s="1">
        <f>SUM(OSRRefH22_18x_0)</f>
        <v>3378.96</v>
      </c>
      <c r="I84" s="1"/>
      <c r="J84" s="5">
        <f t="shared" si="56"/>
        <v>1.8648619696056464E-2</v>
      </c>
      <c r="K84" s="1"/>
      <c r="L84" s="1">
        <f t="shared" si="57"/>
        <v>-3378.96</v>
      </c>
      <c r="M84" s="1"/>
      <c r="N84" s="5">
        <f t="shared" si="58"/>
        <v>-1</v>
      </c>
      <c r="O84" s="13"/>
      <c r="P84" s="1">
        <f>SUM(OSRRefP22_18x_0)</f>
        <v>1094.0899999999999</v>
      </c>
      <c r="Q84" s="1"/>
      <c r="R84" s="5">
        <f t="shared" si="59"/>
        <v>0.42300509961453248</v>
      </c>
      <c r="S84" s="1"/>
      <c r="T84" s="1">
        <f>SUM(OSRRefT22_18x_0)</f>
        <v>41258.239999999998</v>
      </c>
      <c r="U84" s="1"/>
      <c r="V84" s="5">
        <f t="shared" si="60"/>
        <v>2.2820028616297654E-2</v>
      </c>
      <c r="W84" s="1"/>
      <c r="X84" s="1">
        <f t="shared" si="61"/>
        <v>-40164.15</v>
      </c>
      <c r="Y84" s="1"/>
      <c r="Z84" s="5">
        <f t="shared" si="62"/>
        <v>-0.97348190325132633</v>
      </c>
    </row>
    <row r="85" spans="1:26" s="24" customFormat="1" hidden="1" outlineLevel="2" x14ac:dyDescent="0.25">
      <c r="A85" s="25"/>
      <c r="B85" s="11" t="str">
        <f>CONCATENATE("          ", "6234", " - ", "EXPENDABLE SUPPLIES &amp; EQUIPMEN")</f>
        <v xml:space="preserve">          6234 - EXPENDABLE SUPPLIES &amp; EQUIPMEN</v>
      </c>
      <c r="C85" s="11"/>
      <c r="D85" s="6"/>
      <c r="E85" s="2"/>
      <c r="F85" s="7">
        <f t="shared" si="55"/>
        <v>0</v>
      </c>
      <c r="G85" s="2"/>
      <c r="H85" s="6"/>
      <c r="I85" s="2"/>
      <c r="J85" s="7">
        <f t="shared" si="56"/>
        <v>0</v>
      </c>
      <c r="K85" s="2"/>
      <c r="L85" s="6">
        <f t="shared" si="57"/>
        <v>0</v>
      </c>
      <c r="M85" s="2"/>
      <c r="N85" s="7">
        <f t="shared" si="58"/>
        <v>0</v>
      </c>
      <c r="O85" s="11"/>
      <c r="P85" s="6">
        <v>316.67</v>
      </c>
      <c r="Q85" s="2"/>
      <c r="R85" s="7">
        <f t="shared" si="59"/>
        <v>0.12243327778787304</v>
      </c>
      <c r="S85" s="2"/>
      <c r="T85" s="6">
        <v>1092.46</v>
      </c>
      <c r="U85" s="2"/>
      <c r="V85" s="7">
        <f t="shared" si="60"/>
        <v>6.0424216985893091E-4</v>
      </c>
      <c r="W85" s="2"/>
      <c r="X85" s="6">
        <f t="shared" si="61"/>
        <v>-775.79</v>
      </c>
      <c r="Y85" s="2"/>
      <c r="Z85" s="7">
        <f t="shared" si="62"/>
        <v>-0.71013126338721777</v>
      </c>
    </row>
    <row r="86" spans="1:26" s="24" customFormat="1" hidden="1" outlineLevel="2" x14ac:dyDescent="0.25">
      <c r="A86" s="25"/>
      <c r="B86" s="11" t="str">
        <f>CONCATENATE("          ", "6235", " - ", "COVID-19 EXPENSES")</f>
        <v xml:space="preserve">          6235 - COVID-19 EXPENSES</v>
      </c>
      <c r="C86" s="11"/>
      <c r="D86" s="6"/>
      <c r="E86" s="2"/>
      <c r="F86" s="7">
        <f t="shared" si="55"/>
        <v>0</v>
      </c>
      <c r="G86" s="2"/>
      <c r="H86" s="6"/>
      <c r="I86" s="2"/>
      <c r="J86" s="7">
        <f t="shared" si="56"/>
        <v>0</v>
      </c>
      <c r="K86" s="2"/>
      <c r="L86" s="6">
        <f t="shared" si="57"/>
        <v>0</v>
      </c>
      <c r="M86" s="2"/>
      <c r="N86" s="7">
        <f t="shared" si="58"/>
        <v>0</v>
      </c>
      <c r="O86" s="11"/>
      <c r="P86" s="6">
        <v>207.27</v>
      </c>
      <c r="Q86" s="2"/>
      <c r="R86" s="7">
        <f t="shared" si="59"/>
        <v>8.0136247472423802E-2</v>
      </c>
      <c r="S86" s="2"/>
      <c r="T86" s="6"/>
      <c r="U86" s="2"/>
      <c r="V86" s="7">
        <f t="shared" si="60"/>
        <v>0</v>
      </c>
      <c r="W86" s="2"/>
      <c r="X86" s="6">
        <f t="shared" si="61"/>
        <v>207.27</v>
      </c>
      <c r="Y86" s="2"/>
      <c r="Z86" s="7">
        <f t="shared" si="62"/>
        <v>0</v>
      </c>
    </row>
    <row r="87" spans="1:26" s="24" customFormat="1" hidden="1" outlineLevel="2" x14ac:dyDescent="0.25">
      <c r="A87" s="25"/>
      <c r="B87" s="11" t="str">
        <f>CONCATENATE("          ", "6237", " - ", "JANITORIAL SUPPLIES")</f>
        <v xml:space="preserve">          6237 - JANITORIAL SUPPLIES</v>
      </c>
      <c r="C87" s="11"/>
      <c r="D87" s="6"/>
      <c r="E87" s="2"/>
      <c r="F87" s="7">
        <f t="shared" si="55"/>
        <v>0</v>
      </c>
      <c r="G87" s="2"/>
      <c r="H87" s="6">
        <v>361.31</v>
      </c>
      <c r="I87" s="2"/>
      <c r="J87" s="7">
        <f t="shared" si="56"/>
        <v>1.9940848019456168E-3</v>
      </c>
      <c r="K87" s="2"/>
      <c r="L87" s="6">
        <f t="shared" si="57"/>
        <v>-361.31</v>
      </c>
      <c r="M87" s="2"/>
      <c r="N87" s="7">
        <f t="shared" si="58"/>
        <v>-1</v>
      </c>
      <c r="O87" s="11"/>
      <c r="P87" s="6">
        <v>317.57</v>
      </c>
      <c r="Q87" s="2"/>
      <c r="R87" s="7">
        <f t="shared" si="59"/>
        <v>0.12278124238827436</v>
      </c>
      <c r="S87" s="2"/>
      <c r="T87" s="6">
        <v>3365.74</v>
      </c>
      <c r="U87" s="2"/>
      <c r="V87" s="7">
        <f t="shared" si="60"/>
        <v>1.8615986313283762E-3</v>
      </c>
      <c r="W87" s="2"/>
      <c r="X87" s="6">
        <f t="shared" si="61"/>
        <v>-3048.1699999999996</v>
      </c>
      <c r="Y87" s="2"/>
      <c r="Z87" s="7">
        <f t="shared" si="62"/>
        <v>-0.90564630660716505</v>
      </c>
    </row>
    <row r="88" spans="1:26" s="24" customFormat="1" hidden="1" outlineLevel="2" x14ac:dyDescent="0.25">
      <c r="A88" s="25"/>
      <c r="B88" s="11" t="str">
        <f>CONCATENATE("          ", "6239", " - ", "KITCHEN SUPPLIES")</f>
        <v xml:space="preserve">          6239 - KITCHEN SUPPLIES</v>
      </c>
      <c r="C88" s="11"/>
      <c r="D88" s="6"/>
      <c r="E88" s="2"/>
      <c r="F88" s="7">
        <f t="shared" si="55"/>
        <v>0</v>
      </c>
      <c r="G88" s="2"/>
      <c r="H88" s="6">
        <v>63.92</v>
      </c>
      <c r="I88" s="2"/>
      <c r="J88" s="7">
        <f t="shared" si="56"/>
        <v>3.5277711809903915E-4</v>
      </c>
      <c r="K88" s="2"/>
      <c r="L88" s="6">
        <f t="shared" si="57"/>
        <v>-63.92</v>
      </c>
      <c r="M88" s="2"/>
      <c r="N88" s="7">
        <f t="shared" si="58"/>
        <v>-1</v>
      </c>
      <c r="O88" s="11"/>
      <c r="P88" s="6"/>
      <c r="Q88" s="2"/>
      <c r="R88" s="7">
        <f t="shared" si="59"/>
        <v>0</v>
      </c>
      <c r="S88" s="2"/>
      <c r="T88" s="6">
        <v>63.92</v>
      </c>
      <c r="U88" s="2"/>
      <c r="V88" s="7">
        <f t="shared" si="60"/>
        <v>3.5354300841571192E-5</v>
      </c>
      <c r="W88" s="2"/>
      <c r="X88" s="6">
        <f t="shared" si="61"/>
        <v>-63.92</v>
      </c>
      <c r="Y88" s="2"/>
      <c r="Z88" s="7">
        <f t="shared" si="62"/>
        <v>-1</v>
      </c>
    </row>
    <row r="89" spans="1:26" s="24" customFormat="1" hidden="1" outlineLevel="2" x14ac:dyDescent="0.25">
      <c r="A89" s="25"/>
      <c r="B89" s="11" t="str">
        <f>CONCATENATE("          ", "6241", " - ", "OFFICE EXPENSE")</f>
        <v xml:space="preserve">          6241 - OFFICE EXPENSE</v>
      </c>
      <c r="C89" s="11"/>
      <c r="D89" s="6"/>
      <c r="E89" s="2"/>
      <c r="F89" s="7">
        <f t="shared" si="55"/>
        <v>0</v>
      </c>
      <c r="G89" s="2"/>
      <c r="H89" s="6">
        <v>283.3</v>
      </c>
      <c r="I89" s="2"/>
      <c r="J89" s="7">
        <f t="shared" si="56"/>
        <v>1.563544392325685E-3</v>
      </c>
      <c r="K89" s="2"/>
      <c r="L89" s="6">
        <f t="shared" si="57"/>
        <v>-283.3</v>
      </c>
      <c r="M89" s="2"/>
      <c r="N89" s="7">
        <f t="shared" si="58"/>
        <v>-1</v>
      </c>
      <c r="O89" s="11"/>
      <c r="P89" s="6">
        <v>131.30000000000001</v>
      </c>
      <c r="Q89" s="2"/>
      <c r="R89" s="7">
        <f t="shared" si="59"/>
        <v>5.0764168925214674E-2</v>
      </c>
      <c r="S89" s="2"/>
      <c r="T89" s="6">
        <v>2160.1799999999998</v>
      </c>
      <c r="U89" s="2"/>
      <c r="V89" s="7">
        <f t="shared" si="60"/>
        <v>1.1948005881092811E-3</v>
      </c>
      <c r="W89" s="2"/>
      <c r="X89" s="6">
        <f t="shared" si="61"/>
        <v>-2028.8799999999999</v>
      </c>
      <c r="Y89" s="2"/>
      <c r="Z89" s="7">
        <f t="shared" si="62"/>
        <v>-0.93921802812728572</v>
      </c>
    </row>
    <row r="90" spans="1:26" s="24" customFormat="1" hidden="1" outlineLevel="2" x14ac:dyDescent="0.25">
      <c r="A90" s="25"/>
      <c r="B90" s="11" t="str">
        <f>CONCATENATE("          ", "6243", " - ", "PAPER SUPPLIES")</f>
        <v xml:space="preserve">          6243 - PAPER SUPPLIES</v>
      </c>
      <c r="C90" s="11"/>
      <c r="D90" s="6"/>
      <c r="E90" s="2"/>
      <c r="F90" s="7">
        <f t="shared" si="55"/>
        <v>0</v>
      </c>
      <c r="G90" s="2"/>
      <c r="H90" s="6">
        <v>578.54</v>
      </c>
      <c r="I90" s="2"/>
      <c r="J90" s="7">
        <f t="shared" si="56"/>
        <v>3.1929861374377045E-3</v>
      </c>
      <c r="K90" s="2"/>
      <c r="L90" s="6">
        <f t="shared" si="57"/>
        <v>-578.54</v>
      </c>
      <c r="M90" s="2"/>
      <c r="N90" s="7">
        <f t="shared" si="58"/>
        <v>-1</v>
      </c>
      <c r="O90" s="11"/>
      <c r="P90" s="6"/>
      <c r="Q90" s="2"/>
      <c r="R90" s="7">
        <f t="shared" si="59"/>
        <v>0</v>
      </c>
      <c r="S90" s="2"/>
      <c r="T90" s="6">
        <v>3931.14</v>
      </c>
      <c r="U90" s="2"/>
      <c r="V90" s="7">
        <f t="shared" si="60"/>
        <v>2.1743226878963417E-3</v>
      </c>
      <c r="W90" s="2"/>
      <c r="X90" s="6">
        <f t="shared" si="61"/>
        <v>-3931.14</v>
      </c>
      <c r="Y90" s="2"/>
      <c r="Z90" s="7">
        <f t="shared" si="62"/>
        <v>-1</v>
      </c>
    </row>
    <row r="91" spans="1:26" s="24" customFormat="1" hidden="1" outlineLevel="2" x14ac:dyDescent="0.25">
      <c r="A91" s="25"/>
      <c r="B91" s="11" t="str">
        <f>CONCATENATE("          ", "6245", " - ", "PRINTING")</f>
        <v xml:space="preserve">          6245 - PRINTING</v>
      </c>
      <c r="C91" s="11"/>
      <c r="D91" s="6"/>
      <c r="E91" s="2"/>
      <c r="F91" s="7">
        <f t="shared" si="55"/>
        <v>0</v>
      </c>
      <c r="G91" s="2"/>
      <c r="H91" s="6"/>
      <c r="I91" s="2"/>
      <c r="J91" s="7">
        <f t="shared" si="56"/>
        <v>0</v>
      </c>
      <c r="K91" s="2"/>
      <c r="L91" s="6">
        <f t="shared" si="57"/>
        <v>0</v>
      </c>
      <c r="M91" s="2"/>
      <c r="N91" s="7">
        <f t="shared" si="58"/>
        <v>0</v>
      </c>
      <c r="O91" s="11"/>
      <c r="P91" s="6"/>
      <c r="Q91" s="2"/>
      <c r="R91" s="7">
        <f t="shared" si="59"/>
        <v>0</v>
      </c>
      <c r="S91" s="2"/>
      <c r="T91" s="6">
        <v>81.739999999999995</v>
      </c>
      <c r="U91" s="2"/>
      <c r="V91" s="7">
        <f t="shared" si="60"/>
        <v>4.5210584336514846E-5</v>
      </c>
      <c r="W91" s="2"/>
      <c r="X91" s="6">
        <f t="shared" si="61"/>
        <v>-81.739999999999995</v>
      </c>
      <c r="Y91" s="2"/>
      <c r="Z91" s="7">
        <f t="shared" si="62"/>
        <v>-1</v>
      </c>
    </row>
    <row r="92" spans="1:26" s="24" customFormat="1" hidden="1" outlineLevel="2" x14ac:dyDescent="0.25">
      <c r="A92" s="25"/>
      <c r="B92" s="11" t="str">
        <f>CONCATENATE("          ", "6247", " - ", "STORE SUPPLIES")</f>
        <v xml:space="preserve">          6247 - STORE SUPPLIES</v>
      </c>
      <c r="C92" s="11"/>
      <c r="D92" s="6"/>
      <c r="E92" s="2"/>
      <c r="F92" s="7">
        <f t="shared" si="55"/>
        <v>0</v>
      </c>
      <c r="G92" s="2"/>
      <c r="H92" s="6">
        <v>2091.89</v>
      </c>
      <c r="I92" s="2"/>
      <c r="J92" s="7">
        <f t="shared" si="56"/>
        <v>1.1545227246248417E-2</v>
      </c>
      <c r="K92" s="2"/>
      <c r="L92" s="6">
        <f t="shared" si="57"/>
        <v>-2091.89</v>
      </c>
      <c r="M92" s="2"/>
      <c r="N92" s="7">
        <f t="shared" si="58"/>
        <v>-1</v>
      </c>
      <c r="O92" s="11"/>
      <c r="P92" s="6">
        <v>121.28</v>
      </c>
      <c r="Q92" s="2"/>
      <c r="R92" s="7">
        <f t="shared" si="59"/>
        <v>4.6890163040746648E-2</v>
      </c>
      <c r="S92" s="2"/>
      <c r="T92" s="6">
        <v>30563.059999999998</v>
      </c>
      <c r="U92" s="2"/>
      <c r="V92" s="7">
        <f t="shared" si="60"/>
        <v>1.6904499653926638E-2</v>
      </c>
      <c r="W92" s="2"/>
      <c r="X92" s="6">
        <f t="shared" si="61"/>
        <v>-30441.78</v>
      </c>
      <c r="Y92" s="2"/>
      <c r="Z92" s="7">
        <f t="shared" si="62"/>
        <v>-0.9960318109508669</v>
      </c>
    </row>
    <row r="93" spans="1:26" s="26" customFormat="1" outlineLevel="1" collapsed="1" x14ac:dyDescent="0.25">
      <c r="A93" s="27"/>
      <c r="B93" s="13" t="str">
        <f>CONCATENATE("     ","Telephone/Data Lines                              ")</f>
        <v xml:space="preserve">     Telephone/Data Lines                              </v>
      </c>
      <c r="C93" s="13"/>
      <c r="D93" s="1">
        <f>SUM(OSRRefD22_19x_0)</f>
        <v>325.5</v>
      </c>
      <c r="E93" s="1"/>
      <c r="F93" s="5">
        <f t="shared" ref="F93:F98" si="63">IF(D$12=0,0,D93/D$12)</f>
        <v>0</v>
      </c>
      <c r="G93" s="1"/>
      <c r="H93" s="1">
        <f>SUM(OSRRefH22_19x_0)</f>
        <v>443.26</v>
      </c>
      <c r="I93" s="1"/>
      <c r="J93" s="5">
        <f t="shared" ref="J93:J98" si="64">IF(H$12=0,0,H93/H$12)</f>
        <v>2.4463702341767845E-3</v>
      </c>
      <c r="K93" s="1"/>
      <c r="L93" s="1">
        <f t="shared" ref="L93:L98" si="65">+D93-H93</f>
        <v>-117.75999999999999</v>
      </c>
      <c r="M93" s="1"/>
      <c r="N93" s="5">
        <f t="shared" ref="N93:N98" si="66">IF(H93=0,0,L93/H93)</f>
        <v>-0.26566800523394846</v>
      </c>
      <c r="O93" s="13"/>
      <c r="P93" s="1">
        <f>SUM(OSRRefP22_19x_0)</f>
        <v>2985.79</v>
      </c>
      <c r="Q93" s="1"/>
      <c r="R93" s="5">
        <f t="shared" ref="R93:R98" si="67">IF(P$12=0,0,P93/P$12)</f>
        <v>1.1543880269247273</v>
      </c>
      <c r="S93" s="1"/>
      <c r="T93" s="1">
        <f>SUM(OSRRefT22_19x_0)</f>
        <v>2489.52</v>
      </c>
      <c r="U93" s="1"/>
      <c r="V93" s="5">
        <f t="shared" ref="V93:V98" si="68">IF(T$12=0,0,T93/T$12)</f>
        <v>1.3769593089973139E-3</v>
      </c>
      <c r="W93" s="1"/>
      <c r="X93" s="1">
        <f t="shared" ref="X93:X98" si="69">+P93-T93</f>
        <v>496.27</v>
      </c>
      <c r="Y93" s="1"/>
      <c r="Z93" s="5">
        <f t="shared" ref="Z93:Z98" si="70">IF(T93=0,0,X93/T93)</f>
        <v>0.19934364857482567</v>
      </c>
    </row>
    <row r="94" spans="1:26" s="24" customFormat="1" hidden="1" outlineLevel="2" x14ac:dyDescent="0.25">
      <c r="A94" s="25"/>
      <c r="B94" s="11" t="str">
        <f>CONCATENATE("          ", "6309", " - ", "TELEPHONE")</f>
        <v xml:space="preserve">          6309 - TELEPHONE</v>
      </c>
      <c r="C94" s="11"/>
      <c r="D94" s="6">
        <v>325.5</v>
      </c>
      <c r="E94" s="2"/>
      <c r="F94" s="7">
        <f t="shared" si="63"/>
        <v>0</v>
      </c>
      <c r="G94" s="2"/>
      <c r="H94" s="6">
        <v>443.26</v>
      </c>
      <c r="I94" s="2"/>
      <c r="J94" s="7">
        <f t="shared" si="64"/>
        <v>2.4463702341767845E-3</v>
      </c>
      <c r="K94" s="2"/>
      <c r="L94" s="6">
        <f t="shared" si="65"/>
        <v>-117.75999999999999</v>
      </c>
      <c r="M94" s="2"/>
      <c r="N94" s="7">
        <f t="shared" si="66"/>
        <v>-0.26566800523394846</v>
      </c>
      <c r="O94" s="11"/>
      <c r="P94" s="6">
        <v>2985.79</v>
      </c>
      <c r="Q94" s="2"/>
      <c r="R94" s="7">
        <f t="shared" si="67"/>
        <v>1.1543880269247273</v>
      </c>
      <c r="S94" s="2"/>
      <c r="T94" s="6">
        <v>2489.52</v>
      </c>
      <c r="U94" s="2"/>
      <c r="V94" s="7">
        <f t="shared" si="68"/>
        <v>1.3769593089973139E-3</v>
      </c>
      <c r="W94" s="2"/>
      <c r="X94" s="6">
        <f t="shared" si="69"/>
        <v>496.27</v>
      </c>
      <c r="Y94" s="2"/>
      <c r="Z94" s="7">
        <f t="shared" si="70"/>
        <v>0.19934364857482567</v>
      </c>
    </row>
    <row r="95" spans="1:26" s="26" customFormat="1" outlineLevel="1" collapsed="1" x14ac:dyDescent="0.25">
      <c r="A95" s="27"/>
      <c r="B95" s="13" t="str">
        <f>CONCATENATE("     ","Training                                          ")</f>
        <v xml:space="preserve">     Training                                          </v>
      </c>
      <c r="C95" s="13"/>
      <c r="D95" s="1">
        <f>SUM(OSRRefD22_20x_0)</f>
        <v>0</v>
      </c>
      <c r="E95" s="1"/>
      <c r="F95" s="5">
        <f t="shared" si="63"/>
        <v>0</v>
      </c>
      <c r="G95" s="1"/>
      <c r="H95" s="1">
        <f>SUM(OSRRefH22_20x_0)</f>
        <v>0</v>
      </c>
      <c r="I95" s="1"/>
      <c r="J95" s="5">
        <f t="shared" si="64"/>
        <v>0</v>
      </c>
      <c r="K95" s="1"/>
      <c r="L95" s="1">
        <f t="shared" si="65"/>
        <v>0</v>
      </c>
      <c r="M95" s="1"/>
      <c r="N95" s="5">
        <f t="shared" si="66"/>
        <v>0</v>
      </c>
      <c r="O95" s="13"/>
      <c r="P95" s="1">
        <f>SUM(OSRRefP22_20x_0)</f>
        <v>0</v>
      </c>
      <c r="Q95" s="1"/>
      <c r="R95" s="5">
        <f t="shared" si="67"/>
        <v>0</v>
      </c>
      <c r="S95" s="1"/>
      <c r="T95" s="1">
        <f>SUM(OSRRefT22_20x_0)</f>
        <v>96</v>
      </c>
      <c r="U95" s="1"/>
      <c r="V95" s="5">
        <f t="shared" si="68"/>
        <v>5.3097823541784013E-5</v>
      </c>
      <c r="W95" s="1"/>
      <c r="X95" s="1">
        <f t="shared" si="69"/>
        <v>-96</v>
      </c>
      <c r="Y95" s="1"/>
      <c r="Z95" s="5">
        <f t="shared" si="70"/>
        <v>-1</v>
      </c>
    </row>
    <row r="96" spans="1:26" s="24" customFormat="1" hidden="1" outlineLevel="2" x14ac:dyDescent="0.25">
      <c r="A96" s="25"/>
      <c r="B96" s="11" t="str">
        <f>CONCATENATE("          ", "6376", " - ", "TRAINING")</f>
        <v xml:space="preserve">          6376 - TRAINING</v>
      </c>
      <c r="C96" s="11"/>
      <c r="D96" s="6"/>
      <c r="E96" s="2"/>
      <c r="F96" s="7">
        <f t="shared" si="63"/>
        <v>0</v>
      </c>
      <c r="G96" s="2"/>
      <c r="H96" s="6"/>
      <c r="I96" s="2"/>
      <c r="J96" s="7">
        <f t="shared" si="64"/>
        <v>0</v>
      </c>
      <c r="K96" s="2"/>
      <c r="L96" s="6">
        <f t="shared" si="65"/>
        <v>0</v>
      </c>
      <c r="M96" s="2"/>
      <c r="N96" s="7">
        <f t="shared" si="66"/>
        <v>0</v>
      </c>
      <c r="O96" s="11"/>
      <c r="P96" s="6"/>
      <c r="Q96" s="2"/>
      <c r="R96" s="7">
        <f t="shared" si="67"/>
        <v>0</v>
      </c>
      <c r="S96" s="2"/>
      <c r="T96" s="6">
        <v>96</v>
      </c>
      <c r="U96" s="2"/>
      <c r="V96" s="7">
        <f t="shared" si="68"/>
        <v>5.3097823541784013E-5</v>
      </c>
      <c r="W96" s="2"/>
      <c r="X96" s="6">
        <f t="shared" si="69"/>
        <v>-96</v>
      </c>
      <c r="Y96" s="2"/>
      <c r="Z96" s="7">
        <f t="shared" si="70"/>
        <v>-1</v>
      </c>
    </row>
    <row r="97" spans="1:26" s="26" customFormat="1" outlineLevel="1" collapsed="1" x14ac:dyDescent="0.25">
      <c r="A97" s="27"/>
      <c r="B97" s="13" t="str">
        <f>CONCATENATE("     ","Utilities                                         ")</f>
        <v xml:space="preserve">     Utilities                                         </v>
      </c>
      <c r="C97" s="13"/>
      <c r="D97" s="1">
        <f>SUM(OSRRefD22_21x_0)</f>
        <v>1136</v>
      </c>
      <c r="E97" s="1"/>
      <c r="F97" s="5">
        <f t="shared" si="63"/>
        <v>0</v>
      </c>
      <c r="G97" s="1"/>
      <c r="H97" s="1">
        <f>SUM(OSRRefH22_21x_0)</f>
        <v>1105</v>
      </c>
      <c r="I97" s="1"/>
      <c r="J97" s="5">
        <f t="shared" si="64"/>
        <v>6.0985406054355163E-3</v>
      </c>
      <c r="K97" s="1"/>
      <c r="L97" s="1">
        <f t="shared" si="65"/>
        <v>31</v>
      </c>
      <c r="M97" s="1"/>
      <c r="N97" s="5">
        <f t="shared" si="66"/>
        <v>2.8054298642533938E-2</v>
      </c>
      <c r="O97" s="13"/>
      <c r="P97" s="1">
        <f>SUM(OSRRefP22_21x_0)</f>
        <v>4694</v>
      </c>
      <c r="Q97" s="1"/>
      <c r="R97" s="5">
        <f t="shared" si="67"/>
        <v>1.8148287047597689</v>
      </c>
      <c r="S97" s="1"/>
      <c r="T97" s="1">
        <f>SUM(OSRRefT22_21x_0)</f>
        <v>6555.12</v>
      </c>
      <c r="U97" s="1"/>
      <c r="V97" s="5">
        <f t="shared" si="68"/>
        <v>3.6256521359918667E-3</v>
      </c>
      <c r="W97" s="1"/>
      <c r="X97" s="1">
        <f t="shared" si="69"/>
        <v>-1861.12</v>
      </c>
      <c r="Y97" s="1"/>
      <c r="Z97" s="5">
        <f t="shared" si="70"/>
        <v>-0.28391852475622109</v>
      </c>
    </row>
    <row r="98" spans="1:26" s="24" customFormat="1" hidden="1" outlineLevel="2" x14ac:dyDescent="0.25">
      <c r="A98" s="25"/>
      <c r="B98" s="11" t="str">
        <f>CONCATENATE("          ", "6274", " - ", "UTILITIES")</f>
        <v xml:space="preserve">          6274 - UTILITIES</v>
      </c>
      <c r="C98" s="11"/>
      <c r="D98" s="6">
        <v>1136</v>
      </c>
      <c r="E98" s="2"/>
      <c r="F98" s="7">
        <f t="shared" si="63"/>
        <v>0</v>
      </c>
      <c r="G98" s="2"/>
      <c r="H98" s="6">
        <v>1105</v>
      </c>
      <c r="I98" s="2"/>
      <c r="J98" s="7">
        <f t="shared" si="64"/>
        <v>6.0985406054355163E-3</v>
      </c>
      <c r="K98" s="2"/>
      <c r="L98" s="6">
        <f t="shared" si="65"/>
        <v>31</v>
      </c>
      <c r="M98" s="2"/>
      <c r="N98" s="7">
        <f t="shared" si="66"/>
        <v>2.8054298642533938E-2</v>
      </c>
      <c r="O98" s="11"/>
      <c r="P98" s="6">
        <v>4694</v>
      </c>
      <c r="Q98" s="2"/>
      <c r="R98" s="7">
        <f t="shared" si="67"/>
        <v>1.8148287047597689</v>
      </c>
      <c r="S98" s="2"/>
      <c r="T98" s="6">
        <v>6555.12</v>
      </c>
      <c r="U98" s="2"/>
      <c r="V98" s="7">
        <f t="shared" si="68"/>
        <v>3.6256521359918667E-3</v>
      </c>
      <c r="W98" s="2"/>
      <c r="X98" s="6">
        <f t="shared" si="69"/>
        <v>-1861.12</v>
      </c>
      <c r="Y98" s="2"/>
      <c r="Z98" s="7">
        <f t="shared" si="70"/>
        <v>-0.28391852475622109</v>
      </c>
    </row>
    <row r="99" spans="1:26" s="61" customFormat="1" x14ac:dyDescent="0.25">
      <c r="A99" s="37"/>
      <c r="B99" s="37"/>
      <c r="C99" s="37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7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9" t="s">
        <v>0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8" t="s">
        <v>3</v>
      </c>
      <c r="C102" s="28"/>
      <c r="D102" s="20">
        <f>+D27-D29+D100</f>
        <v>-15691.240000000002</v>
      </c>
      <c r="E102" s="14"/>
      <c r="F102" s="22">
        <f>IF(D$12=0,0,D102/D$12)</f>
        <v>0</v>
      </c>
      <c r="G102" s="14"/>
      <c r="H102" s="20">
        <f>+H27-H29+H100</f>
        <v>-1118.4599999999919</v>
      </c>
      <c r="I102" s="14"/>
      <c r="J102" s="22">
        <f>IF(H$12=0,0,H102/H$12)</f>
        <v>-6.1728269009550755E-3</v>
      </c>
      <c r="K102" s="15"/>
      <c r="L102" s="20">
        <f>+D102-H102</f>
        <v>-14572.78000000001</v>
      </c>
      <c r="M102" s="15"/>
      <c r="N102" s="22">
        <f>IF(H102=0,0,L102/H102)</f>
        <v>13.0293260375875</v>
      </c>
      <c r="O102" s="29"/>
      <c r="P102" s="20">
        <f>+P27-P29+P100</f>
        <v>-194248.37999999998</v>
      </c>
      <c r="Q102" s="14"/>
      <c r="R102" s="22">
        <f>IF(P$12=0,0,P102/P$12)</f>
        <v>-75.101733250337318</v>
      </c>
      <c r="S102" s="14"/>
      <c r="T102" s="20">
        <f>+T27-T29+T100</f>
        <v>212741.31000000006</v>
      </c>
      <c r="U102" s="14"/>
      <c r="V102" s="22">
        <f>IF(T$12=0,0,T102/T$12)</f>
        <v>0.11766771394195806</v>
      </c>
      <c r="W102" s="15"/>
      <c r="X102" s="20">
        <f>+P102-T102</f>
        <v>-406989.69000000006</v>
      </c>
      <c r="Y102" s="15"/>
      <c r="Z102" s="22">
        <f>IF(T102=0,0,X102/T102)</f>
        <v>-1.9130731591339734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1"/>
      <c r="B104" s="10" t="s">
        <v>13</v>
      </c>
      <c r="C104" s="10"/>
      <c r="D104" s="4">
        <v>-9.0399999999999991</v>
      </c>
      <c r="E104" s="4"/>
      <c r="F104" s="12">
        <f>IF(D$12=0,0,D104/D$12)</f>
        <v>0</v>
      </c>
      <c r="G104" s="4"/>
      <c r="H104" s="4">
        <v>12840.93</v>
      </c>
      <c r="I104" s="4"/>
      <c r="J104" s="12">
        <f>IF(H$12=0,0,H104/H$12)</f>
        <v>7.0869622639416374E-2</v>
      </c>
      <c r="K104" s="4"/>
      <c r="L104" s="4">
        <f>+D104-H104</f>
        <v>-12849.970000000001</v>
      </c>
      <c r="M104" s="4"/>
      <c r="N104" s="12">
        <f>IF(H104=0,0,L104/H104)</f>
        <v>-1.0007039988536657</v>
      </c>
      <c r="O104" s="10"/>
      <c r="P104" s="4">
        <v>469.51</v>
      </c>
      <c r="Q104" s="4"/>
      <c r="R104" s="12">
        <f>IF(P$12=0,0,P104/P$12)</f>
        <v>0.18152539948269261</v>
      </c>
      <c r="S104" s="4"/>
      <c r="T104" s="4">
        <v>188547.09</v>
      </c>
      <c r="U104" s="4"/>
      <c r="V104" s="12">
        <f>IF(T$12=0,0,T104/T$12)</f>
        <v>0.10428583452225905</v>
      </c>
      <c r="W104" s="4"/>
      <c r="X104" s="4">
        <f>+P104-T104</f>
        <v>-188077.58</v>
      </c>
      <c r="Y104" s="4"/>
      <c r="Z104" s="12">
        <f>IF(T104=0,0,X104/T104)</f>
        <v>-0.99750985284365823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8" t="s">
        <v>4</v>
      </c>
      <c r="C106" s="28"/>
      <c r="D106" s="30">
        <f>+D102-D104</f>
        <v>-15682.2</v>
      </c>
      <c r="E106" s="14"/>
      <c r="F106" s="36">
        <f>IF(D$12=0,0,D106/D$12)</f>
        <v>0</v>
      </c>
      <c r="G106" s="14"/>
      <c r="H106" s="30">
        <f>+H102-H104</f>
        <v>-13959.389999999992</v>
      </c>
      <c r="I106" s="14"/>
      <c r="J106" s="36">
        <f>IF(H$12=0,0,H106/H$12)</f>
        <v>-7.7042449540371441E-2</v>
      </c>
      <c r="K106" s="15"/>
      <c r="L106" s="30">
        <f>D106-H106</f>
        <v>-1722.8100000000086</v>
      </c>
      <c r="M106" s="15"/>
      <c r="N106" s="36">
        <f>IF(H106=0,0,L106/H106)</f>
        <v>0.12341585126570785</v>
      </c>
      <c r="O106" s="29"/>
      <c r="P106" s="30">
        <f>+P102-P104</f>
        <v>-194717.88999999998</v>
      </c>
      <c r="Q106" s="14"/>
      <c r="R106" s="36">
        <f>IF(P$12=0,0,P106/P$12)</f>
        <v>-75.283258649820013</v>
      </c>
      <c r="S106" s="14"/>
      <c r="T106" s="30">
        <f>+T102-T104</f>
        <v>24194.220000000059</v>
      </c>
      <c r="U106" s="14"/>
      <c r="V106" s="36">
        <f>IF(T$12=0,0,T106/T$12)</f>
        <v>1.3381879419699007E-2</v>
      </c>
      <c r="W106" s="15"/>
      <c r="X106" s="30">
        <f>P106-T106</f>
        <v>-218912.11000000004</v>
      </c>
      <c r="Y106" s="15"/>
      <c r="Z106" s="36">
        <f>IF(T106=0,0,X106/T106)</f>
        <v>-9.0481160376321075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8" t="s">
        <v>5</v>
      </c>
      <c r="C109" s="28"/>
      <c r="D109" s="32">
        <f>SUM(D106:D108)</f>
        <v>-15682.2</v>
      </c>
      <c r="E109" s="14"/>
      <c r="F109" s="31">
        <f>IF(D$12=0,0,D109/D$12)</f>
        <v>0</v>
      </c>
      <c r="G109" s="14"/>
      <c r="H109" s="32">
        <f>SUM(H106:H108)</f>
        <v>-13959.389999999992</v>
      </c>
      <c r="I109" s="14"/>
      <c r="J109" s="31">
        <f>IF(H$12=0,0,H109/H$12)</f>
        <v>-7.7042449540371441E-2</v>
      </c>
      <c r="K109" s="15"/>
      <c r="L109" s="32">
        <f>+D109-H109</f>
        <v>-1722.8100000000086</v>
      </c>
      <c r="M109" s="15"/>
      <c r="N109" s="31">
        <f>IF(H109=0,0,L109/H109)</f>
        <v>0.12341585126570785</v>
      </c>
      <c r="O109" s="29"/>
      <c r="P109" s="32">
        <f>SUM(P106:P108)</f>
        <v>-194717.88999999998</v>
      </c>
      <c r="Q109" s="14"/>
      <c r="R109" s="31">
        <f>IF(P$12=0,0,P109/P$12)</f>
        <v>-75.283258649820013</v>
      </c>
      <c r="S109" s="14"/>
      <c r="T109" s="32">
        <f>SUM(T106:T108)</f>
        <v>24194.220000000059</v>
      </c>
      <c r="U109" s="14"/>
      <c r="V109" s="31">
        <f>IF(T$12=0,0,T109/T$12)</f>
        <v>1.3381879419699007E-2</v>
      </c>
      <c r="W109" s="15"/>
      <c r="X109" s="32">
        <f>+P109-T109</f>
        <v>-218912.11000000004</v>
      </c>
      <c r="Y109" s="15"/>
      <c r="Z109" s="31">
        <f>IF(T109=0,0,X109/T109)</f>
        <v>-9.0481160376321075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62">
        <v>44238.495849687497</v>
      </c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59" t="s">
        <v>313</v>
      </c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56"/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","309", " - ", "Carts")</f>
        <v>Department 309 - Carts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20026.32</v>
      </c>
      <c r="I12" s="4"/>
      <c r="J12" s="12"/>
      <c r="K12" s="4"/>
      <c r="L12" s="4">
        <f t="shared" ref="L12:L14" si="0">+D12-H12</f>
        <v>-20026.32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219221.16</v>
      </c>
      <c r="U12" s="4"/>
      <c r="V12" s="12"/>
      <c r="W12" s="4"/>
      <c r="X12" s="4">
        <f t="shared" ref="X12:X14" si="2">+P12-T12</f>
        <v>-219221.16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--3424.49</f>
        <v>3424.49</v>
      </c>
      <c r="I13" s="2"/>
      <c r="J13" s="19"/>
      <c r="K13" s="2"/>
      <c r="L13" s="2">
        <f t="shared" si="0"/>
        <v>-3424.49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--48664.18</f>
        <v>48664.18</v>
      </c>
      <c r="U13" s="2"/>
      <c r="V13" s="19"/>
      <c r="W13" s="2"/>
      <c r="X13" s="2">
        <f t="shared" si="2"/>
        <v>-48664.18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--16601.83</f>
        <v>16601.830000000002</v>
      </c>
      <c r="I14" s="2"/>
      <c r="J14" s="19"/>
      <c r="K14" s="2"/>
      <c r="L14" s="2">
        <f t="shared" si="0"/>
        <v>-16601.830000000002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--170556.98</f>
        <v>170556.98</v>
      </c>
      <c r="U14" s="2"/>
      <c r="V14" s="19"/>
      <c r="W14" s="2"/>
      <c r="X14" s="2">
        <f t="shared" si="2"/>
        <v>-170556.98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9912.7100000000009</v>
      </c>
      <c r="I16" s="4"/>
      <c r="J16" s="12">
        <f t="shared" ref="J16:J18" si="7">IF(H$12=0,0,H16/H$12)</f>
        <v>0.49498410092318512</v>
      </c>
      <c r="K16" s="4"/>
      <c r="L16" s="4">
        <f t="shared" ref="L16:L18" si="8">+D16-H16</f>
        <v>-9912.7100000000009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101399.76000000001</v>
      </c>
      <c r="U16" s="4"/>
      <c r="V16" s="12">
        <f t="shared" ref="V16:V18" si="11">IF(T$12=0,0,T16/T$12)</f>
        <v>0.46254549515201909</v>
      </c>
      <c r="W16" s="4"/>
      <c r="X16" s="4">
        <f t="shared" ref="X16:X18" si="12">+P16-T16</f>
        <v>-101399.76000000001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16737.310000000001</v>
      </c>
      <c r="I17" s="2"/>
      <c r="J17" s="19">
        <f t="shared" si="7"/>
        <v>0.83576563242772517</v>
      </c>
      <c r="K17" s="2"/>
      <c r="L17" s="2">
        <f t="shared" si="8"/>
        <v>-16737.310000000001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111094.05</v>
      </c>
      <c r="U17" s="2"/>
      <c r="V17" s="19">
        <f t="shared" si="11"/>
        <v>0.50676700187153467</v>
      </c>
      <c r="W17" s="2"/>
      <c r="X17" s="2">
        <f t="shared" si="12"/>
        <v>-111094.05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-6824.6</v>
      </c>
      <c r="I18" s="2"/>
      <c r="J18" s="19">
        <f t="shared" si="7"/>
        <v>-0.34078153150454005</v>
      </c>
      <c r="K18" s="2"/>
      <c r="L18" s="2">
        <f t="shared" si="8"/>
        <v>6824.6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-9694.2900000000009</v>
      </c>
      <c r="U18" s="2"/>
      <c r="V18" s="19">
        <f t="shared" si="11"/>
        <v>-4.422150671951558E-2</v>
      </c>
      <c r="W18" s="2"/>
      <c r="X18" s="2">
        <f t="shared" si="12"/>
        <v>9694.2900000000009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10113.609999999999</v>
      </c>
      <c r="I20" s="14"/>
      <c r="J20" s="22">
        <f>IF(H$12=0,0,H20/H$12)</f>
        <v>0.50501589907681488</v>
      </c>
      <c r="K20" s="15"/>
      <c r="L20" s="20">
        <f>+D20-H20</f>
        <v>-10113.609999999999</v>
      </c>
      <c r="M20" s="15"/>
      <c r="N20" s="22">
        <f>IF(H20=0,0,L20/H20)</f>
        <v>-1</v>
      </c>
      <c r="O20" s="29"/>
      <c r="P20" s="20">
        <f>P12-P16</f>
        <v>0</v>
      </c>
      <c r="Q20" s="14"/>
      <c r="R20" s="22">
        <f>IF(P$12=0,0,P20/P$12)</f>
        <v>0</v>
      </c>
      <c r="S20" s="14"/>
      <c r="T20" s="20">
        <f>T12-T16</f>
        <v>117821.4</v>
      </c>
      <c r="U20" s="14"/>
      <c r="V20" s="22">
        <f>IF(T$12=0,0,T20/T$12)</f>
        <v>0.53745450484798085</v>
      </c>
      <c r="W20" s="15"/>
      <c r="X20" s="20">
        <f>+P20-T20</f>
        <v>-117821.4</v>
      </c>
      <c r="Y20" s="15"/>
      <c r="Z20" s="22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760.09999999999991</v>
      </c>
      <c r="E22" s="21"/>
      <c r="F22" s="35">
        <f t="shared" ref="F22:F31" si="14">IF(D$12=0,0,D22/D$12)</f>
        <v>0</v>
      </c>
      <c r="G22" s="21"/>
      <c r="H22" s="21">
        <f>SUM(OSRRefH22x_0)</f>
        <v>11594.89</v>
      </c>
      <c r="I22" s="21"/>
      <c r="J22" s="35">
        <f t="shared" ref="J22:J31" si="15">IF(H$12=0,0,H22/H$12)</f>
        <v>0.57898255895241857</v>
      </c>
      <c r="K22" s="4"/>
      <c r="L22" s="21">
        <f t="shared" ref="L22:L31" si="16">+D22-H22</f>
        <v>-10834.789999999999</v>
      </c>
      <c r="M22" s="4"/>
      <c r="N22" s="35">
        <f t="shared" ref="N22:N31" si="17">IF(H22=0,0,L22/H22)</f>
        <v>-0.93444525993778293</v>
      </c>
      <c r="O22" s="10"/>
      <c r="P22" s="21">
        <f>SUM(OSRRefP22x_0)</f>
        <v>7010.9999999999982</v>
      </c>
      <c r="Q22" s="21"/>
      <c r="R22" s="35">
        <f t="shared" ref="R22:R31" si="18">IF(P$12=0,0,P22/P$12)</f>
        <v>0</v>
      </c>
      <c r="S22" s="21"/>
      <c r="T22" s="21">
        <f>SUM(OSRRefT22x_0)</f>
        <v>100955.21999999999</v>
      </c>
      <c r="U22" s="21"/>
      <c r="V22" s="35">
        <f t="shared" ref="V22:V31" si="19">IF(T$12=0,0,T22/T$12)</f>
        <v>0.46051767995388759</v>
      </c>
      <c r="W22" s="4"/>
      <c r="X22" s="21">
        <f t="shared" ref="X22:X31" si="20">+P22-T22</f>
        <v>-93944.219999999987</v>
      </c>
      <c r="Y22" s="4"/>
      <c r="Z22" s="35">
        <f t="shared" ref="Z22:Z31" si="21">IF(T22=0,0,X22/T22)</f>
        <v>-0.93055336811707212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333.53000000000003</v>
      </c>
      <c r="I23" s="1"/>
      <c r="J23" s="5">
        <f t="shared" si="15"/>
        <v>1.6654582569338751E-2</v>
      </c>
      <c r="K23" s="1"/>
      <c r="L23" s="1">
        <f t="shared" si="16"/>
        <v>-333.53000000000003</v>
      </c>
      <c r="M23" s="1"/>
      <c r="N23" s="5">
        <f t="shared" si="17"/>
        <v>-1</v>
      </c>
      <c r="O23" s="13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11457.009999999998</v>
      </c>
      <c r="U23" s="1"/>
      <c r="V23" s="5">
        <f t="shared" si="19"/>
        <v>5.2262336354756987E-2</v>
      </c>
      <c r="W23" s="1"/>
      <c r="X23" s="1">
        <f t="shared" si="20"/>
        <v>-11457.009999999998</v>
      </c>
      <c r="Y23" s="1"/>
      <c r="Z23" s="5">
        <f t="shared" si="21"/>
        <v>-1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247.88</v>
      </c>
      <c r="I24" s="2"/>
      <c r="J24" s="7">
        <f t="shared" si="15"/>
        <v>1.2377710932412944E-2</v>
      </c>
      <c r="K24" s="2"/>
      <c r="L24" s="6">
        <f t="shared" si="16"/>
        <v>-247.88</v>
      </c>
      <c r="M24" s="2"/>
      <c r="N24" s="7">
        <f t="shared" si="17"/>
        <v>-1</v>
      </c>
      <c r="O24" s="11"/>
      <c r="P24" s="6"/>
      <c r="Q24" s="2"/>
      <c r="R24" s="7">
        <f t="shared" si="18"/>
        <v>0</v>
      </c>
      <c r="S24" s="2"/>
      <c r="T24" s="6">
        <v>2626.27</v>
      </c>
      <c r="U24" s="2"/>
      <c r="V24" s="7">
        <f t="shared" si="19"/>
        <v>1.1980002295398856E-2</v>
      </c>
      <c r="W24" s="2"/>
      <c r="X24" s="6">
        <f t="shared" si="20"/>
        <v>-2626.27</v>
      </c>
      <c r="Y24" s="2"/>
      <c r="Z24" s="7">
        <f t="shared" si="21"/>
        <v>-1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75.34</v>
      </c>
      <c r="I25" s="2"/>
      <c r="J25" s="7">
        <f t="shared" si="15"/>
        <v>3.7620491433273816E-3</v>
      </c>
      <c r="K25" s="2"/>
      <c r="L25" s="6">
        <f t="shared" si="16"/>
        <v>-75.34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972.97</v>
      </c>
      <c r="U25" s="2"/>
      <c r="V25" s="7">
        <f t="shared" si="19"/>
        <v>4.4383033097717389E-3</v>
      </c>
      <c r="W25" s="2"/>
      <c r="X25" s="6">
        <f t="shared" si="20"/>
        <v>-972.97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/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4829.7</v>
      </c>
      <c r="U26" s="2"/>
      <c r="V26" s="7">
        <f t="shared" si="19"/>
        <v>2.2031176187554156E-2</v>
      </c>
      <c r="W26" s="2"/>
      <c r="X26" s="6">
        <f t="shared" si="20"/>
        <v>-4829.7</v>
      </c>
      <c r="Y26" s="2"/>
      <c r="Z26" s="7">
        <f t="shared" si="21"/>
        <v>-1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10.31</v>
      </c>
      <c r="I27" s="2"/>
      <c r="J27" s="7">
        <f t="shared" si="15"/>
        <v>5.1482249359842446E-4</v>
      </c>
      <c r="K27" s="2"/>
      <c r="L27" s="6">
        <f t="shared" si="16"/>
        <v>-10.31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146.19999999999999</v>
      </c>
      <c r="U27" s="2"/>
      <c r="V27" s="7">
        <f t="shared" si="19"/>
        <v>6.6690642454405398E-4</v>
      </c>
      <c r="W27" s="2"/>
      <c r="X27" s="6">
        <f t="shared" si="20"/>
        <v>-146.19999999999999</v>
      </c>
      <c r="Y27" s="2"/>
      <c r="Z27" s="7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/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938.77</v>
      </c>
      <c r="U28" s="2"/>
      <c r="V28" s="7">
        <f t="shared" si="19"/>
        <v>4.2822964717457021E-3</v>
      </c>
      <c r="W28" s="2"/>
      <c r="X28" s="6">
        <f t="shared" si="20"/>
        <v>-938.77</v>
      </c>
      <c r="Y28" s="2"/>
      <c r="Z28" s="7">
        <f t="shared" si="21"/>
        <v>-1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480.48</v>
      </c>
      <c r="U29" s="2"/>
      <c r="V29" s="7">
        <f t="shared" si="19"/>
        <v>2.1917592261622922E-3</v>
      </c>
      <c r="W29" s="2"/>
      <c r="X29" s="6">
        <f t="shared" si="20"/>
        <v>-480.48</v>
      </c>
      <c r="Y29" s="2"/>
      <c r="Z29" s="7">
        <f t="shared" si="21"/>
        <v>-1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/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/>
      <c r="Q30" s="2"/>
      <c r="R30" s="7">
        <f t="shared" si="18"/>
        <v>0</v>
      </c>
      <c r="S30" s="2"/>
      <c r="T30" s="6">
        <v>575.64</v>
      </c>
      <c r="U30" s="2"/>
      <c r="V30" s="7">
        <f t="shared" si="19"/>
        <v>2.625841410564564E-3</v>
      </c>
      <c r="W30" s="2"/>
      <c r="X30" s="6">
        <f t="shared" si="20"/>
        <v>-575.64</v>
      </c>
      <c r="Y30" s="2"/>
      <c r="Z30" s="7">
        <f t="shared" si="21"/>
        <v>-1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/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1"/>
      <c r="P31" s="6"/>
      <c r="Q31" s="2"/>
      <c r="R31" s="7">
        <f t="shared" si="18"/>
        <v>0</v>
      </c>
      <c r="S31" s="2"/>
      <c r="T31" s="6">
        <v>886.98</v>
      </c>
      <c r="U31" s="2"/>
      <c r="V31" s="7">
        <f t="shared" si="19"/>
        <v>4.0460510290156295E-3</v>
      </c>
      <c r="W31" s="2"/>
      <c r="X31" s="6">
        <f t="shared" si="20"/>
        <v>-886.98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5762.3</v>
      </c>
      <c r="I32" s="1"/>
      <c r="J32" s="5">
        <f t="shared" ref="J32:J37" si="23">IF(H$12=0,0,H32/H$12)</f>
        <v>0.28773633897790507</v>
      </c>
      <c r="K32" s="1"/>
      <c r="L32" s="1">
        <f t="shared" ref="L32:L37" si="24">+D32-H32</f>
        <v>-5762.3</v>
      </c>
      <c r="M32" s="1"/>
      <c r="N32" s="5">
        <f t="shared" ref="N32:N37" si="25">IF(H32=0,0,L32/H32)</f>
        <v>-1</v>
      </c>
      <c r="O32" s="13"/>
      <c r="P32" s="1">
        <f>SUM(OSRRefP22_1x_0)</f>
        <v>0</v>
      </c>
      <c r="Q32" s="1"/>
      <c r="R32" s="5">
        <f t="shared" ref="R32:R37" si="26">IF(P$12=0,0,P32/P$12)</f>
        <v>0</v>
      </c>
      <c r="S32" s="1"/>
      <c r="T32" s="1">
        <f>SUM(OSRRefT22_1x_0)</f>
        <v>57399.68</v>
      </c>
      <c r="U32" s="1"/>
      <c r="V32" s="5">
        <f t="shared" ref="V32:V37" si="27">IF(T$12=0,0,T32/T$12)</f>
        <v>0.26183457837737928</v>
      </c>
      <c r="W32" s="1"/>
      <c r="X32" s="1">
        <f t="shared" ref="X32:X37" si="28">+P32-T32</f>
        <v>-57399.68</v>
      </c>
      <c r="Y32" s="1"/>
      <c r="Z32" s="5">
        <f t="shared" ref="Z32:Z37" si="29">IF(T32=0,0,X32/T32)</f>
        <v>-1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/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/>
      <c r="Q33" s="2"/>
      <c r="R33" s="7">
        <f t="shared" si="26"/>
        <v>0</v>
      </c>
      <c r="S33" s="2"/>
      <c r="T33" s="6">
        <v>9840</v>
      </c>
      <c r="U33" s="2"/>
      <c r="V33" s="7">
        <f t="shared" si="27"/>
        <v>4.488617795836862E-2</v>
      </c>
      <c r="W33" s="2"/>
      <c r="X33" s="6">
        <f t="shared" si="28"/>
        <v>-9840</v>
      </c>
      <c r="Y33" s="2"/>
      <c r="Z33" s="7">
        <f t="shared" si="29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3240.3</v>
      </c>
      <c r="I34" s="2"/>
      <c r="J34" s="7">
        <f t="shared" si="23"/>
        <v>0.16180206847788312</v>
      </c>
      <c r="K34" s="2"/>
      <c r="L34" s="6">
        <f t="shared" si="24"/>
        <v>-3240.3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18229.060000000001</v>
      </c>
      <c r="U34" s="2"/>
      <c r="V34" s="7">
        <f t="shared" si="27"/>
        <v>8.3153743005465353E-2</v>
      </c>
      <c r="W34" s="2"/>
      <c r="X34" s="6">
        <f t="shared" si="28"/>
        <v>-18229.060000000001</v>
      </c>
      <c r="Y34" s="2"/>
      <c r="Z34" s="7">
        <f t="shared" si="29"/>
        <v>-1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285.19</v>
      </c>
      <c r="U35" s="2"/>
      <c r="V35" s="7">
        <f t="shared" si="27"/>
        <v>1.3009236882060107E-3</v>
      </c>
      <c r="W35" s="2"/>
      <c r="X35" s="6">
        <f t="shared" si="28"/>
        <v>-285.19</v>
      </c>
      <c r="Y35" s="2"/>
      <c r="Z35" s="7">
        <f t="shared" si="29"/>
        <v>-1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2522</v>
      </c>
      <c r="I36" s="2"/>
      <c r="J36" s="7">
        <f t="shared" si="23"/>
        <v>0.12593427050002198</v>
      </c>
      <c r="K36" s="2"/>
      <c r="L36" s="6">
        <f t="shared" si="24"/>
        <v>-2522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28988.43</v>
      </c>
      <c r="U36" s="2"/>
      <c r="V36" s="7">
        <f t="shared" si="27"/>
        <v>0.13223372232862923</v>
      </c>
      <c r="W36" s="2"/>
      <c r="X36" s="6">
        <f t="shared" si="28"/>
        <v>-28988.43</v>
      </c>
      <c r="Y36" s="2"/>
      <c r="Z36" s="7">
        <f t="shared" si="29"/>
        <v>-1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57</v>
      </c>
      <c r="U37" s="2"/>
      <c r="V37" s="7">
        <f t="shared" si="27"/>
        <v>2.6001139671006209E-4</v>
      </c>
      <c r="W37" s="2"/>
      <c r="X37" s="6">
        <f t="shared" si="28"/>
        <v>-57</v>
      </c>
      <c r="Y37" s="2"/>
      <c r="Z37" s="7">
        <f t="shared" si="29"/>
        <v>-1</v>
      </c>
    </row>
    <row r="38" spans="1:26" s="26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4" si="30">IF(D$12=0,0,D38/D$12)</f>
        <v>0</v>
      </c>
      <c r="G38" s="1"/>
      <c r="H38" s="1">
        <f>SUM(OSRRefH22_2x_0)</f>
        <v>22.4</v>
      </c>
      <c r="I38" s="1"/>
      <c r="J38" s="5">
        <f t="shared" ref="J38:J54" si="31">IF(H$12=0,0,H38/H$12)</f>
        <v>1.1185280171294575E-3</v>
      </c>
      <c r="K38" s="1"/>
      <c r="L38" s="1">
        <f t="shared" ref="L38:L54" si="32">+D38-H38</f>
        <v>-22.4</v>
      </c>
      <c r="M38" s="1"/>
      <c r="N38" s="5">
        <f t="shared" ref="N38:N54" si="33">IF(H38=0,0,L38/H38)</f>
        <v>-1</v>
      </c>
      <c r="O38" s="13"/>
      <c r="P38" s="1">
        <f>SUM(OSRRefP22_2x_0)</f>
        <v>0</v>
      </c>
      <c r="Q38" s="1"/>
      <c r="R38" s="5">
        <f t="shared" ref="R38:R54" si="34">IF(P$12=0,0,P38/P$12)</f>
        <v>0</v>
      </c>
      <c r="S38" s="1"/>
      <c r="T38" s="1">
        <f>SUM(OSRRefT22_2x_0)</f>
        <v>878.59</v>
      </c>
      <c r="U38" s="1"/>
      <c r="V38" s="5">
        <f t="shared" ref="V38:V54" si="35">IF(T$12=0,0,T38/T$12)</f>
        <v>4.0077791760612892E-3</v>
      </c>
      <c r="W38" s="1"/>
      <c r="X38" s="1">
        <f t="shared" ref="X38:X54" si="36">+P38-T38</f>
        <v>-878.59</v>
      </c>
      <c r="Y38" s="1"/>
      <c r="Z38" s="5">
        <f t="shared" ref="Z38:Z54" si="37">IF(T38=0,0,X38/T38)</f>
        <v>-1</v>
      </c>
    </row>
    <row r="39" spans="1:26" s="24" customFormat="1" hidden="1" outlineLevel="2" x14ac:dyDescent="0.25">
      <c r="A39" s="25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22.4</v>
      </c>
      <c r="I39" s="2"/>
      <c r="J39" s="7">
        <f t="shared" si="31"/>
        <v>1.1185280171294575E-3</v>
      </c>
      <c r="K39" s="2"/>
      <c r="L39" s="6">
        <f t="shared" si="32"/>
        <v>-22.4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878.59</v>
      </c>
      <c r="U39" s="2"/>
      <c r="V39" s="7">
        <f t="shared" si="35"/>
        <v>4.0077791760612892E-3</v>
      </c>
      <c r="W39" s="2"/>
      <c r="X39" s="6">
        <f t="shared" si="36"/>
        <v>-878.59</v>
      </c>
      <c r="Y39" s="2"/>
      <c r="Z39" s="7">
        <f t="shared" si="37"/>
        <v>-1</v>
      </c>
    </row>
    <row r="40" spans="1:26" s="26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-13.72</v>
      </c>
      <c r="I40" s="1"/>
      <c r="J40" s="5">
        <f t="shared" si="31"/>
        <v>-6.8509841049179288E-4</v>
      </c>
      <c r="K40" s="1"/>
      <c r="L40" s="1">
        <f t="shared" si="32"/>
        <v>13.72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-24.86</v>
      </c>
      <c r="U40" s="1"/>
      <c r="V40" s="5">
        <f t="shared" si="35"/>
        <v>-1.134014617931955E-4</v>
      </c>
      <c r="W40" s="1"/>
      <c r="X40" s="1">
        <f t="shared" si="36"/>
        <v>24.86</v>
      </c>
      <c r="Y40" s="1"/>
      <c r="Z40" s="5">
        <f t="shared" si="37"/>
        <v>-1</v>
      </c>
    </row>
    <row r="41" spans="1:26" s="24" customFormat="1" hidden="1" outlineLevel="2" x14ac:dyDescent="0.25">
      <c r="A41" s="25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-13.72</v>
      </c>
      <c r="I41" s="2"/>
      <c r="J41" s="7">
        <f t="shared" si="31"/>
        <v>-6.8509841049179288E-4</v>
      </c>
      <c r="K41" s="2"/>
      <c r="L41" s="6">
        <f t="shared" si="32"/>
        <v>13.72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-24.86</v>
      </c>
      <c r="U41" s="2"/>
      <c r="V41" s="7">
        <f t="shared" si="35"/>
        <v>-1.134014617931955E-4</v>
      </c>
      <c r="W41" s="2"/>
      <c r="X41" s="6">
        <f t="shared" si="36"/>
        <v>24.86</v>
      </c>
      <c r="Y41" s="2"/>
      <c r="Z41" s="7">
        <f t="shared" si="37"/>
        <v>-1</v>
      </c>
    </row>
    <row r="42" spans="1:26" s="26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828.39</v>
      </c>
      <c r="I42" s="1"/>
      <c r="J42" s="5">
        <f t="shared" si="31"/>
        <v>4.1365063576333544E-2</v>
      </c>
      <c r="K42" s="1"/>
      <c r="L42" s="1">
        <f t="shared" si="32"/>
        <v>-828.39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7543.51</v>
      </c>
      <c r="U42" s="1"/>
      <c r="V42" s="5">
        <f t="shared" si="35"/>
        <v>3.4410501249058256E-2</v>
      </c>
      <c r="W42" s="1"/>
      <c r="X42" s="1">
        <f t="shared" si="36"/>
        <v>-7543.51</v>
      </c>
      <c r="Y42" s="1"/>
      <c r="Z42" s="5">
        <f t="shared" si="37"/>
        <v>-1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828.39</v>
      </c>
      <c r="I43" s="2"/>
      <c r="J43" s="7">
        <f t="shared" si="31"/>
        <v>4.1365063576333544E-2</v>
      </c>
      <c r="K43" s="2"/>
      <c r="L43" s="6">
        <f t="shared" si="32"/>
        <v>-828.39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7543.51</v>
      </c>
      <c r="U43" s="2"/>
      <c r="V43" s="7">
        <f t="shared" si="35"/>
        <v>3.4410501249058256E-2</v>
      </c>
      <c r="W43" s="2"/>
      <c r="X43" s="6">
        <f t="shared" si="36"/>
        <v>-7543.51</v>
      </c>
      <c r="Y43" s="2"/>
      <c r="Z43" s="7">
        <f t="shared" si="37"/>
        <v>-1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588.16999999999996</v>
      </c>
      <c r="E44" s="1"/>
      <c r="F44" s="5">
        <f t="shared" si="30"/>
        <v>0</v>
      </c>
      <c r="G44" s="1"/>
      <c r="H44" s="1">
        <f>SUM(OSRRefH22_5x_0)</f>
        <v>155.66999999999999</v>
      </c>
      <c r="I44" s="1"/>
      <c r="J44" s="5">
        <f t="shared" si="31"/>
        <v>7.7732703761849405E-3</v>
      </c>
      <c r="K44" s="1"/>
      <c r="L44" s="1">
        <f t="shared" si="32"/>
        <v>432.5</v>
      </c>
      <c r="M44" s="1"/>
      <c r="N44" s="5">
        <f t="shared" si="33"/>
        <v>2.778313098220595</v>
      </c>
      <c r="O44" s="13"/>
      <c r="P44" s="1">
        <f>SUM(OSRRefP22_5x_0)</f>
        <v>3852.97</v>
      </c>
      <c r="Q44" s="1"/>
      <c r="R44" s="5">
        <f t="shared" si="34"/>
        <v>0</v>
      </c>
      <c r="S44" s="1"/>
      <c r="T44" s="1">
        <f>SUM(OSRRefT22_5x_0)</f>
        <v>1089.69</v>
      </c>
      <c r="U44" s="1"/>
      <c r="V44" s="5">
        <f t="shared" si="35"/>
        <v>4.9707336645787295E-3</v>
      </c>
      <c r="W44" s="1"/>
      <c r="X44" s="1">
        <f t="shared" si="36"/>
        <v>2763.2799999999997</v>
      </c>
      <c r="Y44" s="1"/>
      <c r="Z44" s="5">
        <f t="shared" si="37"/>
        <v>2.5358404683900924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588.16999999999996</v>
      </c>
      <c r="E45" s="2"/>
      <c r="F45" s="7">
        <f t="shared" si="30"/>
        <v>0</v>
      </c>
      <c r="G45" s="2"/>
      <c r="H45" s="6">
        <v>155.66999999999999</v>
      </c>
      <c r="I45" s="2"/>
      <c r="J45" s="7">
        <f t="shared" si="31"/>
        <v>7.7732703761849405E-3</v>
      </c>
      <c r="K45" s="2"/>
      <c r="L45" s="6">
        <f t="shared" si="32"/>
        <v>432.5</v>
      </c>
      <c r="M45" s="2"/>
      <c r="N45" s="7">
        <f t="shared" si="33"/>
        <v>2.778313098220595</v>
      </c>
      <c r="O45" s="11"/>
      <c r="P45" s="6">
        <v>3852.97</v>
      </c>
      <c r="Q45" s="2"/>
      <c r="R45" s="7">
        <f t="shared" si="34"/>
        <v>0</v>
      </c>
      <c r="S45" s="2"/>
      <c r="T45" s="6">
        <v>1089.69</v>
      </c>
      <c r="U45" s="2"/>
      <c r="V45" s="7">
        <f t="shared" si="35"/>
        <v>4.9707336645787295E-3</v>
      </c>
      <c r="W45" s="2"/>
      <c r="X45" s="6">
        <f t="shared" si="36"/>
        <v>2763.2799999999997</v>
      </c>
      <c r="Y45" s="2"/>
      <c r="Z45" s="7">
        <f t="shared" si="37"/>
        <v>2.5358404683900924</v>
      </c>
    </row>
    <row r="46" spans="1:26" s="26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39.909999999999997</v>
      </c>
      <c r="I46" s="1"/>
      <c r="J46" s="5">
        <f t="shared" si="31"/>
        <v>1.9928773733766361E-3</v>
      </c>
      <c r="K46" s="1"/>
      <c r="L46" s="1">
        <f t="shared" si="32"/>
        <v>-39.909999999999997</v>
      </c>
      <c r="M46" s="1"/>
      <c r="N46" s="5">
        <f t="shared" si="33"/>
        <v>-1</v>
      </c>
      <c r="O46" s="13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62.26</v>
      </c>
      <c r="U46" s="1"/>
      <c r="V46" s="5">
        <f t="shared" si="35"/>
        <v>2.840054308626047E-4</v>
      </c>
      <c r="W46" s="1"/>
      <c r="X46" s="1">
        <f t="shared" si="36"/>
        <v>-62.26</v>
      </c>
      <c r="Y46" s="1"/>
      <c r="Z46" s="5">
        <f t="shared" si="37"/>
        <v>-1</v>
      </c>
    </row>
    <row r="47" spans="1:26" s="24" customFormat="1" hidden="1" outlineLevel="2" x14ac:dyDescent="0.25">
      <c r="A47" s="25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30"/>
        <v>0</v>
      </c>
      <c r="G47" s="2"/>
      <c r="H47" s="6">
        <v>39.909999999999997</v>
      </c>
      <c r="I47" s="2"/>
      <c r="J47" s="7">
        <f t="shared" si="31"/>
        <v>1.9928773733766361E-3</v>
      </c>
      <c r="K47" s="2"/>
      <c r="L47" s="6">
        <f t="shared" si="32"/>
        <v>-39.909999999999997</v>
      </c>
      <c r="M47" s="2"/>
      <c r="N47" s="7">
        <f t="shared" si="33"/>
        <v>-1</v>
      </c>
      <c r="O47" s="11"/>
      <c r="P47" s="6"/>
      <c r="Q47" s="2"/>
      <c r="R47" s="7">
        <f t="shared" si="34"/>
        <v>0</v>
      </c>
      <c r="S47" s="2"/>
      <c r="T47" s="6">
        <v>62.26</v>
      </c>
      <c r="U47" s="2"/>
      <c r="V47" s="7">
        <f t="shared" si="35"/>
        <v>2.840054308626047E-4</v>
      </c>
      <c r="W47" s="2"/>
      <c r="X47" s="6">
        <f t="shared" si="36"/>
        <v>-62.26</v>
      </c>
      <c r="Y47" s="2"/>
      <c r="Z47" s="7">
        <f t="shared" si="37"/>
        <v>-1</v>
      </c>
    </row>
    <row r="48" spans="1:26" s="26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0</v>
      </c>
      <c r="I48" s="1"/>
      <c r="J48" s="5">
        <f t="shared" si="31"/>
        <v>0</v>
      </c>
      <c r="K48" s="1"/>
      <c r="L48" s="1">
        <f t="shared" si="32"/>
        <v>0</v>
      </c>
      <c r="M48" s="1"/>
      <c r="N48" s="5">
        <f t="shared" si="33"/>
        <v>0</v>
      </c>
      <c r="O48" s="13"/>
      <c r="P48" s="1">
        <f>SUM(OSRRefP22_7x_0)</f>
        <v>12</v>
      </c>
      <c r="Q48" s="1"/>
      <c r="R48" s="5">
        <f t="shared" si="34"/>
        <v>0</v>
      </c>
      <c r="S48" s="1"/>
      <c r="T48" s="1">
        <f>SUM(OSRRefT22_7x_0)</f>
        <v>12</v>
      </c>
      <c r="U48" s="1"/>
      <c r="V48" s="5">
        <f t="shared" si="35"/>
        <v>5.4739241412644655E-5</v>
      </c>
      <c r="W48" s="1"/>
      <c r="X48" s="1">
        <f t="shared" si="36"/>
        <v>0</v>
      </c>
      <c r="Y48" s="1"/>
      <c r="Z48" s="5">
        <f t="shared" si="37"/>
        <v>0</v>
      </c>
    </row>
    <row r="49" spans="1:26" s="24" customFormat="1" hidden="1" outlineLevel="2" x14ac:dyDescent="0.25">
      <c r="A49" s="25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0</v>
      </c>
      <c r="M49" s="2"/>
      <c r="N49" s="7">
        <f t="shared" si="33"/>
        <v>0</v>
      </c>
      <c r="O49" s="11"/>
      <c r="P49" s="6">
        <v>12</v>
      </c>
      <c r="Q49" s="2"/>
      <c r="R49" s="7">
        <f t="shared" si="34"/>
        <v>0</v>
      </c>
      <c r="S49" s="2"/>
      <c r="T49" s="6">
        <v>12</v>
      </c>
      <c r="U49" s="2"/>
      <c r="V49" s="7">
        <f t="shared" si="35"/>
        <v>5.4739241412644655E-5</v>
      </c>
      <c r="W49" s="2"/>
      <c r="X49" s="6">
        <f t="shared" si="36"/>
        <v>0</v>
      </c>
      <c r="Y49" s="2"/>
      <c r="Z49" s="7">
        <f t="shared" si="37"/>
        <v>0</v>
      </c>
    </row>
    <row r="50" spans="1:26" s="26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30"/>
        <v>0</v>
      </c>
      <c r="G50" s="1"/>
      <c r="H50" s="1">
        <f>SUM(OSRRefH22_8x_0)</f>
        <v>3558.3</v>
      </c>
      <c r="I50" s="1"/>
      <c r="J50" s="5">
        <f t="shared" si="31"/>
        <v>0.1776811715782031</v>
      </c>
      <c r="K50" s="1"/>
      <c r="L50" s="1">
        <f t="shared" si="32"/>
        <v>-3558.3</v>
      </c>
      <c r="M50" s="1"/>
      <c r="N50" s="5">
        <f t="shared" si="33"/>
        <v>-1</v>
      </c>
      <c r="O50" s="13"/>
      <c r="P50" s="1">
        <f>SUM(OSRRefP22_8x_0)</f>
        <v>575</v>
      </c>
      <c r="Q50" s="1"/>
      <c r="R50" s="5">
        <f t="shared" si="34"/>
        <v>0</v>
      </c>
      <c r="S50" s="1"/>
      <c r="T50" s="1">
        <f>SUM(OSRRefT22_8x_0)</f>
        <v>5615.89</v>
      </c>
      <c r="U50" s="1"/>
      <c r="V50" s="5">
        <f t="shared" si="35"/>
        <v>2.5617463204738084E-2</v>
      </c>
      <c r="W50" s="1"/>
      <c r="X50" s="1">
        <f t="shared" si="36"/>
        <v>-5040.8900000000003</v>
      </c>
      <c r="Y50" s="1"/>
      <c r="Z50" s="5">
        <f t="shared" si="37"/>
        <v>-0.8976119546501089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30"/>
        <v>0</v>
      </c>
      <c r="G51" s="2"/>
      <c r="H51" s="6">
        <v>3558.3</v>
      </c>
      <c r="I51" s="2"/>
      <c r="J51" s="7">
        <f t="shared" si="31"/>
        <v>0.1776811715782031</v>
      </c>
      <c r="K51" s="2"/>
      <c r="L51" s="6">
        <f t="shared" si="32"/>
        <v>-3558.3</v>
      </c>
      <c r="M51" s="2"/>
      <c r="N51" s="7">
        <f t="shared" si="33"/>
        <v>-1</v>
      </c>
      <c r="O51" s="11"/>
      <c r="P51" s="6">
        <v>575</v>
      </c>
      <c r="Q51" s="2"/>
      <c r="R51" s="7">
        <f t="shared" si="34"/>
        <v>0</v>
      </c>
      <c r="S51" s="2"/>
      <c r="T51" s="6">
        <v>5615.89</v>
      </c>
      <c r="U51" s="2"/>
      <c r="V51" s="7">
        <f t="shared" si="35"/>
        <v>2.5617463204738084E-2</v>
      </c>
      <c r="W51" s="2"/>
      <c r="X51" s="6">
        <f t="shared" si="36"/>
        <v>-5040.8900000000003</v>
      </c>
      <c r="Y51" s="2"/>
      <c r="Z51" s="7">
        <f t="shared" si="37"/>
        <v>-0.8976119546501089</v>
      </c>
    </row>
    <row r="52" spans="1:26" s="26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0</v>
      </c>
      <c r="E52" s="1"/>
      <c r="F52" s="5">
        <f t="shared" si="30"/>
        <v>0</v>
      </c>
      <c r="G52" s="1"/>
      <c r="H52" s="1">
        <f>SUM(OSRRefH22_9x_0)</f>
        <v>196.08</v>
      </c>
      <c r="I52" s="1"/>
      <c r="J52" s="5">
        <f t="shared" si="31"/>
        <v>9.7911148928010745E-3</v>
      </c>
      <c r="K52" s="1"/>
      <c r="L52" s="1">
        <f t="shared" si="32"/>
        <v>-196.08</v>
      </c>
      <c r="M52" s="1"/>
      <c r="N52" s="5">
        <f t="shared" si="33"/>
        <v>-1</v>
      </c>
      <c r="O52" s="13"/>
      <c r="P52" s="1">
        <f>SUM(OSRRefP22_9x_0)</f>
        <v>1232.0500000000002</v>
      </c>
      <c r="Q52" s="1"/>
      <c r="R52" s="5">
        <f t="shared" si="34"/>
        <v>0</v>
      </c>
      <c r="S52" s="1"/>
      <c r="T52" s="1">
        <f>SUM(OSRRefT22_9x_0)</f>
        <v>6151.7400000000007</v>
      </c>
      <c r="U52" s="1"/>
      <c r="V52" s="5">
        <f t="shared" si="35"/>
        <v>2.8061798413985223E-2</v>
      </c>
      <c r="W52" s="1"/>
      <c r="X52" s="1">
        <f t="shared" si="36"/>
        <v>-4919.6900000000005</v>
      </c>
      <c r="Y52" s="1"/>
      <c r="Z52" s="5">
        <f t="shared" si="37"/>
        <v>-0.79972333030979847</v>
      </c>
    </row>
    <row r="53" spans="1:26" s="24" customFormat="1" hidden="1" outlineLevel="2" x14ac:dyDescent="0.25">
      <c r="A53" s="25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30"/>
        <v>0</v>
      </c>
      <c r="G53" s="2"/>
      <c r="H53" s="6"/>
      <c r="I53" s="2"/>
      <c r="J53" s="7">
        <f t="shared" si="31"/>
        <v>0</v>
      </c>
      <c r="K53" s="2"/>
      <c r="L53" s="6">
        <f t="shared" si="32"/>
        <v>0</v>
      </c>
      <c r="M53" s="2"/>
      <c r="N53" s="7">
        <f t="shared" si="33"/>
        <v>0</v>
      </c>
      <c r="O53" s="11"/>
      <c r="P53" s="6">
        <v>214.36</v>
      </c>
      <c r="Q53" s="2"/>
      <c r="R53" s="7">
        <f t="shared" si="34"/>
        <v>0</v>
      </c>
      <c r="S53" s="2"/>
      <c r="T53" s="6">
        <v>93.22</v>
      </c>
      <c r="U53" s="2"/>
      <c r="V53" s="7">
        <f t="shared" si="35"/>
        <v>4.2523267370722786E-4</v>
      </c>
      <c r="W53" s="2"/>
      <c r="X53" s="6">
        <f t="shared" si="36"/>
        <v>121.14000000000001</v>
      </c>
      <c r="Y53" s="2"/>
      <c r="Z53" s="7">
        <f t="shared" si="37"/>
        <v>1.2995065436601589</v>
      </c>
    </row>
    <row r="54" spans="1:26" s="24" customFormat="1" hidden="1" outlineLevel="2" x14ac:dyDescent="0.25">
      <c r="A54" s="25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30"/>
        <v>0</v>
      </c>
      <c r="G54" s="2"/>
      <c r="H54" s="6">
        <v>196.08</v>
      </c>
      <c r="I54" s="2"/>
      <c r="J54" s="7">
        <f t="shared" si="31"/>
        <v>9.7911148928010745E-3</v>
      </c>
      <c r="K54" s="2"/>
      <c r="L54" s="6">
        <f t="shared" si="32"/>
        <v>-196.08</v>
      </c>
      <c r="M54" s="2"/>
      <c r="N54" s="7">
        <f t="shared" si="33"/>
        <v>-1</v>
      </c>
      <c r="O54" s="11"/>
      <c r="P54" s="6">
        <v>1017.69</v>
      </c>
      <c r="Q54" s="2"/>
      <c r="R54" s="7">
        <f t="shared" si="34"/>
        <v>0</v>
      </c>
      <c r="S54" s="2"/>
      <c r="T54" s="6">
        <v>6058.52</v>
      </c>
      <c r="U54" s="2"/>
      <c r="V54" s="7">
        <f t="shared" si="35"/>
        <v>2.7636565740277994E-2</v>
      </c>
      <c r="W54" s="2"/>
      <c r="X54" s="6">
        <f t="shared" si="36"/>
        <v>-5040.83</v>
      </c>
      <c r="Y54" s="2"/>
      <c r="Z54" s="7">
        <f t="shared" si="37"/>
        <v>-0.83202333243102267</v>
      </c>
    </row>
    <row r="55" spans="1:26" s="26" customFormat="1" outlineLevel="1" collapsed="1" x14ac:dyDescent="0.25">
      <c r="A55" s="27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SUM(OSRRefD22_10x_0)</f>
        <v>141.93</v>
      </c>
      <c r="E55" s="1"/>
      <c r="F55" s="5">
        <f t="shared" ref="F55:F58" si="38">IF(D$12=0,0,D55/D$12)</f>
        <v>0</v>
      </c>
      <c r="G55" s="1"/>
      <c r="H55" s="1">
        <f>SUM(OSRRefH22_10x_0)</f>
        <v>356.77</v>
      </c>
      <c r="I55" s="1"/>
      <c r="J55" s="5">
        <f t="shared" ref="J55:J58" si="39">IF(H$12=0,0,H55/H$12)</f>
        <v>1.7815055387110562E-2</v>
      </c>
      <c r="K55" s="1"/>
      <c r="L55" s="1">
        <f t="shared" ref="L55:L58" si="40">+D55-H55</f>
        <v>-214.83999999999997</v>
      </c>
      <c r="M55" s="1"/>
      <c r="N55" s="5">
        <f t="shared" ref="N55:N58" si="41">IF(H55=0,0,L55/H55)</f>
        <v>-0.60218067662639796</v>
      </c>
      <c r="O55" s="13"/>
      <c r="P55" s="1">
        <f>SUM(OSRRefP22_10x_0)</f>
        <v>1034.6600000000001</v>
      </c>
      <c r="Q55" s="1"/>
      <c r="R55" s="5">
        <f t="shared" ref="R55:R58" si="42">IF(P$12=0,0,P55/P$12)</f>
        <v>0</v>
      </c>
      <c r="S55" s="1"/>
      <c r="T55" s="1">
        <f>SUM(OSRRefT22_10x_0)</f>
        <v>2813.86</v>
      </c>
      <c r="U55" s="1"/>
      <c r="V55" s="5">
        <f t="shared" ref="V55:V58" si="43">IF(T$12=0,0,T55/T$12)</f>
        <v>1.2835713486782025E-2</v>
      </c>
      <c r="W55" s="1"/>
      <c r="X55" s="1">
        <f t="shared" ref="X55:X58" si="44">+P55-T55</f>
        <v>-1779.2</v>
      </c>
      <c r="Y55" s="1"/>
      <c r="Z55" s="5">
        <f t="shared" ref="Z55:Z58" si="45">IF(T55=0,0,X55/T55)</f>
        <v>-0.63229869289872276</v>
      </c>
    </row>
    <row r="56" spans="1:26" s="24" customFormat="1" hidden="1" outlineLevel="2" x14ac:dyDescent="0.25">
      <c r="A56" s="25"/>
      <c r="B56" s="11" t="str">
        <f>CONCATENATE("          ", "6282", " - ", "JANITORIAL/EXTERMINATOR EXPENS")</f>
        <v xml:space="preserve">          6282 - JANITORIAL/EXTERMINATOR EXPENS</v>
      </c>
      <c r="C56" s="11"/>
      <c r="D56" s="6">
        <v>141.93</v>
      </c>
      <c r="E56" s="2"/>
      <c r="F56" s="7">
        <f t="shared" si="38"/>
        <v>0</v>
      </c>
      <c r="G56" s="2"/>
      <c r="H56" s="6">
        <v>327.93</v>
      </c>
      <c r="I56" s="2"/>
      <c r="J56" s="7">
        <f t="shared" si="39"/>
        <v>1.6374950565056386E-2</v>
      </c>
      <c r="K56" s="2"/>
      <c r="L56" s="6">
        <f t="shared" si="40"/>
        <v>-186</v>
      </c>
      <c r="M56" s="2"/>
      <c r="N56" s="7">
        <f t="shared" si="41"/>
        <v>-0.56719421827829108</v>
      </c>
      <c r="O56" s="11"/>
      <c r="P56" s="6">
        <v>1207.7</v>
      </c>
      <c r="Q56" s="2"/>
      <c r="R56" s="7">
        <f t="shared" si="42"/>
        <v>0</v>
      </c>
      <c r="S56" s="2"/>
      <c r="T56" s="6">
        <v>2437.44</v>
      </c>
      <c r="U56" s="2"/>
      <c r="V56" s="7">
        <f t="shared" si="43"/>
        <v>1.1118634715736382E-2</v>
      </c>
      <c r="W56" s="2"/>
      <c r="X56" s="6">
        <f t="shared" si="44"/>
        <v>-1229.74</v>
      </c>
      <c r="Y56" s="2"/>
      <c r="Z56" s="7">
        <f t="shared" si="45"/>
        <v>-0.50452113693055012</v>
      </c>
    </row>
    <row r="57" spans="1:26" s="24" customFormat="1" hidden="1" outlineLevel="2" x14ac:dyDescent="0.25">
      <c r="A57" s="25"/>
      <c r="B57" s="11" t="str">
        <f>CONCATENATE("          ", "6285", " - ", "JANITORIAL SERVICES")</f>
        <v xml:space="preserve">          6285 - JANITORIAL SERVICES</v>
      </c>
      <c r="C57" s="11"/>
      <c r="D57" s="6"/>
      <c r="E57" s="2"/>
      <c r="F57" s="7">
        <f t="shared" si="38"/>
        <v>0</v>
      </c>
      <c r="G57" s="2"/>
      <c r="H57" s="6">
        <v>28.84</v>
      </c>
      <c r="I57" s="2"/>
      <c r="J57" s="7">
        <f t="shared" si="39"/>
        <v>1.4401048220541767E-3</v>
      </c>
      <c r="K57" s="2"/>
      <c r="L57" s="6">
        <f t="shared" si="40"/>
        <v>-28.84</v>
      </c>
      <c r="M57" s="2"/>
      <c r="N57" s="7">
        <f t="shared" si="41"/>
        <v>-1</v>
      </c>
      <c r="O57" s="11"/>
      <c r="P57" s="6">
        <v>-173.04</v>
      </c>
      <c r="Q57" s="2"/>
      <c r="R57" s="7">
        <f t="shared" si="42"/>
        <v>0</v>
      </c>
      <c r="S57" s="2"/>
      <c r="T57" s="6">
        <v>190.42</v>
      </c>
      <c r="U57" s="2"/>
      <c r="V57" s="7">
        <f t="shared" si="43"/>
        <v>8.6862052914964951E-4</v>
      </c>
      <c r="W57" s="2"/>
      <c r="X57" s="6">
        <f t="shared" si="44"/>
        <v>-363.46</v>
      </c>
      <c r="Y57" s="2"/>
      <c r="Z57" s="7">
        <f t="shared" si="45"/>
        <v>-1.9087280747820607</v>
      </c>
    </row>
    <row r="58" spans="1:26" s="24" customFormat="1" hidden="1" outlineLevel="2" x14ac:dyDescent="0.25">
      <c r="A58" s="25"/>
      <c r="B58" s="11" t="str">
        <f>CONCATENATE("          ", "6286", " - ", "LAUNDRY EXPENSE")</f>
        <v xml:space="preserve">          6286 - LAUNDRY EXPENSE</v>
      </c>
      <c r="C58" s="11"/>
      <c r="D58" s="6"/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1"/>
      <c r="P58" s="6"/>
      <c r="Q58" s="2"/>
      <c r="R58" s="7">
        <f t="shared" si="42"/>
        <v>0</v>
      </c>
      <c r="S58" s="2"/>
      <c r="T58" s="6">
        <v>186</v>
      </c>
      <c r="U58" s="2"/>
      <c r="V58" s="7">
        <f t="shared" si="43"/>
        <v>8.4845824189599213E-4</v>
      </c>
      <c r="W58" s="2"/>
      <c r="X58" s="6">
        <f t="shared" si="44"/>
        <v>-186</v>
      </c>
      <c r="Y58" s="2"/>
      <c r="Z58" s="7">
        <f t="shared" si="45"/>
        <v>-1</v>
      </c>
    </row>
    <row r="59" spans="1:26" s="26" customFormat="1" outlineLevel="1" collapsed="1" x14ac:dyDescent="0.25">
      <c r="A59" s="27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SUM(OSRRefD22_11x_0)</f>
        <v>0</v>
      </c>
      <c r="E59" s="1"/>
      <c r="F59" s="5">
        <f t="shared" ref="F59:F62" si="46">IF(D$12=0,0,D59/D$12)</f>
        <v>0</v>
      </c>
      <c r="G59" s="1"/>
      <c r="H59" s="1">
        <f>SUM(OSRRefH22_11x_0)</f>
        <v>264.25</v>
      </c>
      <c r="I59" s="1"/>
      <c r="J59" s="5">
        <f t="shared" ref="J59:J62" si="47">IF(H$12=0,0,H59/H$12)</f>
        <v>1.3195135202074071E-2</v>
      </c>
      <c r="K59" s="1"/>
      <c r="L59" s="1">
        <f t="shared" ref="L59:L62" si="48">+D59-H59</f>
        <v>-264.25</v>
      </c>
      <c r="M59" s="1"/>
      <c r="N59" s="5">
        <f t="shared" ref="N59:N62" si="49">IF(H59=0,0,L59/H59)</f>
        <v>-1</v>
      </c>
      <c r="O59" s="13"/>
      <c r="P59" s="1">
        <f>SUM(OSRRefP22_11x_0)</f>
        <v>0</v>
      </c>
      <c r="Q59" s="1"/>
      <c r="R59" s="5">
        <f t="shared" ref="R59:R62" si="50">IF(P$12=0,0,P59/P$12)</f>
        <v>0</v>
      </c>
      <c r="S59" s="1"/>
      <c r="T59" s="1">
        <f>SUM(OSRRefT22_11x_0)</f>
        <v>7318.78</v>
      </c>
      <c r="U59" s="1"/>
      <c r="V59" s="5">
        <f t="shared" ref="V59:V62" si="51">IF(T$12=0,0,T59/T$12)</f>
        <v>3.338537210550295E-2</v>
      </c>
      <c r="W59" s="1"/>
      <c r="X59" s="1">
        <f t="shared" ref="X59:X62" si="52">+P59-T59</f>
        <v>-7318.78</v>
      </c>
      <c r="Y59" s="1"/>
      <c r="Z59" s="5">
        <f t="shared" ref="Z59:Z62" si="53">IF(T59=0,0,X59/T59)</f>
        <v>-1</v>
      </c>
    </row>
    <row r="60" spans="1:26" s="24" customFormat="1" hidden="1" outlineLevel="2" x14ac:dyDescent="0.25">
      <c r="A60" s="25"/>
      <c r="B60" s="11" t="str">
        <f>CONCATENATE("          ", "6237", " - ", "JANITORIAL SUPPLIES")</f>
        <v xml:space="preserve">          6237 - JANITORIAL SUPPLIES</v>
      </c>
      <c r="C60" s="11"/>
      <c r="D60" s="6"/>
      <c r="E60" s="2"/>
      <c r="F60" s="7">
        <f t="shared" si="46"/>
        <v>0</v>
      </c>
      <c r="G60" s="2"/>
      <c r="H60" s="6">
        <v>95.12</v>
      </c>
      <c r="I60" s="2"/>
      <c r="J60" s="7">
        <f t="shared" si="47"/>
        <v>4.7497493298818754E-3</v>
      </c>
      <c r="K60" s="2"/>
      <c r="L60" s="6">
        <f t="shared" si="48"/>
        <v>-95.12</v>
      </c>
      <c r="M60" s="2"/>
      <c r="N60" s="7">
        <f t="shared" si="49"/>
        <v>-1</v>
      </c>
      <c r="O60" s="11"/>
      <c r="P60" s="6"/>
      <c r="Q60" s="2"/>
      <c r="R60" s="7">
        <f t="shared" si="50"/>
        <v>0</v>
      </c>
      <c r="S60" s="2"/>
      <c r="T60" s="6">
        <v>995.54</v>
      </c>
      <c r="U60" s="2"/>
      <c r="V60" s="7">
        <f t="shared" si="51"/>
        <v>4.5412586996620213E-3</v>
      </c>
      <c r="W60" s="2"/>
      <c r="X60" s="6">
        <f t="shared" si="52"/>
        <v>-995.54</v>
      </c>
      <c r="Y60" s="2"/>
      <c r="Z60" s="7">
        <f t="shared" si="53"/>
        <v>-1</v>
      </c>
    </row>
    <row r="61" spans="1:26" s="24" customFormat="1" hidden="1" outlineLevel="2" x14ac:dyDescent="0.25">
      <c r="A61" s="25"/>
      <c r="B61" s="11" t="str">
        <f>CONCATENATE("          ", "6243", " - ", "PAPER SUPPLIES")</f>
        <v xml:space="preserve">          6243 - PAPER SUPPLIES</v>
      </c>
      <c r="C61" s="11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/>
      <c r="Q61" s="2"/>
      <c r="R61" s="7">
        <f t="shared" si="50"/>
        <v>0</v>
      </c>
      <c r="S61" s="2"/>
      <c r="T61" s="6">
        <v>704.76</v>
      </c>
      <c r="U61" s="2"/>
      <c r="V61" s="7">
        <f t="shared" si="51"/>
        <v>3.2148356481646206E-3</v>
      </c>
      <c r="W61" s="2"/>
      <c r="X61" s="6">
        <f t="shared" si="52"/>
        <v>-704.76</v>
      </c>
      <c r="Y61" s="2"/>
      <c r="Z61" s="7">
        <f t="shared" si="53"/>
        <v>-1</v>
      </c>
    </row>
    <row r="62" spans="1:26" s="24" customFormat="1" hidden="1" outlineLevel="2" x14ac:dyDescent="0.25">
      <c r="A62" s="25"/>
      <c r="B62" s="11" t="str">
        <f>CONCATENATE("          ", "6247", " - ", "STORE SUPPLIES")</f>
        <v xml:space="preserve">          6247 - STORE SUPPLIES</v>
      </c>
      <c r="C62" s="11"/>
      <c r="D62" s="6"/>
      <c r="E62" s="2"/>
      <c r="F62" s="7">
        <f t="shared" si="46"/>
        <v>0</v>
      </c>
      <c r="G62" s="2"/>
      <c r="H62" s="6">
        <v>169.13</v>
      </c>
      <c r="I62" s="2"/>
      <c r="J62" s="7">
        <f t="shared" si="47"/>
        <v>8.4453858721921949E-3</v>
      </c>
      <c r="K62" s="2"/>
      <c r="L62" s="6">
        <f t="shared" si="48"/>
        <v>-169.13</v>
      </c>
      <c r="M62" s="2"/>
      <c r="N62" s="7">
        <f t="shared" si="49"/>
        <v>-1</v>
      </c>
      <c r="O62" s="11"/>
      <c r="P62" s="6"/>
      <c r="Q62" s="2"/>
      <c r="R62" s="7">
        <f t="shared" si="50"/>
        <v>0</v>
      </c>
      <c r="S62" s="2"/>
      <c r="T62" s="6">
        <v>5618.48</v>
      </c>
      <c r="U62" s="2"/>
      <c r="V62" s="7">
        <f t="shared" si="51"/>
        <v>2.562927775767631E-2</v>
      </c>
      <c r="W62" s="2"/>
      <c r="X62" s="6">
        <f t="shared" si="52"/>
        <v>-5618.48</v>
      </c>
      <c r="Y62" s="2"/>
      <c r="Z62" s="7">
        <f t="shared" si="53"/>
        <v>-1</v>
      </c>
    </row>
    <row r="63" spans="1:26" s="26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SUM(OSRRefD22_12x_0)</f>
        <v>30</v>
      </c>
      <c r="E63" s="1"/>
      <c r="F63" s="5">
        <f t="shared" ref="F63:F64" si="54">IF(D$12=0,0,D63/D$12)</f>
        <v>0</v>
      </c>
      <c r="G63" s="1"/>
      <c r="H63" s="1">
        <f>SUM(OSRRefH22_12x_0)</f>
        <v>91.01</v>
      </c>
      <c r="I63" s="1"/>
      <c r="J63" s="5">
        <f t="shared" ref="J63:J64" si="55">IF(H$12=0,0,H63/H$12)</f>
        <v>4.5445194124532117E-3</v>
      </c>
      <c r="K63" s="1"/>
      <c r="L63" s="1">
        <f t="shared" ref="L63:L64" si="56">+D63-H63</f>
        <v>-61.010000000000005</v>
      </c>
      <c r="M63" s="1"/>
      <c r="N63" s="5">
        <f t="shared" ref="N63:N64" si="57">IF(H63=0,0,L63/H63)</f>
        <v>-0.67036589385781786</v>
      </c>
      <c r="O63" s="13"/>
      <c r="P63" s="1">
        <f>SUM(OSRRefP22_12x_0)</f>
        <v>304.32</v>
      </c>
      <c r="Q63" s="1"/>
      <c r="R63" s="5">
        <f t="shared" ref="R63:R64" si="58">IF(P$12=0,0,P63/P$12)</f>
        <v>0</v>
      </c>
      <c r="S63" s="1"/>
      <c r="T63" s="1">
        <f>SUM(OSRRefT22_12x_0)</f>
        <v>637.07000000000005</v>
      </c>
      <c r="U63" s="1"/>
      <c r="V63" s="5">
        <f t="shared" ref="V63:V64" si="59">IF(T$12=0,0,T63/T$12)</f>
        <v>2.9060607105627946E-3</v>
      </c>
      <c r="W63" s="1"/>
      <c r="X63" s="1">
        <f t="shared" ref="X63:X64" si="60">+P63-T63</f>
        <v>-332.75000000000006</v>
      </c>
      <c r="Y63" s="1"/>
      <c r="Z63" s="5">
        <f t="shared" ref="Z63:Z64" si="61">IF(T63=0,0,X63/T63)</f>
        <v>-0.52231308961338629</v>
      </c>
    </row>
    <row r="64" spans="1:26" s="24" customFormat="1" hidden="1" outlineLevel="2" x14ac:dyDescent="0.25">
      <c r="A64" s="25"/>
      <c r="B64" s="11" t="str">
        <f>CONCATENATE("          ", "6309", " - ", "TELEPHONE")</f>
        <v xml:space="preserve">          6309 - TELEPHONE</v>
      </c>
      <c r="C64" s="11"/>
      <c r="D64" s="6">
        <v>30</v>
      </c>
      <c r="E64" s="2"/>
      <c r="F64" s="7">
        <f t="shared" si="54"/>
        <v>0</v>
      </c>
      <c r="G64" s="2"/>
      <c r="H64" s="6">
        <v>91.01</v>
      </c>
      <c r="I64" s="2"/>
      <c r="J64" s="7">
        <f t="shared" si="55"/>
        <v>4.5445194124532117E-3</v>
      </c>
      <c r="K64" s="2"/>
      <c r="L64" s="6">
        <f t="shared" si="56"/>
        <v>-61.010000000000005</v>
      </c>
      <c r="M64" s="2"/>
      <c r="N64" s="7">
        <f t="shared" si="57"/>
        <v>-0.67036589385781786</v>
      </c>
      <c r="O64" s="11"/>
      <c r="P64" s="6">
        <v>304.32</v>
      </c>
      <c r="Q64" s="2"/>
      <c r="R64" s="7">
        <f t="shared" si="58"/>
        <v>0</v>
      </c>
      <c r="S64" s="2"/>
      <c r="T64" s="6">
        <v>637.07000000000005</v>
      </c>
      <c r="U64" s="2"/>
      <c r="V64" s="7">
        <f t="shared" si="59"/>
        <v>2.9060607105627946E-3</v>
      </c>
      <c r="W64" s="2"/>
      <c r="X64" s="6">
        <f t="shared" si="60"/>
        <v>-332.75000000000006</v>
      </c>
      <c r="Y64" s="2"/>
      <c r="Z64" s="7">
        <f t="shared" si="61"/>
        <v>-0.52231308961338629</v>
      </c>
    </row>
    <row r="65" spans="1:26" s="61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9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8" t="s">
        <v>3</v>
      </c>
      <c r="C68" s="28"/>
      <c r="D68" s="20">
        <f>+D20-D22+D66</f>
        <v>-760.09999999999991</v>
      </c>
      <c r="E68" s="14"/>
      <c r="F68" s="22">
        <f>IF(D$12=0,0,D68/D$12)</f>
        <v>0</v>
      </c>
      <c r="G68" s="14"/>
      <c r="H68" s="20">
        <f>+H20-H22+H66</f>
        <v>-1481.2800000000007</v>
      </c>
      <c r="I68" s="14"/>
      <c r="J68" s="22">
        <f>IF(H$12=0,0,H68/H$12)</f>
        <v>-7.3966659875603732E-2</v>
      </c>
      <c r="K68" s="15"/>
      <c r="L68" s="20">
        <f>+D68-H68</f>
        <v>721.18000000000075</v>
      </c>
      <c r="M68" s="15"/>
      <c r="N68" s="22">
        <f>IF(H68=0,0,L68/H68)</f>
        <v>-0.48686271332901304</v>
      </c>
      <c r="O68" s="29"/>
      <c r="P68" s="20">
        <f>+P20-P22+P66</f>
        <v>-7010.9999999999982</v>
      </c>
      <c r="Q68" s="14"/>
      <c r="R68" s="22">
        <f>IF(P$12=0,0,P68/P$12)</f>
        <v>0</v>
      </c>
      <c r="S68" s="14"/>
      <c r="T68" s="20">
        <f>+T20-T22+T66</f>
        <v>16866.180000000008</v>
      </c>
      <c r="U68" s="14"/>
      <c r="V68" s="22">
        <f>IF(T$12=0,0,T68/T$12)</f>
        <v>7.6936824894093286E-2</v>
      </c>
      <c r="W68" s="15"/>
      <c r="X68" s="20">
        <f>+P68-T68</f>
        <v>-23877.180000000008</v>
      </c>
      <c r="Y68" s="15"/>
      <c r="Z68" s="22">
        <f>IF(T68=0,0,X68/T68)</f>
        <v>-1.4156839308011653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/>
      <c r="E70" s="4"/>
      <c r="F70" s="12">
        <f>IF(D$12=0,0,D70/D$12)</f>
        <v>0</v>
      </c>
      <c r="G70" s="4"/>
      <c r="H70" s="4">
        <v>1347.08</v>
      </c>
      <c r="I70" s="4"/>
      <c r="J70" s="12">
        <f>IF(H$12=0,0,H70/H$12)</f>
        <v>6.7265478630122749E-2</v>
      </c>
      <c r="K70" s="4"/>
      <c r="L70" s="4">
        <f>+D70-H70</f>
        <v>-1347.08</v>
      </c>
      <c r="M70" s="4"/>
      <c r="N70" s="12">
        <f>IF(H70=0,0,L70/H70)</f>
        <v>-1</v>
      </c>
      <c r="O70" s="10"/>
      <c r="P70" s="4"/>
      <c r="Q70" s="4"/>
      <c r="R70" s="12">
        <f>IF(P$12=0,0,P70/P$12)</f>
        <v>0</v>
      </c>
      <c r="S70" s="4"/>
      <c r="T70" s="4">
        <v>22861.66</v>
      </c>
      <c r="U70" s="4"/>
      <c r="V70" s="12">
        <f>IF(T$12=0,0,T70/T$12)</f>
        <v>0.10428582715281681</v>
      </c>
      <c r="W70" s="4"/>
      <c r="X70" s="4">
        <f>+P70-T70</f>
        <v>-22861.66</v>
      </c>
      <c r="Y70" s="4"/>
      <c r="Z70" s="12">
        <f>IF(T70=0,0,X70/T70)</f>
        <v>-1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4</v>
      </c>
      <c r="C72" s="28"/>
      <c r="D72" s="30">
        <f>+D68-D70</f>
        <v>-760.09999999999991</v>
      </c>
      <c r="E72" s="14"/>
      <c r="F72" s="36">
        <f>IF(D$12=0,0,D72/D$12)</f>
        <v>0</v>
      </c>
      <c r="G72" s="14"/>
      <c r="H72" s="30">
        <f>+H68-H70</f>
        <v>-2828.3600000000006</v>
      </c>
      <c r="I72" s="14"/>
      <c r="J72" s="36">
        <f>IF(H$12=0,0,H72/H$12)</f>
        <v>-0.1412321385057265</v>
      </c>
      <c r="K72" s="15"/>
      <c r="L72" s="30">
        <f>D72-H72</f>
        <v>2068.2600000000007</v>
      </c>
      <c r="M72" s="15"/>
      <c r="N72" s="36">
        <f>IF(H72=0,0,L72/H72)</f>
        <v>-0.73125768996874518</v>
      </c>
      <c r="O72" s="29"/>
      <c r="P72" s="30">
        <f>+P68-P70</f>
        <v>-7010.9999999999982</v>
      </c>
      <c r="Q72" s="14"/>
      <c r="R72" s="36">
        <f>IF(P$12=0,0,P72/P$12)</f>
        <v>0</v>
      </c>
      <c r="S72" s="14"/>
      <c r="T72" s="30">
        <f>+T68-T70</f>
        <v>-5995.4799999999923</v>
      </c>
      <c r="U72" s="14"/>
      <c r="V72" s="36">
        <f>IF(T$12=0,0,T72/T$12)</f>
        <v>-2.7349002258723529E-2</v>
      </c>
      <c r="W72" s="15"/>
      <c r="X72" s="30">
        <f>P72-T72</f>
        <v>-1015.5200000000059</v>
      </c>
      <c r="Y72" s="15"/>
      <c r="Z72" s="36">
        <f>IF(T72=0,0,X72/T72)</f>
        <v>0.16938093363667417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5</v>
      </c>
      <c r="C75" s="28"/>
      <c r="D75" s="32">
        <f>SUM(D72:D74)</f>
        <v>-760.09999999999991</v>
      </c>
      <c r="E75" s="14"/>
      <c r="F75" s="31">
        <f>IF(D$12=0,0,D75/D$12)</f>
        <v>0</v>
      </c>
      <c r="G75" s="14"/>
      <c r="H75" s="32">
        <f>SUM(H72:H74)</f>
        <v>-2828.3600000000006</v>
      </c>
      <c r="I75" s="14"/>
      <c r="J75" s="31">
        <f>IF(H$12=0,0,H75/H$12)</f>
        <v>-0.1412321385057265</v>
      </c>
      <c r="K75" s="15"/>
      <c r="L75" s="32">
        <f>+D75-H75</f>
        <v>2068.2600000000007</v>
      </c>
      <c r="M75" s="15"/>
      <c r="N75" s="31">
        <f>IF(H75=0,0,L75/H75)</f>
        <v>-0.73125768996874518</v>
      </c>
      <c r="O75" s="29"/>
      <c r="P75" s="32">
        <f>SUM(P72:P74)</f>
        <v>-7010.9999999999982</v>
      </c>
      <c r="Q75" s="14"/>
      <c r="R75" s="31">
        <f>IF(P$12=0,0,P75/P$12)</f>
        <v>0</v>
      </c>
      <c r="S75" s="14"/>
      <c r="T75" s="32">
        <f>SUM(T72:T74)</f>
        <v>-5995.4799999999923</v>
      </c>
      <c r="U75" s="14"/>
      <c r="V75" s="31">
        <f>IF(T$12=0,0,T75/T$12)</f>
        <v>-2.7349002258723529E-2</v>
      </c>
      <c r="W75" s="15"/>
      <c r="X75" s="32">
        <f>+P75-T75</f>
        <v>-1015.5200000000059</v>
      </c>
      <c r="Y75" s="15"/>
      <c r="Z75" s="31">
        <f>IF(T75=0,0,X75/T75)</f>
        <v>0.16938093363667417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62">
        <v>44238.496187581019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9" t="s">
        <v>313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6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","313", " - ", "Convenience Store")</f>
        <v>Department 313 - Convenience Store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42347.089999999989</v>
      </c>
      <c r="I12" s="4"/>
      <c r="J12" s="12"/>
      <c r="K12" s="4"/>
      <c r="L12" s="4">
        <f t="shared" ref="L12:L18" si="0">+D12-H12</f>
        <v>-42347.089999999989</v>
      </c>
      <c r="M12" s="4"/>
      <c r="N12" s="12">
        <f t="shared" ref="N12:N18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379920.38</v>
      </c>
      <c r="U12" s="4"/>
      <c r="V12" s="12"/>
      <c r="W12" s="4"/>
      <c r="X12" s="4">
        <f t="shared" ref="X12:X18" si="2">+P12-T12</f>
        <v>-379920.38</v>
      </c>
      <c r="Y12" s="4"/>
      <c r="Z12" s="12">
        <f t="shared" ref="Z12:Z18" si="3">IF(T12=0,0,X12/T12)</f>
        <v>-1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8" si="4">0</f>
        <v>0</v>
      </c>
      <c r="E13" s="2"/>
      <c r="F13" s="19"/>
      <c r="G13" s="2"/>
      <c r="H13" s="2">
        <f>--8276.01</f>
        <v>8276.01</v>
      </c>
      <c r="I13" s="2"/>
      <c r="J13" s="19"/>
      <c r="K13" s="2"/>
      <c r="L13" s="2">
        <f t="shared" si="0"/>
        <v>-8276.01</v>
      </c>
      <c r="M13" s="2"/>
      <c r="N13" s="19">
        <f t="shared" si="1"/>
        <v>-1</v>
      </c>
      <c r="O13" s="11"/>
      <c r="P13" s="2">
        <f t="shared" ref="P13:P18" si="5">0</f>
        <v>0</v>
      </c>
      <c r="Q13" s="2"/>
      <c r="R13" s="19"/>
      <c r="S13" s="2"/>
      <c r="T13" s="2">
        <f>--80501.09</f>
        <v>80501.09</v>
      </c>
      <c r="U13" s="2"/>
      <c r="V13" s="19"/>
      <c r="W13" s="2"/>
      <c r="X13" s="2">
        <f t="shared" si="2"/>
        <v>-80501.09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>
        <f>--302.09</f>
        <v>302.08999999999997</v>
      </c>
      <c r="I14" s="2"/>
      <c r="J14" s="19"/>
      <c r="K14" s="2"/>
      <c r="L14" s="2">
        <f t="shared" si="0"/>
        <v>-302.08999999999997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--2504.01</f>
        <v>2504.0100000000002</v>
      </c>
      <c r="U14" s="2"/>
      <c r="V14" s="19"/>
      <c r="W14" s="2"/>
      <c r="X14" s="2">
        <f t="shared" si="2"/>
        <v>-2504.0100000000002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>
        <f>--33626.7</f>
        <v>33626.699999999997</v>
      </c>
      <c r="I15" s="2"/>
      <c r="J15" s="19"/>
      <c r="K15" s="2"/>
      <c r="L15" s="2">
        <f t="shared" si="0"/>
        <v>-33626.699999999997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--295622.5</f>
        <v>295622.5</v>
      </c>
      <c r="U15" s="2"/>
      <c r="V15" s="19"/>
      <c r="W15" s="2"/>
      <c r="X15" s="2">
        <f t="shared" si="2"/>
        <v>-295622.5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"4133", " - ", "NON-TAXABLE SALES-CANDY")</f>
        <v xml:space="preserve">          4133 - NON-TAXABLE SALES-CANDY</v>
      </c>
      <c r="C16" s="11"/>
      <c r="D16" s="2">
        <f t="shared" si="4"/>
        <v>0</v>
      </c>
      <c r="E16" s="2"/>
      <c r="F16" s="19"/>
      <c r="G16" s="2"/>
      <c r="H16" s="2">
        <f>--1.59</f>
        <v>1.59</v>
      </c>
      <c r="I16" s="2"/>
      <c r="J16" s="19"/>
      <c r="K16" s="2"/>
      <c r="L16" s="2">
        <f t="shared" si="0"/>
        <v>-1.59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--1.59</f>
        <v>1.59</v>
      </c>
      <c r="U16" s="2"/>
      <c r="V16" s="19"/>
      <c r="W16" s="2"/>
      <c r="X16" s="2">
        <f t="shared" si="2"/>
        <v>-1.59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"4134", " - ", "NON-TAXABLE SALES-SODA")</f>
        <v xml:space="preserve">          4134 - NON-TAXABLE SALES-SODA</v>
      </c>
      <c r="C17" s="11"/>
      <c r="D17" s="2">
        <f t="shared" si="4"/>
        <v>0</v>
      </c>
      <c r="E17" s="2"/>
      <c r="F17" s="19"/>
      <c r="G17" s="2"/>
      <c r="H17" s="2">
        <f>--8.02</f>
        <v>8.02</v>
      </c>
      <c r="I17" s="2"/>
      <c r="J17" s="19"/>
      <c r="K17" s="2"/>
      <c r="L17" s="2">
        <f t="shared" si="0"/>
        <v>-8.02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--8.41</f>
        <v>8.41</v>
      </c>
      <c r="U17" s="2"/>
      <c r="V17" s="19"/>
      <c r="W17" s="2"/>
      <c r="X17" s="2">
        <f t="shared" si="2"/>
        <v>-8.41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"4137", " - ", "NON-TAXABLE SALES-WATER")</f>
        <v xml:space="preserve">          4137 - NON-TAXABLE SALES-WATER</v>
      </c>
      <c r="C18" s="11"/>
      <c r="D18" s="2">
        <f t="shared" si="4"/>
        <v>0</v>
      </c>
      <c r="E18" s="2"/>
      <c r="F18" s="19"/>
      <c r="G18" s="2"/>
      <c r="H18" s="2">
        <f>--132.68</f>
        <v>132.68</v>
      </c>
      <c r="I18" s="2"/>
      <c r="J18" s="19"/>
      <c r="K18" s="2"/>
      <c r="L18" s="2">
        <f t="shared" si="0"/>
        <v>-132.68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--1282.78</f>
        <v>1282.78</v>
      </c>
      <c r="U18" s="2"/>
      <c r="V18" s="19"/>
      <c r="W18" s="2"/>
      <c r="X18" s="2">
        <f t="shared" si="2"/>
        <v>-1282.78</v>
      </c>
      <c r="Y18" s="2"/>
      <c r="Z18" s="19">
        <f t="shared" si="3"/>
        <v>-1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9" t="s">
        <v>8</v>
      </c>
      <c r="C20" s="10"/>
      <c r="D20" s="4">
        <f>SUM(OSRRefD16x_0)</f>
        <v>0</v>
      </c>
      <c r="E20" s="4"/>
      <c r="F20" s="12">
        <f t="shared" ref="F20:F22" si="6">IF(D$12=0,0,D20/D$12)</f>
        <v>0</v>
      </c>
      <c r="G20" s="4"/>
      <c r="H20" s="4">
        <f>SUM(OSRRefH16x_0)</f>
        <v>20327.25</v>
      </c>
      <c r="I20" s="4"/>
      <c r="J20" s="12">
        <f t="shared" ref="J20:J22" si="7">IF(H$12=0,0,H20/H$12)</f>
        <v>0.48001527377678149</v>
      </c>
      <c r="K20" s="4"/>
      <c r="L20" s="4">
        <f t="shared" ref="L20:L22" si="8">+D20-H20</f>
        <v>-20327.25</v>
      </c>
      <c r="M20" s="4"/>
      <c r="N20" s="12">
        <f t="shared" ref="N20:N22" si="9">IF(H20=0,0,L20/H20)</f>
        <v>-1</v>
      </c>
      <c r="O20" s="10"/>
      <c r="P20" s="4">
        <f>SUM(OSRRefP16x_0)</f>
        <v>-613.59</v>
      </c>
      <c r="Q20" s="4"/>
      <c r="R20" s="12">
        <f t="shared" ref="R20:R22" si="10">IF(P$12=0,0,P20/P$12)</f>
        <v>0</v>
      </c>
      <c r="S20" s="4"/>
      <c r="T20" s="4">
        <f>SUM(OSRRefT16x_0)</f>
        <v>179412.62</v>
      </c>
      <c r="U20" s="4"/>
      <c r="V20" s="12">
        <f t="shared" ref="V20:V22" si="11">IF(T$12=0,0,T20/T$12)</f>
        <v>0.47223741985096979</v>
      </c>
      <c r="W20" s="4"/>
      <c r="X20" s="4">
        <f t="shared" ref="X20:X22" si="12">+P20-T20</f>
        <v>-180026.21</v>
      </c>
      <c r="Y20" s="4"/>
      <c r="Z20" s="12">
        <f t="shared" ref="Z20:Z22" si="13">IF(T20=0,0,X20/T20)</f>
        <v>-1.0034199935322274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/>
      <c r="E21" s="2"/>
      <c r="F21" s="19">
        <f t="shared" si="6"/>
        <v>0</v>
      </c>
      <c r="G21" s="2"/>
      <c r="H21" s="2">
        <v>21892.15</v>
      </c>
      <c r="I21" s="2"/>
      <c r="J21" s="19">
        <f t="shared" si="7"/>
        <v>0.51696940687069659</v>
      </c>
      <c r="K21" s="2"/>
      <c r="L21" s="2">
        <f t="shared" si="8"/>
        <v>-21892.15</v>
      </c>
      <c r="M21" s="2"/>
      <c r="N21" s="19">
        <f t="shared" si="9"/>
        <v>-1</v>
      </c>
      <c r="O21" s="11"/>
      <c r="P21" s="2">
        <v>-613.59</v>
      </c>
      <c r="Q21" s="2"/>
      <c r="R21" s="19">
        <f t="shared" si="10"/>
        <v>0</v>
      </c>
      <c r="S21" s="2"/>
      <c r="T21" s="2">
        <v>184400.84</v>
      </c>
      <c r="U21" s="2"/>
      <c r="V21" s="19">
        <f t="shared" si="11"/>
        <v>0.48536706559411208</v>
      </c>
      <c r="W21" s="2"/>
      <c r="X21" s="2">
        <f t="shared" si="12"/>
        <v>-185014.43</v>
      </c>
      <c r="Y21" s="2"/>
      <c r="Z21" s="19">
        <f t="shared" si="13"/>
        <v>-1.0033274794192912</v>
      </c>
    </row>
    <row r="22" spans="1:26" s="24" customFormat="1" hidden="1" outlineLevel="1" x14ac:dyDescent="0.25">
      <c r="A22" s="44"/>
      <c r="B22" s="11" t="str">
        <f>CONCATENATE("          ", "5059", " - ", "PURCHASES @ COST-FOOD")</f>
        <v xml:space="preserve">          5059 - PURCHASES @ COST-FOOD</v>
      </c>
      <c r="C22" s="11"/>
      <c r="D22" s="2"/>
      <c r="E22" s="2"/>
      <c r="F22" s="19">
        <f t="shared" si="6"/>
        <v>0</v>
      </c>
      <c r="G22" s="2"/>
      <c r="H22" s="2">
        <v>-1564.9</v>
      </c>
      <c r="I22" s="2"/>
      <c r="J22" s="19">
        <f t="shared" si="7"/>
        <v>-3.6954133093915084E-2</v>
      </c>
      <c r="K22" s="2"/>
      <c r="L22" s="2">
        <f t="shared" si="8"/>
        <v>1564.9</v>
      </c>
      <c r="M22" s="2"/>
      <c r="N22" s="19">
        <f t="shared" si="9"/>
        <v>-1</v>
      </c>
      <c r="O22" s="11"/>
      <c r="P22" s="2"/>
      <c r="Q22" s="2"/>
      <c r="R22" s="19">
        <f t="shared" si="10"/>
        <v>0</v>
      </c>
      <c r="S22" s="2"/>
      <c r="T22" s="2">
        <v>-4988.22</v>
      </c>
      <c r="U22" s="2"/>
      <c r="V22" s="19">
        <f t="shared" si="11"/>
        <v>-1.3129645743142288E-2</v>
      </c>
      <c r="W22" s="2"/>
      <c r="X22" s="2">
        <f t="shared" si="12"/>
        <v>4988.22</v>
      </c>
      <c r="Y22" s="2"/>
      <c r="Z22" s="19">
        <f t="shared" si="13"/>
        <v>-1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6</v>
      </c>
      <c r="C24" s="28"/>
      <c r="D24" s="20">
        <f>D12-D20</f>
        <v>0</v>
      </c>
      <c r="E24" s="14"/>
      <c r="F24" s="22">
        <f>IF(D$12=0,0,D24/D$12)</f>
        <v>0</v>
      </c>
      <c r="G24" s="14"/>
      <c r="H24" s="20">
        <f>H12-H20</f>
        <v>22019.839999999989</v>
      </c>
      <c r="I24" s="14"/>
      <c r="J24" s="22">
        <f>IF(H$12=0,0,H24/H$12)</f>
        <v>0.51998472622321856</v>
      </c>
      <c r="K24" s="15"/>
      <c r="L24" s="20">
        <f>+D24-H24</f>
        <v>-22019.839999999989</v>
      </c>
      <c r="M24" s="15"/>
      <c r="N24" s="22">
        <f>IF(H24=0,0,L24/H24)</f>
        <v>-1</v>
      </c>
      <c r="O24" s="29"/>
      <c r="P24" s="20">
        <f>P12-P20</f>
        <v>613.59</v>
      </c>
      <c r="Q24" s="14"/>
      <c r="R24" s="22">
        <f>IF(P$12=0,0,P24/P$12)</f>
        <v>0</v>
      </c>
      <c r="S24" s="14"/>
      <c r="T24" s="20">
        <f>T12-T20</f>
        <v>200507.76</v>
      </c>
      <c r="U24" s="14"/>
      <c r="V24" s="22">
        <f>IF(T$12=0,0,T24/T$12)</f>
        <v>0.52776258014903021</v>
      </c>
      <c r="W24" s="15"/>
      <c r="X24" s="20">
        <f>+P24-T24</f>
        <v>-199894.17</v>
      </c>
      <c r="Y24" s="15"/>
      <c r="Z24" s="22">
        <f>IF(T24=0,0,X24/T24)</f>
        <v>-0.99693981918704799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9" t="s">
        <v>9</v>
      </c>
      <c r="C26" s="10"/>
      <c r="D26" s="21">
        <f>SUM(OSRRefD22x_0)</f>
        <v>80.17</v>
      </c>
      <c r="E26" s="21"/>
      <c r="F26" s="35">
        <f t="shared" ref="F26:F35" si="14">IF(D$12=0,0,D26/D$12)</f>
        <v>0</v>
      </c>
      <c r="G26" s="21"/>
      <c r="H26" s="21">
        <f>SUM(OSRRefH22x_0)</f>
        <v>18971.379999999997</v>
      </c>
      <c r="I26" s="21"/>
      <c r="J26" s="35">
        <f t="shared" ref="J26:J35" si="15">IF(H$12=0,0,H26/H$12)</f>
        <v>0.44799725317607425</v>
      </c>
      <c r="K26" s="4"/>
      <c r="L26" s="21">
        <f t="shared" ref="L26:L35" si="16">+D26-H26</f>
        <v>-18891.21</v>
      </c>
      <c r="M26" s="4"/>
      <c r="N26" s="35">
        <f t="shared" ref="N26:N35" si="17">IF(H26=0,0,L26/H26)</f>
        <v>-0.99577416086758064</v>
      </c>
      <c r="O26" s="10"/>
      <c r="P26" s="21">
        <f>SUM(OSRRefP22x_0)</f>
        <v>46342.07</v>
      </c>
      <c r="Q26" s="21"/>
      <c r="R26" s="35">
        <f t="shared" ref="R26:R35" si="18">IF(P$12=0,0,P26/P$12)</f>
        <v>0</v>
      </c>
      <c r="S26" s="21"/>
      <c r="T26" s="21">
        <f>SUM(OSRRefT22x_0)</f>
        <v>132684.78000000003</v>
      </c>
      <c r="U26" s="21"/>
      <c r="V26" s="35">
        <f t="shared" ref="V26:V35" si="19">IF(T$12=0,0,T26/T$12)</f>
        <v>0.34924364941938629</v>
      </c>
      <c r="W26" s="4"/>
      <c r="X26" s="21">
        <f t="shared" ref="X26:X35" si="20">+P26-T26</f>
        <v>-86342.710000000021</v>
      </c>
      <c r="Y26" s="4"/>
      <c r="Z26" s="35">
        <f t="shared" ref="Z26:Z35" si="21">IF(T26=0,0,X26/T26)</f>
        <v>-0.65073560057152002</v>
      </c>
    </row>
    <row r="27" spans="1:26" s="26" customFormat="1" outlineLevel="1" collapsed="1" x14ac:dyDescent="0.25">
      <c r="A27" s="27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0</v>
      </c>
      <c r="E27" s="1"/>
      <c r="F27" s="5">
        <f t="shared" si="14"/>
        <v>0</v>
      </c>
      <c r="G27" s="1"/>
      <c r="H27" s="1">
        <f>SUM(OSRRefH22_0x_0)</f>
        <v>4290.9299999999994</v>
      </c>
      <c r="I27" s="1"/>
      <c r="J27" s="5">
        <f t="shared" si="15"/>
        <v>0.10132762369267878</v>
      </c>
      <c r="K27" s="1"/>
      <c r="L27" s="1">
        <f t="shared" si="16"/>
        <v>-4290.9299999999994</v>
      </c>
      <c r="M27" s="1"/>
      <c r="N27" s="5">
        <f t="shared" si="17"/>
        <v>-1</v>
      </c>
      <c r="O27" s="13"/>
      <c r="P27" s="1">
        <f>SUM(OSRRefP22_0x_0)</f>
        <v>21787.579999999998</v>
      </c>
      <c r="Q27" s="1"/>
      <c r="R27" s="5">
        <f t="shared" si="18"/>
        <v>0</v>
      </c>
      <c r="S27" s="1"/>
      <c r="T27" s="1">
        <f>SUM(OSRRefT22_0x_0)</f>
        <v>30816.569999999996</v>
      </c>
      <c r="U27" s="1"/>
      <c r="V27" s="5">
        <f t="shared" si="19"/>
        <v>8.1113232198809643E-2</v>
      </c>
      <c r="W27" s="1"/>
      <c r="X27" s="1">
        <f t="shared" si="20"/>
        <v>-9028.989999999998</v>
      </c>
      <c r="Y27" s="1"/>
      <c r="Z27" s="5">
        <f t="shared" si="21"/>
        <v>-0.29299140040569083</v>
      </c>
    </row>
    <row r="28" spans="1:26" s="24" customFormat="1" hidden="1" outlineLevel="2" x14ac:dyDescent="0.25">
      <c r="A28" s="25"/>
      <c r="B28" s="11" t="str">
        <f>CONCATENATE("          ", "6111", " - ", "F.I.C.A.")</f>
        <v xml:space="preserve">          6111 - F.I.C.A.</v>
      </c>
      <c r="C28" s="11"/>
      <c r="D28" s="6"/>
      <c r="E28" s="2"/>
      <c r="F28" s="7">
        <f t="shared" si="14"/>
        <v>0</v>
      </c>
      <c r="G28" s="2"/>
      <c r="H28" s="6">
        <v>394.8</v>
      </c>
      <c r="I28" s="2"/>
      <c r="J28" s="7">
        <f t="shared" si="15"/>
        <v>9.322954658749872E-3</v>
      </c>
      <c r="K28" s="2"/>
      <c r="L28" s="6">
        <f t="shared" si="16"/>
        <v>-394.8</v>
      </c>
      <c r="M28" s="2"/>
      <c r="N28" s="7">
        <f t="shared" si="17"/>
        <v>-1</v>
      </c>
      <c r="O28" s="11"/>
      <c r="P28" s="6">
        <v>1924.35</v>
      </c>
      <c r="Q28" s="2"/>
      <c r="R28" s="7">
        <f t="shared" si="18"/>
        <v>0</v>
      </c>
      <c r="S28" s="2"/>
      <c r="T28" s="6">
        <v>3625.32</v>
      </c>
      <c r="U28" s="2"/>
      <c r="V28" s="7">
        <f t="shared" si="19"/>
        <v>9.5423151556123416E-3</v>
      </c>
      <c r="W28" s="2"/>
      <c r="X28" s="6">
        <f t="shared" si="20"/>
        <v>-1700.9700000000003</v>
      </c>
      <c r="Y28" s="2"/>
      <c r="Z28" s="7">
        <f t="shared" si="21"/>
        <v>-0.46919168514779391</v>
      </c>
    </row>
    <row r="29" spans="1:26" s="24" customFormat="1" hidden="1" outlineLevel="2" x14ac:dyDescent="0.25">
      <c r="A29" s="25"/>
      <c r="B29" s="11" t="str">
        <f>CONCATENATE("          ", "6112", " - ", "COMPENSATION INSURANCE")</f>
        <v xml:space="preserve">          6112 - COMPENSATION INSURANCE</v>
      </c>
      <c r="C29" s="11"/>
      <c r="D29" s="6"/>
      <c r="E29" s="2"/>
      <c r="F29" s="7">
        <f t="shared" si="14"/>
        <v>0</v>
      </c>
      <c r="G29" s="2"/>
      <c r="H29" s="6">
        <v>161.43</v>
      </c>
      <c r="I29" s="2"/>
      <c r="J29" s="7">
        <f t="shared" si="15"/>
        <v>3.8120683144933936E-3</v>
      </c>
      <c r="K29" s="2"/>
      <c r="L29" s="6">
        <f t="shared" si="16"/>
        <v>-161.43</v>
      </c>
      <c r="M29" s="2"/>
      <c r="N29" s="7">
        <f t="shared" si="17"/>
        <v>-1</v>
      </c>
      <c r="O29" s="11"/>
      <c r="P29" s="6">
        <v>499.06</v>
      </c>
      <c r="Q29" s="2"/>
      <c r="R29" s="7">
        <f t="shared" si="18"/>
        <v>0</v>
      </c>
      <c r="S29" s="2"/>
      <c r="T29" s="6">
        <v>1212.82</v>
      </c>
      <c r="U29" s="2"/>
      <c r="V29" s="7">
        <f t="shared" si="19"/>
        <v>3.1923004498995286E-3</v>
      </c>
      <c r="W29" s="2"/>
      <c r="X29" s="6">
        <f t="shared" si="20"/>
        <v>-713.76</v>
      </c>
      <c r="Y29" s="2"/>
      <c r="Z29" s="7">
        <f t="shared" si="21"/>
        <v>-0.58851272241552743</v>
      </c>
    </row>
    <row r="30" spans="1:26" s="24" customFormat="1" hidden="1" outlineLevel="2" x14ac:dyDescent="0.25">
      <c r="A30" s="25"/>
      <c r="B30" s="11" t="str">
        <f>CONCATENATE("          ", "6113", " - ", "GROUP INSURANCE")</f>
        <v xml:space="preserve">          6113 - GROUP INSURANCE</v>
      </c>
      <c r="C30" s="11"/>
      <c r="D30" s="6"/>
      <c r="E30" s="2"/>
      <c r="F30" s="7">
        <f t="shared" si="14"/>
        <v>0</v>
      </c>
      <c r="G30" s="2"/>
      <c r="H30" s="6">
        <v>2021.26</v>
      </c>
      <c r="I30" s="2"/>
      <c r="J30" s="7">
        <f t="shared" si="15"/>
        <v>4.7730788585473062E-2</v>
      </c>
      <c r="K30" s="2"/>
      <c r="L30" s="6">
        <f t="shared" si="16"/>
        <v>-2021.26</v>
      </c>
      <c r="M30" s="2"/>
      <c r="N30" s="7">
        <f t="shared" si="17"/>
        <v>-1</v>
      </c>
      <c r="O30" s="11"/>
      <c r="P30" s="6">
        <v>12083.19</v>
      </c>
      <c r="Q30" s="2"/>
      <c r="R30" s="7">
        <f t="shared" si="18"/>
        <v>0</v>
      </c>
      <c r="S30" s="2"/>
      <c r="T30" s="6">
        <v>14141.08</v>
      </c>
      <c r="U30" s="2"/>
      <c r="V30" s="7">
        <f t="shared" si="19"/>
        <v>3.7221167235092785E-2</v>
      </c>
      <c r="W30" s="2"/>
      <c r="X30" s="6">
        <f t="shared" si="20"/>
        <v>-2057.8899999999994</v>
      </c>
      <c r="Y30" s="2"/>
      <c r="Z30" s="7">
        <f t="shared" si="21"/>
        <v>-0.14552565999202319</v>
      </c>
    </row>
    <row r="31" spans="1:26" s="24" customFormat="1" hidden="1" outlineLevel="2" x14ac:dyDescent="0.25">
      <c r="A31" s="25"/>
      <c r="B31" s="11" t="str">
        <f>CONCATENATE("          ", "6114", " - ", "STATE UNEMPLOYMENT INSURANCE")</f>
        <v xml:space="preserve">          6114 - STATE UNEMPLOYMENT INSURANCE</v>
      </c>
      <c r="C31" s="11"/>
      <c r="D31" s="6"/>
      <c r="E31" s="2"/>
      <c r="F31" s="7">
        <f t="shared" si="14"/>
        <v>0</v>
      </c>
      <c r="G31" s="2"/>
      <c r="H31" s="6">
        <v>22.09</v>
      </c>
      <c r="I31" s="2"/>
      <c r="J31" s="7">
        <f t="shared" si="15"/>
        <v>5.2164151066814762E-4</v>
      </c>
      <c r="K31" s="2"/>
      <c r="L31" s="6">
        <f t="shared" si="16"/>
        <v>-22.09</v>
      </c>
      <c r="M31" s="2"/>
      <c r="N31" s="7">
        <f t="shared" si="17"/>
        <v>-1</v>
      </c>
      <c r="O31" s="11"/>
      <c r="P31" s="6">
        <v>70.14</v>
      </c>
      <c r="Q31" s="2"/>
      <c r="R31" s="7">
        <f t="shared" si="18"/>
        <v>0</v>
      </c>
      <c r="S31" s="2"/>
      <c r="T31" s="6">
        <v>198.85</v>
      </c>
      <c r="U31" s="2"/>
      <c r="V31" s="7">
        <f t="shared" si="19"/>
        <v>5.2339913957761359E-4</v>
      </c>
      <c r="W31" s="2"/>
      <c r="X31" s="6">
        <f t="shared" si="20"/>
        <v>-128.70999999999998</v>
      </c>
      <c r="Y31" s="2"/>
      <c r="Z31" s="7">
        <f t="shared" si="21"/>
        <v>-0.64727181292431468</v>
      </c>
    </row>
    <row r="32" spans="1:26" s="24" customFormat="1" hidden="1" outlineLevel="2" x14ac:dyDescent="0.25">
      <c r="A32" s="25"/>
      <c r="B32" s="11" t="str">
        <f>CONCATENATE("          ", "6115", " - ", "P.E.R.S.")</f>
        <v xml:space="preserve">          6115 - P.E.R.S.</v>
      </c>
      <c r="C32" s="11"/>
      <c r="D32" s="6"/>
      <c r="E32" s="2"/>
      <c r="F32" s="7">
        <f t="shared" si="14"/>
        <v>0</v>
      </c>
      <c r="G32" s="2"/>
      <c r="H32" s="6">
        <v>853.45</v>
      </c>
      <c r="I32" s="2"/>
      <c r="J32" s="7">
        <f t="shared" si="15"/>
        <v>2.0153687065628364E-2</v>
      </c>
      <c r="K32" s="2"/>
      <c r="L32" s="6">
        <f t="shared" si="16"/>
        <v>-853.45</v>
      </c>
      <c r="M32" s="2"/>
      <c r="N32" s="7">
        <f t="shared" si="17"/>
        <v>-1</v>
      </c>
      <c r="O32" s="11"/>
      <c r="P32" s="6">
        <v>3490.92</v>
      </c>
      <c r="Q32" s="2"/>
      <c r="R32" s="7">
        <f t="shared" si="18"/>
        <v>0</v>
      </c>
      <c r="S32" s="2"/>
      <c r="T32" s="6">
        <v>4785.03</v>
      </c>
      <c r="U32" s="2"/>
      <c r="V32" s="7">
        <f t="shared" si="19"/>
        <v>1.2594823157420509E-2</v>
      </c>
      <c r="W32" s="2"/>
      <c r="X32" s="6">
        <f t="shared" si="20"/>
        <v>-1294.1099999999997</v>
      </c>
      <c r="Y32" s="2"/>
      <c r="Z32" s="7">
        <f t="shared" si="21"/>
        <v>-0.27044971504880844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4"/>
        <v>0</v>
      </c>
      <c r="G33" s="2"/>
      <c r="H33" s="6">
        <v>407.06</v>
      </c>
      <c r="I33" s="2"/>
      <c r="J33" s="7">
        <f t="shared" si="15"/>
        <v>9.6124668778893689E-3</v>
      </c>
      <c r="K33" s="2"/>
      <c r="L33" s="6">
        <f t="shared" si="16"/>
        <v>-407.06</v>
      </c>
      <c r="M33" s="2"/>
      <c r="N33" s="7">
        <f t="shared" si="17"/>
        <v>-1</v>
      </c>
      <c r="O33" s="11"/>
      <c r="P33" s="6">
        <v>2035.3</v>
      </c>
      <c r="Q33" s="2"/>
      <c r="R33" s="7">
        <f t="shared" si="18"/>
        <v>0</v>
      </c>
      <c r="S33" s="2"/>
      <c r="T33" s="6">
        <v>3361.84</v>
      </c>
      <c r="U33" s="2"/>
      <c r="V33" s="7">
        <f t="shared" si="19"/>
        <v>8.8488014251828246E-3</v>
      </c>
      <c r="W33" s="2"/>
      <c r="X33" s="6">
        <f t="shared" si="20"/>
        <v>-1326.5400000000002</v>
      </c>
      <c r="Y33" s="2"/>
      <c r="Z33" s="7">
        <f t="shared" si="21"/>
        <v>-0.3945874878042977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4"/>
        <v>0</v>
      </c>
      <c r="G34" s="2"/>
      <c r="H34" s="6">
        <v>256.76</v>
      </c>
      <c r="I34" s="2"/>
      <c r="J34" s="7">
        <f t="shared" si="15"/>
        <v>6.0632265404777534E-3</v>
      </c>
      <c r="K34" s="2"/>
      <c r="L34" s="6">
        <f t="shared" si="16"/>
        <v>-256.76</v>
      </c>
      <c r="M34" s="2"/>
      <c r="N34" s="7">
        <f t="shared" si="17"/>
        <v>-1</v>
      </c>
      <c r="O34" s="11"/>
      <c r="P34" s="6">
        <v>1283.8</v>
      </c>
      <c r="Q34" s="2"/>
      <c r="R34" s="7">
        <f t="shared" si="18"/>
        <v>0</v>
      </c>
      <c r="S34" s="2"/>
      <c r="T34" s="6">
        <v>2330.12</v>
      </c>
      <c r="U34" s="2"/>
      <c r="V34" s="7">
        <f t="shared" si="19"/>
        <v>6.1331797994095497E-3</v>
      </c>
      <c r="W34" s="2"/>
      <c r="X34" s="6">
        <f t="shared" si="20"/>
        <v>-1046.32</v>
      </c>
      <c r="Y34" s="2"/>
      <c r="Z34" s="7">
        <f t="shared" si="21"/>
        <v>-0.44904125109436421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/>
      <c r="E35" s="2"/>
      <c r="F35" s="7">
        <f t="shared" si="14"/>
        <v>0</v>
      </c>
      <c r="G35" s="2"/>
      <c r="H35" s="6">
        <v>174.08</v>
      </c>
      <c r="I35" s="2"/>
      <c r="J35" s="7">
        <f t="shared" si="15"/>
        <v>4.110790139298829E-3</v>
      </c>
      <c r="K35" s="2"/>
      <c r="L35" s="6">
        <f t="shared" si="16"/>
        <v>-174.08</v>
      </c>
      <c r="M35" s="2"/>
      <c r="N35" s="7">
        <f t="shared" si="17"/>
        <v>-1</v>
      </c>
      <c r="O35" s="11"/>
      <c r="P35" s="6">
        <v>400.82</v>
      </c>
      <c r="Q35" s="2"/>
      <c r="R35" s="7">
        <f t="shared" si="18"/>
        <v>0</v>
      </c>
      <c r="S35" s="2"/>
      <c r="T35" s="6">
        <v>1161.51</v>
      </c>
      <c r="U35" s="2"/>
      <c r="V35" s="7">
        <f t="shared" si="19"/>
        <v>3.057245836614503E-3</v>
      </c>
      <c r="W35" s="2"/>
      <c r="X35" s="6">
        <f t="shared" si="20"/>
        <v>-760.69</v>
      </c>
      <c r="Y35" s="2"/>
      <c r="Z35" s="7">
        <f t="shared" si="21"/>
        <v>-0.65491472307599596</v>
      </c>
    </row>
    <row r="36" spans="1:26" s="26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0</v>
      </c>
      <c r="E36" s="1"/>
      <c r="F36" s="5">
        <f t="shared" ref="F36:F41" si="22">IF(D$12=0,0,D36/D$12)</f>
        <v>0</v>
      </c>
      <c r="G36" s="1"/>
      <c r="H36" s="1">
        <f>SUM(OSRRefH22_1x_0)</f>
        <v>11986.83</v>
      </c>
      <c r="I36" s="1"/>
      <c r="J36" s="5">
        <f t="shared" ref="J36:J41" si="23">IF(H$12=0,0,H36/H$12)</f>
        <v>0.28306148072984477</v>
      </c>
      <c r="K36" s="1"/>
      <c r="L36" s="1">
        <f t="shared" ref="L36:L41" si="24">+D36-H36</f>
        <v>-11986.83</v>
      </c>
      <c r="M36" s="1"/>
      <c r="N36" s="5">
        <f t="shared" ref="N36:N41" si="25">IF(H36=0,0,L36/H36)</f>
        <v>-1</v>
      </c>
      <c r="O36" s="13"/>
      <c r="P36" s="1">
        <f>SUM(OSRRefP22_1x_0)</f>
        <v>23136.42</v>
      </c>
      <c r="Q36" s="1"/>
      <c r="R36" s="5">
        <f t="shared" ref="R36:R41" si="26">IF(P$12=0,0,P36/P$12)</f>
        <v>0</v>
      </c>
      <c r="S36" s="1"/>
      <c r="T36" s="1">
        <f>SUM(OSRRefT22_1x_0)</f>
        <v>79672.649999999994</v>
      </c>
      <c r="U36" s="1"/>
      <c r="V36" s="5">
        <f t="shared" ref="V36:V41" si="27">IF(T$12=0,0,T36/T$12)</f>
        <v>0.20970880793496782</v>
      </c>
      <c r="W36" s="1"/>
      <c r="X36" s="1">
        <f t="shared" ref="X36:X41" si="28">+P36-T36</f>
        <v>-56536.229999999996</v>
      </c>
      <c r="Y36" s="1"/>
      <c r="Z36" s="5">
        <f t="shared" ref="Z36:Z41" si="29">IF(T36=0,0,X36/T36)</f>
        <v>-0.70960649608115212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2"/>
        <v>0</v>
      </c>
      <c r="G37" s="2"/>
      <c r="H37" s="6">
        <v>6123.66</v>
      </c>
      <c r="I37" s="2"/>
      <c r="J37" s="7">
        <f t="shared" si="23"/>
        <v>0.14460639444174325</v>
      </c>
      <c r="K37" s="2"/>
      <c r="L37" s="6">
        <f t="shared" si="24"/>
        <v>-6123.66</v>
      </c>
      <c r="M37" s="2"/>
      <c r="N37" s="7">
        <f t="shared" si="25"/>
        <v>-1</v>
      </c>
      <c r="O37" s="11"/>
      <c r="P37" s="6">
        <v>23136.42</v>
      </c>
      <c r="Q37" s="2"/>
      <c r="R37" s="7">
        <f t="shared" si="26"/>
        <v>0</v>
      </c>
      <c r="S37" s="2"/>
      <c r="T37" s="6">
        <v>40497.79</v>
      </c>
      <c r="U37" s="2"/>
      <c r="V37" s="7">
        <f t="shared" si="27"/>
        <v>0.10659546613424634</v>
      </c>
      <c r="W37" s="2"/>
      <c r="X37" s="6">
        <f t="shared" si="28"/>
        <v>-17361.370000000003</v>
      </c>
      <c r="Y37" s="2"/>
      <c r="Z37" s="7">
        <f t="shared" si="29"/>
        <v>-0.42869919568450532</v>
      </c>
    </row>
    <row r="38" spans="1:26" s="24" customFormat="1" hidden="1" outlineLevel="2" x14ac:dyDescent="0.25">
      <c r="A38" s="25"/>
      <c r="B38" s="11" t="str">
        <f>CONCATENATE("          ", "6005", " - ", "TEMPORARY WAGES-HOURLY")</f>
        <v xml:space="preserve">          6005 - TEMPORARY WAGES-HOURLY</v>
      </c>
      <c r="C38" s="11"/>
      <c r="D38" s="6"/>
      <c r="E38" s="2"/>
      <c r="F38" s="7">
        <f t="shared" si="22"/>
        <v>0</v>
      </c>
      <c r="G38" s="2"/>
      <c r="H38" s="6">
        <v>247.52</v>
      </c>
      <c r="I38" s="2"/>
      <c r="J38" s="7">
        <f t="shared" si="23"/>
        <v>5.8450297293155228E-3</v>
      </c>
      <c r="K38" s="2"/>
      <c r="L38" s="6">
        <f t="shared" si="24"/>
        <v>-247.52</v>
      </c>
      <c r="M38" s="2"/>
      <c r="N38" s="7">
        <f t="shared" si="25"/>
        <v>-1</v>
      </c>
      <c r="O38" s="11"/>
      <c r="P38" s="6"/>
      <c r="Q38" s="2"/>
      <c r="R38" s="7">
        <f t="shared" si="26"/>
        <v>0</v>
      </c>
      <c r="S38" s="2"/>
      <c r="T38" s="6">
        <v>1103.72</v>
      </c>
      <c r="U38" s="2"/>
      <c r="V38" s="7">
        <f t="shared" si="27"/>
        <v>2.9051350180266718E-3</v>
      </c>
      <c r="W38" s="2"/>
      <c r="X38" s="6">
        <f t="shared" si="28"/>
        <v>-1103.72</v>
      </c>
      <c r="Y38" s="2"/>
      <c r="Z38" s="7">
        <f t="shared" si="29"/>
        <v>-1</v>
      </c>
    </row>
    <row r="39" spans="1:26" s="24" customFormat="1" hidden="1" outlineLevel="2" x14ac:dyDescent="0.25">
      <c r="A39" s="25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2"/>
        <v>0</v>
      </c>
      <c r="G39" s="2"/>
      <c r="H39" s="6"/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3046.5</v>
      </c>
      <c r="U39" s="2"/>
      <c r="V39" s="7">
        <f t="shared" si="27"/>
        <v>8.0187854097218993E-3</v>
      </c>
      <c r="W39" s="2"/>
      <c r="X39" s="6">
        <f t="shared" si="28"/>
        <v>-3046.5</v>
      </c>
      <c r="Y39" s="2"/>
      <c r="Z39" s="7">
        <f t="shared" si="29"/>
        <v>-1</v>
      </c>
    </row>
    <row r="40" spans="1:26" s="24" customFormat="1" hidden="1" outlineLevel="2" x14ac:dyDescent="0.25">
      <c r="A40" s="25"/>
      <c r="B40" s="11" t="str">
        <f>CONCATENATE("          ", "6007", " - ", "STUDENT HOURLY")</f>
        <v xml:space="preserve">          6007 - STUDENT HOURLY</v>
      </c>
      <c r="C40" s="11"/>
      <c r="D40" s="6"/>
      <c r="E40" s="2"/>
      <c r="F40" s="7">
        <f t="shared" si="22"/>
        <v>0</v>
      </c>
      <c r="G40" s="2"/>
      <c r="H40" s="6">
        <v>5615.65</v>
      </c>
      <c r="I40" s="2"/>
      <c r="J40" s="7">
        <f t="shared" si="23"/>
        <v>0.13261005655878599</v>
      </c>
      <c r="K40" s="2"/>
      <c r="L40" s="6">
        <f t="shared" si="24"/>
        <v>-5615.65</v>
      </c>
      <c r="M40" s="2"/>
      <c r="N40" s="7">
        <f t="shared" si="25"/>
        <v>-1</v>
      </c>
      <c r="O40" s="11"/>
      <c r="P40" s="6"/>
      <c r="Q40" s="2"/>
      <c r="R40" s="7">
        <f t="shared" si="26"/>
        <v>0</v>
      </c>
      <c r="S40" s="2"/>
      <c r="T40" s="6">
        <v>31469.16</v>
      </c>
      <c r="U40" s="2"/>
      <c r="V40" s="7">
        <f t="shared" si="27"/>
        <v>8.2830934207846388E-2</v>
      </c>
      <c r="W40" s="2"/>
      <c r="X40" s="6">
        <f t="shared" si="28"/>
        <v>-31469.16</v>
      </c>
      <c r="Y40" s="2"/>
      <c r="Z40" s="7">
        <f t="shared" si="29"/>
        <v>-1</v>
      </c>
    </row>
    <row r="41" spans="1:26" s="24" customFormat="1" hidden="1" outlineLevel="2" x14ac:dyDescent="0.25">
      <c r="A41" s="25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2"/>
        <v>0</v>
      </c>
      <c r="G41" s="2"/>
      <c r="H41" s="6"/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3555.48</v>
      </c>
      <c r="U41" s="2"/>
      <c r="V41" s="7">
        <f t="shared" si="27"/>
        <v>9.3584871651265465E-3</v>
      </c>
      <c r="W41" s="2"/>
      <c r="X41" s="6">
        <f t="shared" si="28"/>
        <v>-3555.48</v>
      </c>
      <c r="Y41" s="2"/>
      <c r="Z41" s="7">
        <f t="shared" si="29"/>
        <v>-1</v>
      </c>
    </row>
    <row r="42" spans="1:26" s="26" customFormat="1" outlineLevel="1" collapsed="1" x14ac:dyDescent="0.25">
      <c r="A42" s="27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57" si="30">IF(D$12=0,0,D42/D$12)</f>
        <v>0</v>
      </c>
      <c r="G42" s="1"/>
      <c r="H42" s="1">
        <f>SUM(OSRRefH22_2x_0)</f>
        <v>501.21</v>
      </c>
      <c r="I42" s="1"/>
      <c r="J42" s="5">
        <f t="shared" ref="J42:J57" si="31">IF(H$12=0,0,H42/H$12)</f>
        <v>1.1835760143140889E-2</v>
      </c>
      <c r="K42" s="1"/>
      <c r="L42" s="1">
        <f t="shared" ref="L42:L57" si="32">+D42-H42</f>
        <v>-501.21</v>
      </c>
      <c r="M42" s="1"/>
      <c r="N42" s="5">
        <f t="shared" ref="N42:N57" si="33">IF(H42=0,0,L42/H42)</f>
        <v>-1</v>
      </c>
      <c r="O42" s="13"/>
      <c r="P42" s="1">
        <f>SUM(OSRRefP22_2x_0)</f>
        <v>0</v>
      </c>
      <c r="Q42" s="1"/>
      <c r="R42" s="5">
        <f t="shared" ref="R42:R57" si="34">IF(P$12=0,0,P42/P$12)</f>
        <v>0</v>
      </c>
      <c r="S42" s="1"/>
      <c r="T42" s="1">
        <f>SUM(OSRRefT22_2x_0)</f>
        <v>1211.4100000000001</v>
      </c>
      <c r="U42" s="1"/>
      <c r="V42" s="5">
        <f t="shared" ref="V42:V57" si="35">IF(T$12=0,0,T42/T$12)</f>
        <v>3.1885891459679E-3</v>
      </c>
      <c r="W42" s="1"/>
      <c r="X42" s="1">
        <f t="shared" ref="X42:X57" si="36">+P42-T42</f>
        <v>-1211.4100000000001</v>
      </c>
      <c r="Y42" s="1"/>
      <c r="Z42" s="5">
        <f t="shared" ref="Z42:Z57" si="37">IF(T42=0,0,X42/T42)</f>
        <v>-1</v>
      </c>
    </row>
    <row r="43" spans="1:26" s="24" customFormat="1" hidden="1" outlineLevel="2" x14ac:dyDescent="0.25">
      <c r="A43" s="25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30"/>
        <v>0</v>
      </c>
      <c r="G43" s="2"/>
      <c r="H43" s="6">
        <v>501.21</v>
      </c>
      <c r="I43" s="2"/>
      <c r="J43" s="7">
        <f t="shared" si="31"/>
        <v>1.1835760143140889E-2</v>
      </c>
      <c r="K43" s="2"/>
      <c r="L43" s="6">
        <f t="shared" si="32"/>
        <v>-501.21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1211.4100000000001</v>
      </c>
      <c r="U43" s="2"/>
      <c r="V43" s="7">
        <f t="shared" si="35"/>
        <v>3.1885891459679E-3</v>
      </c>
      <c r="W43" s="2"/>
      <c r="X43" s="6">
        <f t="shared" si="36"/>
        <v>-1211.4100000000001</v>
      </c>
      <c r="Y43" s="2"/>
      <c r="Z43" s="7">
        <f t="shared" si="37"/>
        <v>-1</v>
      </c>
    </row>
    <row r="44" spans="1:26" s="26" customFormat="1" outlineLevel="1" collapsed="1" x14ac:dyDescent="0.25">
      <c r="A44" s="27"/>
      <c r="B44" s="13" t="str">
        <f>CONCATENATE("     ","Bad Debts/Over/Short                              ")</f>
        <v xml:space="preserve">     Bad Debts/Over/Short                              </v>
      </c>
      <c r="C44" s="13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-17.989999999999998</v>
      </c>
      <c r="I44" s="1"/>
      <c r="J44" s="5">
        <f t="shared" si="31"/>
        <v>-4.2482257930828314E-4</v>
      </c>
      <c r="K44" s="1"/>
      <c r="L44" s="1">
        <f t="shared" si="32"/>
        <v>17.989999999999998</v>
      </c>
      <c r="M44" s="1"/>
      <c r="N44" s="5">
        <f t="shared" si="33"/>
        <v>-1</v>
      </c>
      <c r="O44" s="13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-157.82</v>
      </c>
      <c r="U44" s="1"/>
      <c r="V44" s="5">
        <f t="shared" si="35"/>
        <v>-4.1540282729765637E-4</v>
      </c>
      <c r="W44" s="1"/>
      <c r="X44" s="1">
        <f t="shared" si="36"/>
        <v>157.82</v>
      </c>
      <c r="Y44" s="1"/>
      <c r="Z44" s="5">
        <f t="shared" si="37"/>
        <v>-1</v>
      </c>
    </row>
    <row r="45" spans="1:26" s="24" customFormat="1" hidden="1" outlineLevel="2" x14ac:dyDescent="0.25">
      <c r="A45" s="25"/>
      <c r="B45" s="11" t="str">
        <f>CONCATENATE("          ", "6272", " - ", "CASH (OVER/SHORT)")</f>
        <v xml:space="preserve">          6272 - CASH (OVER/SHORT)</v>
      </c>
      <c r="C45" s="11"/>
      <c r="D45" s="6"/>
      <c r="E45" s="2"/>
      <c r="F45" s="7">
        <f t="shared" si="30"/>
        <v>0</v>
      </c>
      <c r="G45" s="2"/>
      <c r="H45" s="6">
        <v>-17.989999999999998</v>
      </c>
      <c r="I45" s="2"/>
      <c r="J45" s="7">
        <f t="shared" si="31"/>
        <v>-4.2482257930828314E-4</v>
      </c>
      <c r="K45" s="2"/>
      <c r="L45" s="6">
        <f t="shared" si="32"/>
        <v>17.989999999999998</v>
      </c>
      <c r="M45" s="2"/>
      <c r="N45" s="7">
        <f t="shared" si="33"/>
        <v>-1</v>
      </c>
      <c r="O45" s="11"/>
      <c r="P45" s="6"/>
      <c r="Q45" s="2"/>
      <c r="R45" s="7">
        <f t="shared" si="34"/>
        <v>0</v>
      </c>
      <c r="S45" s="2"/>
      <c r="T45" s="6">
        <v>-157.82</v>
      </c>
      <c r="U45" s="2"/>
      <c r="V45" s="7">
        <f t="shared" si="35"/>
        <v>-4.1540282729765637E-4</v>
      </c>
      <c r="W45" s="2"/>
      <c r="X45" s="6">
        <f t="shared" si="36"/>
        <v>157.82</v>
      </c>
      <c r="Y45" s="2"/>
      <c r="Z45" s="7">
        <f t="shared" si="37"/>
        <v>-1</v>
      </c>
    </row>
    <row r="46" spans="1:26" s="26" customFormat="1" outlineLevel="1" collapsed="1" x14ac:dyDescent="0.25">
      <c r="A46" s="27"/>
      <c r="B46" s="13" t="str">
        <f>CONCATENATE("     ","Bank/card Fees                                    ")</f>
        <v xml:space="preserve">     Bank/card Fees                                    </v>
      </c>
      <c r="C46" s="13"/>
      <c r="D46" s="1">
        <f>SUM(OSRRefD22_4x_0)</f>
        <v>0</v>
      </c>
      <c r="E46" s="1"/>
      <c r="F46" s="5">
        <f t="shared" si="30"/>
        <v>0</v>
      </c>
      <c r="G46" s="1"/>
      <c r="H46" s="1">
        <f>SUM(OSRRefH22_4x_0)</f>
        <v>1690.45</v>
      </c>
      <c r="I46" s="1"/>
      <c r="J46" s="5">
        <f t="shared" si="31"/>
        <v>3.9918917687142147E-2</v>
      </c>
      <c r="K46" s="1"/>
      <c r="L46" s="1">
        <f t="shared" si="32"/>
        <v>-1690.45</v>
      </c>
      <c r="M46" s="1"/>
      <c r="N46" s="5">
        <f t="shared" si="33"/>
        <v>-1</v>
      </c>
      <c r="O46" s="13"/>
      <c r="P46" s="1">
        <f>SUM(OSRRefP22_4x_0)</f>
        <v>240</v>
      </c>
      <c r="Q46" s="1"/>
      <c r="R46" s="5">
        <f t="shared" si="34"/>
        <v>0</v>
      </c>
      <c r="S46" s="1"/>
      <c r="T46" s="1">
        <f>SUM(OSRRefT22_4x_0)</f>
        <v>12987.02</v>
      </c>
      <c r="U46" s="1"/>
      <c r="V46" s="5">
        <f t="shared" si="35"/>
        <v>3.4183530770315614E-2</v>
      </c>
      <c r="W46" s="1"/>
      <c r="X46" s="1">
        <f t="shared" si="36"/>
        <v>-12747.02</v>
      </c>
      <c r="Y46" s="1"/>
      <c r="Z46" s="5">
        <f t="shared" si="37"/>
        <v>-0.98152000997919464</v>
      </c>
    </row>
    <row r="47" spans="1:26" s="24" customFormat="1" hidden="1" outlineLevel="2" x14ac:dyDescent="0.25">
      <c r="A47" s="25"/>
      <c r="B47" s="11" t="str">
        <f>CONCATENATE("          ", "6381", " - ", "BANK/CREDIT CARD FEES")</f>
        <v xml:space="preserve">          6381 - BANK/CREDIT CARD FEES</v>
      </c>
      <c r="C47" s="11"/>
      <c r="D47" s="6"/>
      <c r="E47" s="2"/>
      <c r="F47" s="7">
        <f t="shared" si="30"/>
        <v>0</v>
      </c>
      <c r="G47" s="2"/>
      <c r="H47" s="6">
        <v>1690.45</v>
      </c>
      <c r="I47" s="2"/>
      <c r="J47" s="7">
        <f t="shared" si="31"/>
        <v>3.9918917687142147E-2</v>
      </c>
      <c r="K47" s="2"/>
      <c r="L47" s="6">
        <f t="shared" si="32"/>
        <v>-1690.45</v>
      </c>
      <c r="M47" s="2"/>
      <c r="N47" s="7">
        <f t="shared" si="33"/>
        <v>-1</v>
      </c>
      <c r="O47" s="11"/>
      <c r="P47" s="6">
        <v>240</v>
      </c>
      <c r="Q47" s="2"/>
      <c r="R47" s="7">
        <f t="shared" si="34"/>
        <v>0</v>
      </c>
      <c r="S47" s="2"/>
      <c r="T47" s="6">
        <v>12987.02</v>
      </c>
      <c r="U47" s="2"/>
      <c r="V47" s="7">
        <f t="shared" si="35"/>
        <v>3.4183530770315614E-2</v>
      </c>
      <c r="W47" s="2"/>
      <c r="X47" s="6">
        <f t="shared" si="36"/>
        <v>-12747.02</v>
      </c>
      <c r="Y47" s="2"/>
      <c r="Z47" s="7">
        <f t="shared" si="37"/>
        <v>-0.98152000997919464</v>
      </c>
    </row>
    <row r="48" spans="1:26" s="26" customFormat="1" outlineLevel="1" collapsed="1" x14ac:dyDescent="0.25">
      <c r="A48" s="27"/>
      <c r="B48" s="13" t="str">
        <f>CONCATENATE("     ","Discounts and Markdowns                           ")</f>
        <v xml:space="preserve">     Discounts and Markdowns                           </v>
      </c>
      <c r="C48" s="13"/>
      <c r="D48" s="1">
        <f>SUM(OSRRefD22_5x_0)</f>
        <v>0</v>
      </c>
      <c r="E48" s="1"/>
      <c r="F48" s="5">
        <f t="shared" si="30"/>
        <v>0</v>
      </c>
      <c r="G48" s="1"/>
      <c r="H48" s="1">
        <f>SUM(OSRRefH22_5x_0)</f>
        <v>31.78</v>
      </c>
      <c r="I48" s="1"/>
      <c r="J48" s="5">
        <f t="shared" si="31"/>
        <v>7.5046478990646137E-4</v>
      </c>
      <c r="K48" s="1"/>
      <c r="L48" s="1">
        <f t="shared" si="32"/>
        <v>-31.78</v>
      </c>
      <c r="M48" s="1"/>
      <c r="N48" s="5">
        <f t="shared" si="33"/>
        <v>-1</v>
      </c>
      <c r="O48" s="13"/>
      <c r="P48" s="1">
        <f>SUM(OSRRefP22_5x_0)</f>
        <v>0</v>
      </c>
      <c r="Q48" s="1"/>
      <c r="R48" s="5">
        <f t="shared" si="34"/>
        <v>0</v>
      </c>
      <c r="S48" s="1"/>
      <c r="T48" s="1">
        <f>SUM(OSRRefT22_5x_0)</f>
        <v>108.15</v>
      </c>
      <c r="U48" s="1"/>
      <c r="V48" s="5">
        <f t="shared" si="35"/>
        <v>2.8466490794729147E-4</v>
      </c>
      <c r="W48" s="1"/>
      <c r="X48" s="1">
        <f t="shared" si="36"/>
        <v>-108.15</v>
      </c>
      <c r="Y48" s="1"/>
      <c r="Z48" s="5">
        <f t="shared" si="37"/>
        <v>-1</v>
      </c>
    </row>
    <row r="49" spans="1:26" s="24" customFormat="1" hidden="1" outlineLevel="2" x14ac:dyDescent="0.25">
      <c r="A49" s="25"/>
      <c r="B49" s="11" t="str">
        <f>CONCATENATE("          ", "6382", " - ", "DISCOUNTS/MARK DOWNS")</f>
        <v xml:space="preserve">          6382 - DISCOUNTS/MARK DOWNS</v>
      </c>
      <c r="C49" s="11"/>
      <c r="D49" s="6"/>
      <c r="E49" s="2"/>
      <c r="F49" s="7">
        <f t="shared" si="30"/>
        <v>0</v>
      </c>
      <c r="G49" s="2"/>
      <c r="H49" s="6">
        <v>31.78</v>
      </c>
      <c r="I49" s="2"/>
      <c r="J49" s="7">
        <f t="shared" si="31"/>
        <v>7.5046478990646137E-4</v>
      </c>
      <c r="K49" s="2"/>
      <c r="L49" s="6">
        <f t="shared" si="32"/>
        <v>-31.78</v>
      </c>
      <c r="M49" s="2"/>
      <c r="N49" s="7">
        <f t="shared" si="33"/>
        <v>-1</v>
      </c>
      <c r="O49" s="11"/>
      <c r="P49" s="6"/>
      <c r="Q49" s="2"/>
      <c r="R49" s="7">
        <f t="shared" si="34"/>
        <v>0</v>
      </c>
      <c r="S49" s="2"/>
      <c r="T49" s="6">
        <v>108.15</v>
      </c>
      <c r="U49" s="2"/>
      <c r="V49" s="7">
        <f t="shared" si="35"/>
        <v>2.8466490794729147E-4</v>
      </c>
      <c r="W49" s="2"/>
      <c r="X49" s="6">
        <f t="shared" si="36"/>
        <v>-108.15</v>
      </c>
      <c r="Y49" s="2"/>
      <c r="Z49" s="7">
        <f t="shared" si="37"/>
        <v>-1</v>
      </c>
    </row>
    <row r="50" spans="1:26" s="26" customFormat="1" outlineLevel="1" collapsed="1" x14ac:dyDescent="0.25">
      <c r="A50" s="27"/>
      <c r="B50" s="13" t="str">
        <f>CONCATENATE("     ","Freight out/Postage                               ")</f>
        <v xml:space="preserve">     Freight out/Postage                               </v>
      </c>
      <c r="C50" s="13"/>
      <c r="D50" s="1">
        <f>SUM(OSRRefD22_6x_0)</f>
        <v>8.17</v>
      </c>
      <c r="E50" s="1"/>
      <c r="F50" s="5">
        <f t="shared" si="30"/>
        <v>0</v>
      </c>
      <c r="G50" s="1"/>
      <c r="H50" s="1">
        <f>SUM(OSRRefH22_6x_0)</f>
        <v>7.64</v>
      </c>
      <c r="I50" s="1"/>
      <c r="J50" s="5">
        <f t="shared" si="31"/>
        <v>1.8041381355838151E-4</v>
      </c>
      <c r="K50" s="1"/>
      <c r="L50" s="1">
        <f t="shared" si="32"/>
        <v>0.53000000000000025</v>
      </c>
      <c r="M50" s="1"/>
      <c r="N50" s="5">
        <f t="shared" si="33"/>
        <v>6.9371727748691131E-2</v>
      </c>
      <c r="O50" s="13"/>
      <c r="P50" s="1">
        <f>SUM(OSRRefP22_6x_0)</f>
        <v>117.43</v>
      </c>
      <c r="Q50" s="1"/>
      <c r="R50" s="5">
        <f t="shared" si="34"/>
        <v>0</v>
      </c>
      <c r="S50" s="1"/>
      <c r="T50" s="1">
        <f>SUM(OSRRefT22_6x_0)</f>
        <v>233.63</v>
      </c>
      <c r="U50" s="1"/>
      <c r="V50" s="5">
        <f t="shared" si="35"/>
        <v>6.1494463655779668E-4</v>
      </c>
      <c r="W50" s="1"/>
      <c r="X50" s="1">
        <f t="shared" si="36"/>
        <v>-116.19999999999999</v>
      </c>
      <c r="Y50" s="1"/>
      <c r="Z50" s="5">
        <f t="shared" si="37"/>
        <v>-0.49736763258143213</v>
      </c>
    </row>
    <row r="51" spans="1:26" s="24" customFormat="1" hidden="1" outlineLevel="2" x14ac:dyDescent="0.25">
      <c r="A51" s="25"/>
      <c r="B51" s="11" t="str">
        <f>CONCATENATE("          ", "6305", " - ", "FREIGHT OUT")</f>
        <v xml:space="preserve">          6305 - FREIGHT OUT</v>
      </c>
      <c r="C51" s="11"/>
      <c r="D51" s="6">
        <v>8.17</v>
      </c>
      <c r="E51" s="2"/>
      <c r="F51" s="7">
        <f t="shared" si="30"/>
        <v>0</v>
      </c>
      <c r="G51" s="2"/>
      <c r="H51" s="6">
        <v>7.64</v>
      </c>
      <c r="I51" s="2"/>
      <c r="J51" s="7">
        <f t="shared" si="31"/>
        <v>1.8041381355838151E-4</v>
      </c>
      <c r="K51" s="2"/>
      <c r="L51" s="6">
        <f t="shared" si="32"/>
        <v>0.53000000000000025</v>
      </c>
      <c r="M51" s="2"/>
      <c r="N51" s="7">
        <f t="shared" si="33"/>
        <v>6.9371727748691131E-2</v>
      </c>
      <c r="O51" s="11"/>
      <c r="P51" s="6">
        <v>117.43</v>
      </c>
      <c r="Q51" s="2"/>
      <c r="R51" s="7">
        <f t="shared" si="34"/>
        <v>0</v>
      </c>
      <c r="S51" s="2"/>
      <c r="T51" s="6">
        <v>233.63</v>
      </c>
      <c r="U51" s="2"/>
      <c r="V51" s="7">
        <f t="shared" si="35"/>
        <v>6.1494463655779668E-4</v>
      </c>
      <c r="W51" s="2"/>
      <c r="X51" s="6">
        <f t="shared" si="36"/>
        <v>-116.19999999999999</v>
      </c>
      <c r="Y51" s="2"/>
      <c r="Z51" s="7">
        <f t="shared" si="37"/>
        <v>-0.49736763258143213</v>
      </c>
    </row>
    <row r="52" spans="1:26" s="26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SUM(OSRRefD22_7x_0)</f>
        <v>0</v>
      </c>
      <c r="E52" s="1"/>
      <c r="F52" s="5">
        <f t="shared" si="30"/>
        <v>0</v>
      </c>
      <c r="G52" s="1"/>
      <c r="H52" s="1">
        <f>SUM(OSRRefH22_7x_0)</f>
        <v>20.9</v>
      </c>
      <c r="I52" s="1"/>
      <c r="J52" s="5">
        <f t="shared" si="31"/>
        <v>4.9354040620028445E-4</v>
      </c>
      <c r="K52" s="1"/>
      <c r="L52" s="1">
        <f t="shared" si="32"/>
        <v>-20.9</v>
      </c>
      <c r="M52" s="1"/>
      <c r="N52" s="5">
        <f t="shared" si="33"/>
        <v>-1</v>
      </c>
      <c r="O52" s="13"/>
      <c r="P52" s="1">
        <f>SUM(OSRRefP22_7x_0)</f>
        <v>160</v>
      </c>
      <c r="Q52" s="1"/>
      <c r="R52" s="5">
        <f t="shared" si="34"/>
        <v>0</v>
      </c>
      <c r="S52" s="1"/>
      <c r="T52" s="1">
        <f>SUM(OSRRefT22_7x_0)</f>
        <v>1143.05</v>
      </c>
      <c r="U52" s="1"/>
      <c r="V52" s="5">
        <f t="shared" si="35"/>
        <v>3.0086567085450904E-3</v>
      </c>
      <c r="W52" s="1"/>
      <c r="X52" s="1">
        <f t="shared" si="36"/>
        <v>-983.05</v>
      </c>
      <c r="Y52" s="1"/>
      <c r="Z52" s="5">
        <f t="shared" si="37"/>
        <v>-0.86002362101395391</v>
      </c>
    </row>
    <row r="53" spans="1:26" s="24" customFormat="1" hidden="1" outlineLevel="2" x14ac:dyDescent="0.25">
      <c r="A53" s="25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30"/>
        <v>0</v>
      </c>
      <c r="G53" s="2"/>
      <c r="H53" s="6">
        <v>20.9</v>
      </c>
      <c r="I53" s="2"/>
      <c r="J53" s="7">
        <f t="shared" si="31"/>
        <v>4.9354040620028445E-4</v>
      </c>
      <c r="K53" s="2"/>
      <c r="L53" s="6">
        <f t="shared" si="32"/>
        <v>-20.9</v>
      </c>
      <c r="M53" s="2"/>
      <c r="N53" s="7">
        <f t="shared" si="33"/>
        <v>-1</v>
      </c>
      <c r="O53" s="11"/>
      <c r="P53" s="6">
        <v>160</v>
      </c>
      <c r="Q53" s="2"/>
      <c r="R53" s="7">
        <f t="shared" si="34"/>
        <v>0</v>
      </c>
      <c r="S53" s="2"/>
      <c r="T53" s="6">
        <v>1143.05</v>
      </c>
      <c r="U53" s="2"/>
      <c r="V53" s="7">
        <f t="shared" si="35"/>
        <v>3.0086567085450904E-3</v>
      </c>
      <c r="W53" s="2"/>
      <c r="X53" s="6">
        <f t="shared" si="36"/>
        <v>-983.05</v>
      </c>
      <c r="Y53" s="2"/>
      <c r="Z53" s="7">
        <f t="shared" si="37"/>
        <v>-0.86002362101395391</v>
      </c>
    </row>
    <row r="54" spans="1:26" s="26" customFormat="1" outlineLevel="1" collapsed="1" x14ac:dyDescent="0.25">
      <c r="A54" s="27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SUM(OSRRefD22_8x_0)</f>
        <v>0</v>
      </c>
      <c r="E54" s="1"/>
      <c r="F54" s="5">
        <f t="shared" si="30"/>
        <v>0</v>
      </c>
      <c r="G54" s="1"/>
      <c r="H54" s="1">
        <f>SUM(OSRRefH22_8x_0)</f>
        <v>0</v>
      </c>
      <c r="I54" s="1"/>
      <c r="J54" s="5">
        <f t="shared" si="31"/>
        <v>0</v>
      </c>
      <c r="K54" s="1"/>
      <c r="L54" s="1">
        <f t="shared" si="32"/>
        <v>0</v>
      </c>
      <c r="M54" s="1"/>
      <c r="N54" s="5">
        <f t="shared" si="33"/>
        <v>0</v>
      </c>
      <c r="O54" s="13"/>
      <c r="P54" s="1">
        <f>SUM(OSRRefP22_8x_0)</f>
        <v>48.24</v>
      </c>
      <c r="Q54" s="1"/>
      <c r="R54" s="5">
        <f t="shared" si="34"/>
        <v>0</v>
      </c>
      <c r="S54" s="1"/>
      <c r="T54" s="1">
        <f>SUM(OSRRefT22_8x_0)</f>
        <v>1064.5</v>
      </c>
      <c r="U54" s="1"/>
      <c r="V54" s="5">
        <f t="shared" si="35"/>
        <v>2.8019028618575291E-3</v>
      </c>
      <c r="W54" s="1"/>
      <c r="X54" s="1">
        <f t="shared" si="36"/>
        <v>-1016.26</v>
      </c>
      <c r="Y54" s="1"/>
      <c r="Z54" s="5">
        <f t="shared" si="37"/>
        <v>-0.95468294974166279</v>
      </c>
    </row>
    <row r="55" spans="1:26" s="24" customFormat="1" hidden="1" outlineLevel="2" x14ac:dyDescent="0.25">
      <c r="A55" s="25"/>
      <c r="B55" s="11" t="str">
        <f>CONCATENATE("          ", "6371", " - ", "COMPUTER SOFTWARE MAINTENANCE")</f>
        <v xml:space="preserve">          6371 - COMPUTER SOFTWARE MAINTENANCE</v>
      </c>
      <c r="C55" s="11"/>
      <c r="D55" s="6"/>
      <c r="E55" s="2"/>
      <c r="F55" s="7">
        <f t="shared" si="30"/>
        <v>0</v>
      </c>
      <c r="G55" s="2"/>
      <c r="H55" s="6"/>
      <c r="I55" s="2"/>
      <c r="J55" s="7">
        <f t="shared" si="31"/>
        <v>0</v>
      </c>
      <c r="K55" s="2"/>
      <c r="L55" s="6">
        <f t="shared" si="32"/>
        <v>0</v>
      </c>
      <c r="M55" s="2"/>
      <c r="N55" s="7">
        <f t="shared" si="33"/>
        <v>0</v>
      </c>
      <c r="O55" s="11"/>
      <c r="P55" s="6"/>
      <c r="Q55" s="2"/>
      <c r="R55" s="7">
        <f t="shared" si="34"/>
        <v>0</v>
      </c>
      <c r="S55" s="2"/>
      <c r="T55" s="6">
        <v>437.31</v>
      </c>
      <c r="U55" s="2"/>
      <c r="V55" s="7">
        <f t="shared" si="35"/>
        <v>1.1510569661990757E-3</v>
      </c>
      <c r="W55" s="2"/>
      <c r="X55" s="6">
        <f t="shared" si="36"/>
        <v>-437.31</v>
      </c>
      <c r="Y55" s="2"/>
      <c r="Z55" s="7">
        <f t="shared" si="37"/>
        <v>-1</v>
      </c>
    </row>
    <row r="56" spans="1:26" s="24" customFormat="1" hidden="1" outlineLevel="2" x14ac:dyDescent="0.25">
      <c r="A56" s="25"/>
      <c r="B56" s="11" t="str">
        <f>CONCATENATE("          ", "6373", " - ", "MAINTENANCE CONTRACTS")</f>
        <v xml:space="preserve">          6373 - MAINTENANCE CONTRACTS</v>
      </c>
      <c r="C56" s="11"/>
      <c r="D56" s="6"/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0</v>
      </c>
      <c r="M56" s="2"/>
      <c r="N56" s="7">
        <f t="shared" si="33"/>
        <v>0</v>
      </c>
      <c r="O56" s="11"/>
      <c r="P56" s="6">
        <v>48.24</v>
      </c>
      <c r="Q56" s="2"/>
      <c r="R56" s="7">
        <f t="shared" si="34"/>
        <v>0</v>
      </c>
      <c r="S56" s="2"/>
      <c r="T56" s="6">
        <v>46.61</v>
      </c>
      <c r="U56" s="2"/>
      <c r="V56" s="7">
        <f t="shared" si="35"/>
        <v>1.2268360017959553E-4</v>
      </c>
      <c r="W56" s="2"/>
      <c r="X56" s="6">
        <f t="shared" si="36"/>
        <v>1.6300000000000026</v>
      </c>
      <c r="Y56" s="2"/>
      <c r="Z56" s="7">
        <f t="shared" si="37"/>
        <v>3.4971036258313722E-2</v>
      </c>
    </row>
    <row r="57" spans="1:26" s="24" customFormat="1" hidden="1" outlineLevel="2" x14ac:dyDescent="0.25">
      <c r="A57" s="25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30"/>
        <v>0</v>
      </c>
      <c r="G57" s="2"/>
      <c r="H57" s="6"/>
      <c r="I57" s="2"/>
      <c r="J57" s="7">
        <f t="shared" si="31"/>
        <v>0</v>
      </c>
      <c r="K57" s="2"/>
      <c r="L57" s="6">
        <f t="shared" si="32"/>
        <v>0</v>
      </c>
      <c r="M57" s="2"/>
      <c r="N57" s="7">
        <f t="shared" si="33"/>
        <v>0</v>
      </c>
      <c r="O57" s="11"/>
      <c r="P57" s="6"/>
      <c r="Q57" s="2"/>
      <c r="R57" s="7">
        <f t="shared" si="34"/>
        <v>0</v>
      </c>
      <c r="S57" s="2"/>
      <c r="T57" s="6">
        <v>580.58000000000004</v>
      </c>
      <c r="U57" s="2"/>
      <c r="V57" s="7">
        <f t="shared" si="35"/>
        <v>1.528162295478858E-3</v>
      </c>
      <c r="W57" s="2"/>
      <c r="X57" s="6">
        <f t="shared" si="36"/>
        <v>-580.58000000000004</v>
      </c>
      <c r="Y57" s="2"/>
      <c r="Z57" s="7">
        <f t="shared" si="37"/>
        <v>-1</v>
      </c>
    </row>
    <row r="58" spans="1:26" s="26" customFormat="1" outlineLevel="1" collapsed="1" x14ac:dyDescent="0.25">
      <c r="A58" s="27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SUM(OSRRefD22_9x_0)</f>
        <v>0</v>
      </c>
      <c r="E58" s="1"/>
      <c r="F58" s="5">
        <f t="shared" ref="F58:F65" si="38">IF(D$12=0,0,D58/D$12)</f>
        <v>0</v>
      </c>
      <c r="G58" s="1"/>
      <c r="H58" s="1">
        <f>SUM(OSRRefH22_9x_0)</f>
        <v>137.80000000000001</v>
      </c>
      <c r="I58" s="1"/>
      <c r="J58" s="5">
        <f t="shared" ref="J58:J65" si="39">IF(H$12=0,0,H58/H$12)</f>
        <v>3.2540606686315412E-3</v>
      </c>
      <c r="K58" s="1"/>
      <c r="L58" s="1">
        <f t="shared" ref="L58:L65" si="40">+D58-H58</f>
        <v>-137.80000000000001</v>
      </c>
      <c r="M58" s="1"/>
      <c r="N58" s="5">
        <f t="shared" ref="N58:N65" si="41">IF(H58=0,0,L58/H58)</f>
        <v>-1</v>
      </c>
      <c r="O58" s="13"/>
      <c r="P58" s="1">
        <f>SUM(OSRRefP22_9x_0)</f>
        <v>0</v>
      </c>
      <c r="Q58" s="1"/>
      <c r="R58" s="5">
        <f t="shared" ref="R58:R65" si="42">IF(P$12=0,0,P58/P$12)</f>
        <v>0</v>
      </c>
      <c r="S58" s="1"/>
      <c r="T58" s="1">
        <f>SUM(OSRRefT22_9x_0)</f>
        <v>973.61</v>
      </c>
      <c r="U58" s="1"/>
      <c r="V58" s="5">
        <f t="shared" ref="V58:V65" si="43">IF(T$12=0,0,T58/T$12)</f>
        <v>2.5626685254420941E-3</v>
      </c>
      <c r="W58" s="1"/>
      <c r="X58" s="1">
        <f t="shared" ref="X58:X65" si="44">+P58-T58</f>
        <v>-973.61</v>
      </c>
      <c r="Y58" s="1"/>
      <c r="Z58" s="5">
        <f t="shared" ref="Z58:Z65" si="45">IF(T58=0,0,X58/T58)</f>
        <v>-1</v>
      </c>
    </row>
    <row r="59" spans="1:26" s="24" customFormat="1" hidden="1" outlineLevel="2" x14ac:dyDescent="0.25">
      <c r="A59" s="25"/>
      <c r="B59" s="11" t="str">
        <f>CONCATENATE("          ", "6286", " - ", "LAUNDRY EXPENSE")</f>
        <v xml:space="preserve">          6286 - LAUNDRY EXPENSE</v>
      </c>
      <c r="C59" s="11"/>
      <c r="D59" s="6"/>
      <c r="E59" s="2"/>
      <c r="F59" s="7">
        <f t="shared" si="38"/>
        <v>0</v>
      </c>
      <c r="G59" s="2"/>
      <c r="H59" s="6">
        <v>137.80000000000001</v>
      </c>
      <c r="I59" s="2"/>
      <c r="J59" s="7">
        <f t="shared" si="39"/>
        <v>3.2540606686315412E-3</v>
      </c>
      <c r="K59" s="2"/>
      <c r="L59" s="6">
        <f t="shared" si="40"/>
        <v>-137.80000000000001</v>
      </c>
      <c r="M59" s="2"/>
      <c r="N59" s="7">
        <f t="shared" si="41"/>
        <v>-1</v>
      </c>
      <c r="O59" s="11"/>
      <c r="P59" s="6"/>
      <c r="Q59" s="2"/>
      <c r="R59" s="7">
        <f t="shared" si="42"/>
        <v>0</v>
      </c>
      <c r="S59" s="2"/>
      <c r="T59" s="6">
        <v>973.61</v>
      </c>
      <c r="U59" s="2"/>
      <c r="V59" s="7">
        <f t="shared" si="43"/>
        <v>2.5626685254420941E-3</v>
      </c>
      <c r="W59" s="2"/>
      <c r="X59" s="6">
        <f t="shared" si="44"/>
        <v>-973.61</v>
      </c>
      <c r="Y59" s="2"/>
      <c r="Z59" s="7">
        <f t="shared" si="45"/>
        <v>-1</v>
      </c>
    </row>
    <row r="60" spans="1:26" s="26" customFormat="1" outlineLevel="1" collapsed="1" x14ac:dyDescent="0.25">
      <c r="A60" s="27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SUM(OSRRefD22_10x_0)</f>
        <v>0</v>
      </c>
      <c r="E60" s="1"/>
      <c r="F60" s="5">
        <f t="shared" si="38"/>
        <v>0</v>
      </c>
      <c r="G60" s="1"/>
      <c r="H60" s="1">
        <f>SUM(OSRRefH22_10x_0)</f>
        <v>195.73</v>
      </c>
      <c r="I60" s="1"/>
      <c r="J60" s="5">
        <f t="shared" si="39"/>
        <v>4.6220413256259172E-3</v>
      </c>
      <c r="K60" s="1"/>
      <c r="L60" s="1">
        <f t="shared" si="40"/>
        <v>-195.73</v>
      </c>
      <c r="M60" s="1"/>
      <c r="N60" s="5">
        <f t="shared" si="41"/>
        <v>-1</v>
      </c>
      <c r="O60" s="13"/>
      <c r="P60" s="1">
        <f>SUM(OSRRefP22_10x_0)</f>
        <v>0</v>
      </c>
      <c r="Q60" s="1"/>
      <c r="R60" s="5">
        <f t="shared" si="42"/>
        <v>0</v>
      </c>
      <c r="S60" s="1"/>
      <c r="T60" s="1">
        <f>SUM(OSRRefT22_10x_0)</f>
        <v>3704.31</v>
      </c>
      <c r="U60" s="1"/>
      <c r="V60" s="5">
        <f t="shared" si="43"/>
        <v>9.7502271396970076E-3</v>
      </c>
      <c r="W60" s="1"/>
      <c r="X60" s="1">
        <f t="shared" si="44"/>
        <v>-3704.31</v>
      </c>
      <c r="Y60" s="1"/>
      <c r="Z60" s="5">
        <f t="shared" si="45"/>
        <v>-1</v>
      </c>
    </row>
    <row r="61" spans="1:26" s="24" customFormat="1" hidden="1" outlineLevel="2" x14ac:dyDescent="0.25">
      <c r="A61" s="25"/>
      <c r="B61" s="11" t="str">
        <f>CONCATENATE("          ", "6234", " - ", "EXPENDABLE SUPPLIES &amp; EQUIPMEN")</f>
        <v xml:space="preserve">          6234 - EXPENDABLE SUPPLIES &amp; EQUIPMEN</v>
      </c>
      <c r="C61" s="11"/>
      <c r="D61" s="6"/>
      <c r="E61" s="2"/>
      <c r="F61" s="7">
        <f t="shared" si="38"/>
        <v>0</v>
      </c>
      <c r="G61" s="2"/>
      <c r="H61" s="6"/>
      <c r="I61" s="2"/>
      <c r="J61" s="7">
        <f t="shared" si="39"/>
        <v>0</v>
      </c>
      <c r="K61" s="2"/>
      <c r="L61" s="6">
        <f t="shared" si="40"/>
        <v>0</v>
      </c>
      <c r="M61" s="2"/>
      <c r="N61" s="7">
        <f t="shared" si="41"/>
        <v>0</v>
      </c>
      <c r="O61" s="11"/>
      <c r="P61" s="6"/>
      <c r="Q61" s="2"/>
      <c r="R61" s="7">
        <f t="shared" si="42"/>
        <v>0</v>
      </c>
      <c r="S61" s="2"/>
      <c r="T61" s="6">
        <v>354.82</v>
      </c>
      <c r="U61" s="2"/>
      <c r="V61" s="7">
        <f t="shared" si="43"/>
        <v>9.339325255465369E-4</v>
      </c>
      <c r="W61" s="2"/>
      <c r="X61" s="6">
        <f t="shared" si="44"/>
        <v>-354.82</v>
      </c>
      <c r="Y61" s="2"/>
      <c r="Z61" s="7">
        <f t="shared" si="45"/>
        <v>-1</v>
      </c>
    </row>
    <row r="62" spans="1:26" s="24" customFormat="1" hidden="1" outlineLevel="2" x14ac:dyDescent="0.25">
      <c r="A62" s="25"/>
      <c r="B62" s="11" t="str">
        <f>CONCATENATE("          ", "6237", " - ", "JANITORIAL SUPPLIES")</f>
        <v xml:space="preserve">          6237 - JANITORIAL SUPPLIES</v>
      </c>
      <c r="C62" s="11"/>
      <c r="D62" s="6"/>
      <c r="E62" s="2"/>
      <c r="F62" s="7">
        <f t="shared" si="38"/>
        <v>0</v>
      </c>
      <c r="G62" s="2"/>
      <c r="H62" s="6"/>
      <c r="I62" s="2"/>
      <c r="J62" s="7">
        <f t="shared" si="39"/>
        <v>0</v>
      </c>
      <c r="K62" s="2"/>
      <c r="L62" s="6">
        <f t="shared" si="40"/>
        <v>0</v>
      </c>
      <c r="M62" s="2"/>
      <c r="N62" s="7">
        <f t="shared" si="41"/>
        <v>0</v>
      </c>
      <c r="O62" s="11"/>
      <c r="P62" s="6"/>
      <c r="Q62" s="2"/>
      <c r="R62" s="7">
        <f t="shared" si="42"/>
        <v>0</v>
      </c>
      <c r="S62" s="2"/>
      <c r="T62" s="6">
        <v>151.25</v>
      </c>
      <c r="U62" s="2"/>
      <c r="V62" s="7">
        <f t="shared" si="43"/>
        <v>3.9810973025453388E-4</v>
      </c>
      <c r="W62" s="2"/>
      <c r="X62" s="6">
        <f t="shared" si="44"/>
        <v>-151.25</v>
      </c>
      <c r="Y62" s="2"/>
      <c r="Z62" s="7">
        <f t="shared" si="45"/>
        <v>-1</v>
      </c>
    </row>
    <row r="63" spans="1:26" s="24" customFormat="1" hidden="1" outlineLevel="2" x14ac:dyDescent="0.25">
      <c r="A63" s="25"/>
      <c r="B63" s="11" t="str">
        <f>CONCATENATE("          ", "6241", " - ", "OFFICE EXPENSE")</f>
        <v xml:space="preserve">          6241 - OFFICE EXPENSE</v>
      </c>
      <c r="C63" s="11"/>
      <c r="D63" s="6"/>
      <c r="E63" s="2"/>
      <c r="F63" s="7">
        <f t="shared" si="38"/>
        <v>0</v>
      </c>
      <c r="G63" s="2"/>
      <c r="H63" s="6"/>
      <c r="I63" s="2"/>
      <c r="J63" s="7">
        <f t="shared" si="39"/>
        <v>0</v>
      </c>
      <c r="K63" s="2"/>
      <c r="L63" s="6">
        <f t="shared" si="40"/>
        <v>0</v>
      </c>
      <c r="M63" s="2"/>
      <c r="N63" s="7">
        <f t="shared" si="41"/>
        <v>0</v>
      </c>
      <c r="O63" s="11"/>
      <c r="P63" s="6"/>
      <c r="Q63" s="2"/>
      <c r="R63" s="7">
        <f t="shared" si="42"/>
        <v>0</v>
      </c>
      <c r="S63" s="2"/>
      <c r="T63" s="6">
        <v>328.56</v>
      </c>
      <c r="U63" s="2"/>
      <c r="V63" s="7">
        <f t="shared" si="43"/>
        <v>8.6481277998300588E-4</v>
      </c>
      <c r="W63" s="2"/>
      <c r="X63" s="6">
        <f t="shared" si="44"/>
        <v>-328.56</v>
      </c>
      <c r="Y63" s="2"/>
      <c r="Z63" s="7">
        <f t="shared" si="45"/>
        <v>-1</v>
      </c>
    </row>
    <row r="64" spans="1:26" s="24" customFormat="1" hidden="1" outlineLevel="2" x14ac:dyDescent="0.25">
      <c r="A64" s="25"/>
      <c r="B64" s="11" t="str">
        <f>CONCATENATE("          ", "6245", " - ", "PRINTING")</f>
        <v xml:space="preserve">          6245 - PRINTING</v>
      </c>
      <c r="C64" s="11"/>
      <c r="D64" s="6"/>
      <c r="E64" s="2"/>
      <c r="F64" s="7">
        <f t="shared" si="38"/>
        <v>0</v>
      </c>
      <c r="G64" s="2"/>
      <c r="H64" s="6"/>
      <c r="I64" s="2"/>
      <c r="J64" s="7">
        <f t="shared" si="39"/>
        <v>0</v>
      </c>
      <c r="K64" s="2"/>
      <c r="L64" s="6">
        <f t="shared" si="40"/>
        <v>0</v>
      </c>
      <c r="M64" s="2"/>
      <c r="N64" s="7">
        <f t="shared" si="41"/>
        <v>0</v>
      </c>
      <c r="O64" s="11"/>
      <c r="P64" s="6"/>
      <c r="Q64" s="2"/>
      <c r="R64" s="7">
        <f t="shared" si="42"/>
        <v>0</v>
      </c>
      <c r="S64" s="2"/>
      <c r="T64" s="6">
        <v>81.739999999999995</v>
      </c>
      <c r="U64" s="2"/>
      <c r="V64" s="7">
        <f t="shared" si="43"/>
        <v>2.151503428165659E-4</v>
      </c>
      <c r="W64" s="2"/>
      <c r="X64" s="6">
        <f t="shared" si="44"/>
        <v>-81.739999999999995</v>
      </c>
      <c r="Y64" s="2"/>
      <c r="Z64" s="7">
        <f t="shared" si="45"/>
        <v>-1</v>
      </c>
    </row>
    <row r="65" spans="1:26" s="24" customFormat="1" hidden="1" outlineLevel="2" x14ac:dyDescent="0.25">
      <c r="A65" s="25"/>
      <c r="B65" s="11" t="str">
        <f>CONCATENATE("          ", "6247", " - ", "STORE SUPPLIES")</f>
        <v xml:space="preserve">          6247 - STORE SUPPLIES</v>
      </c>
      <c r="C65" s="11"/>
      <c r="D65" s="6"/>
      <c r="E65" s="2"/>
      <c r="F65" s="7">
        <f t="shared" si="38"/>
        <v>0</v>
      </c>
      <c r="G65" s="2"/>
      <c r="H65" s="6">
        <v>195.73</v>
      </c>
      <c r="I65" s="2"/>
      <c r="J65" s="7">
        <f t="shared" si="39"/>
        <v>4.6220413256259172E-3</v>
      </c>
      <c r="K65" s="2"/>
      <c r="L65" s="6">
        <f t="shared" si="40"/>
        <v>-195.73</v>
      </c>
      <c r="M65" s="2"/>
      <c r="N65" s="7">
        <f t="shared" si="41"/>
        <v>-1</v>
      </c>
      <c r="O65" s="11"/>
      <c r="P65" s="6"/>
      <c r="Q65" s="2"/>
      <c r="R65" s="7">
        <f t="shared" si="42"/>
        <v>0</v>
      </c>
      <c r="S65" s="2"/>
      <c r="T65" s="6">
        <v>2787.94</v>
      </c>
      <c r="U65" s="2"/>
      <c r="V65" s="7">
        <f t="shared" si="43"/>
        <v>7.3382217610963646E-3</v>
      </c>
      <c r="W65" s="2"/>
      <c r="X65" s="6">
        <f t="shared" si="44"/>
        <v>-2787.94</v>
      </c>
      <c r="Y65" s="2"/>
      <c r="Z65" s="7">
        <f t="shared" si="45"/>
        <v>-1</v>
      </c>
    </row>
    <row r="66" spans="1:26" s="26" customFormat="1" outlineLevel="1" collapsed="1" x14ac:dyDescent="0.25">
      <c r="A66" s="27"/>
      <c r="B66" s="13" t="str">
        <f>CONCATENATE("     ","Telephone/Data Lines                              ")</f>
        <v xml:space="preserve">     Telephone/Data Lines                              </v>
      </c>
      <c r="C66" s="13"/>
      <c r="D66" s="1">
        <f>SUM(OSRRefD22_11x_0)</f>
        <v>72</v>
      </c>
      <c r="E66" s="1"/>
      <c r="F66" s="5">
        <f t="shared" ref="F66:F69" si="46">IF(D$12=0,0,D66/D$12)</f>
        <v>0</v>
      </c>
      <c r="G66" s="1"/>
      <c r="H66" s="1">
        <f>SUM(OSRRefH22_11x_0)</f>
        <v>126.1</v>
      </c>
      <c r="I66" s="1"/>
      <c r="J66" s="5">
        <f t="shared" ref="J66:J69" si="47">IF(H$12=0,0,H66/H$12)</f>
        <v>2.9777724986533908E-3</v>
      </c>
      <c r="K66" s="1"/>
      <c r="L66" s="1">
        <f t="shared" ref="L66:L69" si="48">+D66-H66</f>
        <v>-54.099999999999994</v>
      </c>
      <c r="M66" s="1"/>
      <c r="N66" s="5">
        <f t="shared" ref="N66:N69" si="49">IF(H66=0,0,L66/H66)</f>
        <v>-0.4290245836637589</v>
      </c>
      <c r="O66" s="13"/>
      <c r="P66" s="1">
        <f>SUM(OSRRefP22_11x_0)</f>
        <v>852.4</v>
      </c>
      <c r="Q66" s="1"/>
      <c r="R66" s="5">
        <f t="shared" ref="R66:R69" si="50">IF(P$12=0,0,P66/P$12)</f>
        <v>0</v>
      </c>
      <c r="S66" s="1"/>
      <c r="T66" s="1">
        <f>SUM(OSRRefT22_11x_0)</f>
        <v>831.7</v>
      </c>
      <c r="U66" s="1"/>
      <c r="V66" s="5">
        <f t="shared" ref="V66:V69" si="51">IF(T$12=0,0,T66/T$12)</f>
        <v>2.1891428935715425E-3</v>
      </c>
      <c r="W66" s="1"/>
      <c r="X66" s="1">
        <f t="shared" ref="X66:X69" si="52">+P66-T66</f>
        <v>20.699999999999932</v>
      </c>
      <c r="Y66" s="1"/>
      <c r="Z66" s="5">
        <f t="shared" ref="Z66:Z69" si="53">IF(T66=0,0,X66/T66)</f>
        <v>2.4888782012744897E-2</v>
      </c>
    </row>
    <row r="67" spans="1:26" s="24" customFormat="1" hidden="1" outlineLevel="2" x14ac:dyDescent="0.25">
      <c r="A67" s="25"/>
      <c r="B67" s="11" t="str">
        <f>CONCATENATE("          ", "6309", " - ", "TELEPHONE")</f>
        <v xml:space="preserve">          6309 - TELEPHONE</v>
      </c>
      <c r="C67" s="11"/>
      <c r="D67" s="6">
        <v>72</v>
      </c>
      <c r="E67" s="2"/>
      <c r="F67" s="7">
        <f t="shared" si="46"/>
        <v>0</v>
      </c>
      <c r="G67" s="2"/>
      <c r="H67" s="6">
        <v>126.1</v>
      </c>
      <c r="I67" s="2"/>
      <c r="J67" s="7">
        <f t="shared" si="47"/>
        <v>2.9777724986533908E-3</v>
      </c>
      <c r="K67" s="2"/>
      <c r="L67" s="6">
        <f t="shared" si="48"/>
        <v>-54.099999999999994</v>
      </c>
      <c r="M67" s="2"/>
      <c r="N67" s="7">
        <f t="shared" si="49"/>
        <v>-0.4290245836637589</v>
      </c>
      <c r="O67" s="11"/>
      <c r="P67" s="6">
        <v>852.4</v>
      </c>
      <c r="Q67" s="2"/>
      <c r="R67" s="7">
        <f t="shared" si="50"/>
        <v>0</v>
      </c>
      <c r="S67" s="2"/>
      <c r="T67" s="6">
        <v>831.7</v>
      </c>
      <c r="U67" s="2"/>
      <c r="V67" s="7">
        <f t="shared" si="51"/>
        <v>2.1891428935715425E-3</v>
      </c>
      <c r="W67" s="2"/>
      <c r="X67" s="6">
        <f t="shared" si="52"/>
        <v>20.699999999999932</v>
      </c>
      <c r="Y67" s="2"/>
      <c r="Z67" s="7">
        <f t="shared" si="53"/>
        <v>2.4888782012744897E-2</v>
      </c>
    </row>
    <row r="68" spans="1:26" s="26" customFormat="1" outlineLevel="1" collapsed="1" x14ac:dyDescent="0.25">
      <c r="A68" s="27"/>
      <c r="B68" s="13" t="str">
        <f>CONCATENATE("     ","Training                                          ")</f>
        <v xml:space="preserve">     Training                                          </v>
      </c>
      <c r="C68" s="13"/>
      <c r="D68" s="1">
        <f>SUM(OSRRefD22_12x_0)</f>
        <v>0</v>
      </c>
      <c r="E68" s="1"/>
      <c r="F68" s="5">
        <f t="shared" si="46"/>
        <v>0</v>
      </c>
      <c r="G68" s="1"/>
      <c r="H68" s="1">
        <f>SUM(OSRRefH22_12x_0)</f>
        <v>0</v>
      </c>
      <c r="I68" s="1"/>
      <c r="J68" s="5">
        <f t="shared" si="47"/>
        <v>0</v>
      </c>
      <c r="K68" s="1"/>
      <c r="L68" s="1">
        <f t="shared" si="48"/>
        <v>0</v>
      </c>
      <c r="M68" s="1"/>
      <c r="N68" s="5">
        <f t="shared" si="49"/>
        <v>0</v>
      </c>
      <c r="O68" s="13"/>
      <c r="P68" s="1">
        <f>SUM(OSRRefP22_12x_0)</f>
        <v>0</v>
      </c>
      <c r="Q68" s="1"/>
      <c r="R68" s="5">
        <f t="shared" si="50"/>
        <v>0</v>
      </c>
      <c r="S68" s="1"/>
      <c r="T68" s="1">
        <f>SUM(OSRRefT22_12x_0)</f>
        <v>96</v>
      </c>
      <c r="U68" s="1"/>
      <c r="V68" s="5">
        <f t="shared" si="51"/>
        <v>2.5268452300453056E-4</v>
      </c>
      <c r="W68" s="1"/>
      <c r="X68" s="1">
        <f t="shared" si="52"/>
        <v>-96</v>
      </c>
      <c r="Y68" s="1"/>
      <c r="Z68" s="5">
        <f t="shared" si="53"/>
        <v>-1</v>
      </c>
    </row>
    <row r="69" spans="1:26" s="24" customFormat="1" hidden="1" outlineLevel="2" x14ac:dyDescent="0.25">
      <c r="A69" s="25"/>
      <c r="B69" s="11" t="str">
        <f>CONCATENATE("          ", "6376", " - ", "TRAINING")</f>
        <v xml:space="preserve">          6376 - TRAINING</v>
      </c>
      <c r="C69" s="11"/>
      <c r="D69" s="6"/>
      <c r="E69" s="2"/>
      <c r="F69" s="7">
        <f t="shared" si="46"/>
        <v>0</v>
      </c>
      <c r="G69" s="2"/>
      <c r="H69" s="6"/>
      <c r="I69" s="2"/>
      <c r="J69" s="7">
        <f t="shared" si="47"/>
        <v>0</v>
      </c>
      <c r="K69" s="2"/>
      <c r="L69" s="6">
        <f t="shared" si="48"/>
        <v>0</v>
      </c>
      <c r="M69" s="2"/>
      <c r="N69" s="7">
        <f t="shared" si="49"/>
        <v>0</v>
      </c>
      <c r="O69" s="11"/>
      <c r="P69" s="6"/>
      <c r="Q69" s="2"/>
      <c r="R69" s="7">
        <f t="shared" si="50"/>
        <v>0</v>
      </c>
      <c r="S69" s="2"/>
      <c r="T69" s="6">
        <v>96</v>
      </c>
      <c r="U69" s="2"/>
      <c r="V69" s="7">
        <f t="shared" si="51"/>
        <v>2.5268452300453056E-4</v>
      </c>
      <c r="W69" s="2"/>
      <c r="X69" s="6">
        <f t="shared" si="52"/>
        <v>-96</v>
      </c>
      <c r="Y69" s="2"/>
      <c r="Z69" s="7">
        <f t="shared" si="53"/>
        <v>-1</v>
      </c>
    </row>
    <row r="70" spans="1:26" s="61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9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8" t="s">
        <v>3</v>
      </c>
      <c r="C73" s="28"/>
      <c r="D73" s="20">
        <f>+D24-D26+D71</f>
        <v>-80.17</v>
      </c>
      <c r="E73" s="14"/>
      <c r="F73" s="22">
        <f>IF(D$12=0,0,D73/D$12)</f>
        <v>0</v>
      </c>
      <c r="G73" s="14"/>
      <c r="H73" s="20">
        <f>+H24-H26+H71</f>
        <v>3048.4599999999919</v>
      </c>
      <c r="I73" s="14"/>
      <c r="J73" s="22">
        <f>IF(H$12=0,0,H73/H$12)</f>
        <v>7.1987473047144271E-2</v>
      </c>
      <c r="K73" s="15"/>
      <c r="L73" s="20">
        <f>+D73-H73</f>
        <v>-3128.6299999999919</v>
      </c>
      <c r="M73" s="15"/>
      <c r="N73" s="22">
        <f>IF(H73=0,0,L73/H73)</f>
        <v>-1.0262985245008955</v>
      </c>
      <c r="O73" s="29"/>
      <c r="P73" s="20">
        <f>+P24-P26+P71</f>
        <v>-45728.480000000003</v>
      </c>
      <c r="Q73" s="14"/>
      <c r="R73" s="22">
        <f>IF(P$12=0,0,P73/P$12)</f>
        <v>0</v>
      </c>
      <c r="S73" s="14"/>
      <c r="T73" s="20">
        <f>+T24-T26+T71</f>
        <v>67822.979999999981</v>
      </c>
      <c r="U73" s="14"/>
      <c r="V73" s="22">
        <f>IF(T$12=0,0,T73/T$12)</f>
        <v>0.17851893072964389</v>
      </c>
      <c r="W73" s="15"/>
      <c r="X73" s="20">
        <f>+P73-T73</f>
        <v>-113551.45999999999</v>
      </c>
      <c r="Y73" s="15"/>
      <c r="Z73" s="22">
        <f>IF(T73=0,0,X73/T73)</f>
        <v>-1.674232833768142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/>
      <c r="E75" s="4"/>
      <c r="F75" s="12">
        <f>IF(D$12=0,0,D75/D$12)</f>
        <v>0</v>
      </c>
      <c r="G75" s="4"/>
      <c r="H75" s="4">
        <v>3159.79</v>
      </c>
      <c r="I75" s="4"/>
      <c r="J75" s="12">
        <f>IF(H$12=0,0,H75/H$12)</f>
        <v>7.4616461249167321E-2</v>
      </c>
      <c r="K75" s="4"/>
      <c r="L75" s="4">
        <f>+D75-H75</f>
        <v>-3159.79</v>
      </c>
      <c r="M75" s="4"/>
      <c r="N75" s="12">
        <f>IF(H75=0,0,L75/H75)</f>
        <v>-1</v>
      </c>
      <c r="O75" s="10"/>
      <c r="P75" s="4"/>
      <c r="Q75" s="4"/>
      <c r="R75" s="12">
        <f>IF(P$12=0,0,P75/P$12)</f>
        <v>0</v>
      </c>
      <c r="S75" s="4"/>
      <c r="T75" s="4">
        <v>39620.310000000005</v>
      </c>
      <c r="U75" s="4"/>
      <c r="V75" s="12">
        <f>IF(T$12=0,0,T75/T$12)</f>
        <v>0.10428582430876703</v>
      </c>
      <c r="W75" s="4"/>
      <c r="X75" s="4">
        <f>+P75-T75</f>
        <v>-39620.310000000005</v>
      </c>
      <c r="Y75" s="4"/>
      <c r="Z75" s="12">
        <f>IF(T75=0,0,X75/T75)</f>
        <v>-1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4</v>
      </c>
      <c r="C77" s="28"/>
      <c r="D77" s="30">
        <f>+D73-D75</f>
        <v>-80.17</v>
      </c>
      <c r="E77" s="14"/>
      <c r="F77" s="36">
        <f>IF(D$12=0,0,D77/D$12)</f>
        <v>0</v>
      </c>
      <c r="G77" s="14"/>
      <c r="H77" s="30">
        <f>+H73-H75</f>
        <v>-111.33000000000811</v>
      </c>
      <c r="I77" s="14"/>
      <c r="J77" s="36">
        <f>IF(H$12=0,0,H77/H$12)</f>
        <v>-2.6289882020230468E-3</v>
      </c>
      <c r="K77" s="15"/>
      <c r="L77" s="30">
        <f>D77-H77</f>
        <v>31.160000000008111</v>
      </c>
      <c r="M77" s="15"/>
      <c r="N77" s="36">
        <f>IF(H77=0,0,L77/H77)</f>
        <v>-0.27988861941979559</v>
      </c>
      <c r="O77" s="29"/>
      <c r="P77" s="30">
        <f>+P73-P75</f>
        <v>-45728.480000000003</v>
      </c>
      <c r="Q77" s="14"/>
      <c r="R77" s="36">
        <f>IF(P$12=0,0,P77/P$12)</f>
        <v>0</v>
      </c>
      <c r="S77" s="14"/>
      <c r="T77" s="30">
        <f>+T73-T75</f>
        <v>28202.669999999976</v>
      </c>
      <c r="U77" s="14"/>
      <c r="V77" s="36">
        <f>IF(T$12=0,0,T77/T$12)</f>
        <v>7.4233106420876854E-2</v>
      </c>
      <c r="W77" s="15"/>
      <c r="X77" s="30">
        <f>P77-T77</f>
        <v>-73931.14999999998</v>
      </c>
      <c r="Y77" s="15"/>
      <c r="Z77" s="36">
        <f>IF(T77=0,0,X77/T77)</f>
        <v>-2.6214237871804351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5</v>
      </c>
      <c r="C80" s="28"/>
      <c r="D80" s="32">
        <f>SUM(D77:D79)</f>
        <v>-80.17</v>
      </c>
      <c r="E80" s="14"/>
      <c r="F80" s="31">
        <f>IF(D$12=0,0,D80/D$12)</f>
        <v>0</v>
      </c>
      <c r="G80" s="14"/>
      <c r="H80" s="32">
        <f>SUM(H77:H79)</f>
        <v>-111.33000000000811</v>
      </c>
      <c r="I80" s="14"/>
      <c r="J80" s="31">
        <f>IF(H$12=0,0,H80/H$12)</f>
        <v>-2.6289882020230468E-3</v>
      </c>
      <c r="K80" s="15"/>
      <c r="L80" s="32">
        <f>+D80-H80</f>
        <v>31.160000000008111</v>
      </c>
      <c r="M80" s="15"/>
      <c r="N80" s="31">
        <f>IF(H80=0,0,L80/H80)</f>
        <v>-0.27988861941979559</v>
      </c>
      <c r="O80" s="29"/>
      <c r="P80" s="32">
        <f>SUM(P77:P79)</f>
        <v>-45728.480000000003</v>
      </c>
      <c r="Q80" s="14"/>
      <c r="R80" s="31">
        <f>IF(P$12=0,0,P80/P$12)</f>
        <v>0</v>
      </c>
      <c r="S80" s="14"/>
      <c r="T80" s="32">
        <f>SUM(T77:T79)</f>
        <v>28202.669999999976</v>
      </c>
      <c r="U80" s="14"/>
      <c r="V80" s="31">
        <f>IF(T$12=0,0,T80/T$12)</f>
        <v>7.4233106420876854E-2</v>
      </c>
      <c r="W80" s="15"/>
      <c r="X80" s="32">
        <f>+P80-T80</f>
        <v>-73931.14999999998</v>
      </c>
      <c r="Y80" s="15"/>
      <c r="Z80" s="31">
        <f>IF(T80=0,0,X80/T80)</f>
        <v>-2.6214237871804351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62">
        <v>44238.496221990739</v>
      </c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A83" s="9"/>
      <c r="B83" s="59" t="s">
        <v>313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4" x14ac:dyDescent="0.25">
      <c r="A84" s="9"/>
      <c r="B84" s="56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4" x14ac:dyDescent="0.25"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297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","321", " - ", "Student Union C-Store")</f>
        <v>Department 321 - Student Union C-Store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21076.5</v>
      </c>
      <c r="I12" s="4"/>
      <c r="J12" s="12"/>
      <c r="K12" s="4"/>
      <c r="L12" s="4">
        <f t="shared" ref="L12:L14" si="0">+D12-H12</f>
        <v>-21076.5</v>
      </c>
      <c r="M12" s="4"/>
      <c r="N12" s="12">
        <f t="shared" ref="N12:N14" si="1">IF(H12=0,0,L12/H12)</f>
        <v>-1</v>
      </c>
      <c r="O12" s="10"/>
      <c r="P12" s="4">
        <f>SUM(OSRRefP13x_0)</f>
        <v>2476.4700000000003</v>
      </c>
      <c r="Q12" s="4"/>
      <c r="R12" s="12"/>
      <c r="S12" s="4"/>
      <c r="T12" s="4">
        <f>SUM(OSRRefT13x_0)</f>
        <v>213250.18</v>
      </c>
      <c r="U12" s="4"/>
      <c r="V12" s="12"/>
      <c r="W12" s="4"/>
      <c r="X12" s="4">
        <f t="shared" ref="X12:X14" si="2">+P12-T12</f>
        <v>-210773.71</v>
      </c>
      <c r="Y12" s="4"/>
      <c r="Z12" s="12">
        <f t="shared" ref="Z12:Z14" si="3">IF(T12=0,0,X12/T12)</f>
        <v>-0.98838702035327708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--4612.21</f>
        <v>4612.21</v>
      </c>
      <c r="I13" s="2"/>
      <c r="J13" s="19"/>
      <c r="K13" s="2"/>
      <c r="L13" s="2">
        <f t="shared" si="0"/>
        <v>-4612.21</v>
      </c>
      <c r="M13" s="2"/>
      <c r="N13" s="19">
        <f t="shared" si="1"/>
        <v>-1</v>
      </c>
      <c r="O13" s="11"/>
      <c r="P13" s="2">
        <f>--444.59</f>
        <v>444.59</v>
      </c>
      <c r="Q13" s="2"/>
      <c r="R13" s="19"/>
      <c r="S13" s="2"/>
      <c r="T13" s="2">
        <f>--49434.02</f>
        <v>49434.02</v>
      </c>
      <c r="U13" s="2"/>
      <c r="V13" s="19"/>
      <c r="W13" s="2"/>
      <c r="X13" s="2">
        <f t="shared" si="2"/>
        <v>-48989.43</v>
      </c>
      <c r="Y13" s="2"/>
      <c r="Z13" s="19">
        <f t="shared" si="3"/>
        <v>-0.99100639600016349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--16464.29</f>
        <v>16464.29</v>
      </c>
      <c r="I14" s="2"/>
      <c r="J14" s="19"/>
      <c r="K14" s="2"/>
      <c r="L14" s="2">
        <f t="shared" si="0"/>
        <v>-16464.29</v>
      </c>
      <c r="M14" s="2"/>
      <c r="N14" s="19">
        <f t="shared" si="1"/>
        <v>-1</v>
      </c>
      <c r="O14" s="11"/>
      <c r="P14" s="2">
        <f>--2031.88</f>
        <v>2031.88</v>
      </c>
      <c r="Q14" s="2"/>
      <c r="R14" s="19"/>
      <c r="S14" s="2"/>
      <c r="T14" s="2">
        <f>--163816.16</f>
        <v>163816.16</v>
      </c>
      <c r="U14" s="2"/>
      <c r="V14" s="19"/>
      <c r="W14" s="2"/>
      <c r="X14" s="2">
        <f t="shared" si="2"/>
        <v>-161784.28</v>
      </c>
      <c r="Y14" s="2"/>
      <c r="Z14" s="19">
        <f t="shared" si="3"/>
        <v>-0.98759658387792748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-257.75</v>
      </c>
      <c r="E16" s="4"/>
      <c r="F16" s="12">
        <f t="shared" ref="F16:F18" si="5">IF(D$12=0,0,D16/D$12)</f>
        <v>0</v>
      </c>
      <c r="G16" s="4"/>
      <c r="H16" s="4">
        <f>SUM(OSRRefH16x_0)</f>
        <v>10075.029999999997</v>
      </c>
      <c r="I16" s="4"/>
      <c r="J16" s="12">
        <f t="shared" ref="J16:J18" si="6">IF(H$12=0,0,H16/H$12)</f>
        <v>0.47802196759423987</v>
      </c>
      <c r="K16" s="4"/>
      <c r="L16" s="4">
        <f t="shared" ref="L16:L18" si="7">+D16-H16</f>
        <v>-10332.779999999997</v>
      </c>
      <c r="M16" s="4"/>
      <c r="N16" s="12">
        <f t="shared" ref="N16:N18" si="8">IF(H16=0,0,L16/H16)</f>
        <v>-1.025583050373051</v>
      </c>
      <c r="O16" s="10"/>
      <c r="P16" s="4">
        <f>SUM(OSRRefP16x_0)</f>
        <v>0.73</v>
      </c>
      <c r="Q16" s="4"/>
      <c r="R16" s="12">
        <f t="shared" ref="R16:R18" si="9">IF(P$12=0,0,P16/P$12)</f>
        <v>2.9477441681102534E-4</v>
      </c>
      <c r="S16" s="4"/>
      <c r="T16" s="4">
        <f>SUM(OSRRefT16x_0)</f>
        <v>102261.2</v>
      </c>
      <c r="U16" s="4"/>
      <c r="V16" s="12">
        <f t="shared" ref="V16:V18" si="10">IF(T$12=0,0,T16/T$12)</f>
        <v>0.47953628925424591</v>
      </c>
      <c r="W16" s="4"/>
      <c r="X16" s="4">
        <f t="shared" ref="X16:X18" si="11">+P16-T16</f>
        <v>-102260.47</v>
      </c>
      <c r="Y16" s="4"/>
      <c r="Z16" s="12">
        <f t="shared" ref="Z16:Z18" si="12">IF(T16=0,0,X16/T16)</f>
        <v>-0.99999286141762467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-257.75</v>
      </c>
      <c r="E17" s="2"/>
      <c r="F17" s="19">
        <f t="shared" si="5"/>
        <v>0</v>
      </c>
      <c r="G17" s="2"/>
      <c r="H17" s="2">
        <v>18605.609999999997</v>
      </c>
      <c r="I17" s="2"/>
      <c r="J17" s="19">
        <f t="shared" si="6"/>
        <v>0.88276563945626629</v>
      </c>
      <c r="K17" s="2"/>
      <c r="L17" s="2">
        <f t="shared" si="7"/>
        <v>-18863.359999999997</v>
      </c>
      <c r="M17" s="2"/>
      <c r="N17" s="19">
        <f t="shared" si="8"/>
        <v>-1.0138533485330499</v>
      </c>
      <c r="O17" s="11"/>
      <c r="P17" s="2">
        <v>0.73</v>
      </c>
      <c r="Q17" s="2"/>
      <c r="R17" s="19">
        <f t="shared" si="9"/>
        <v>2.9477441681102534E-4</v>
      </c>
      <c r="S17" s="2"/>
      <c r="T17" s="2">
        <v>105194.95</v>
      </c>
      <c r="U17" s="2"/>
      <c r="V17" s="19">
        <f t="shared" si="10"/>
        <v>0.49329360472286587</v>
      </c>
      <c r="W17" s="2"/>
      <c r="X17" s="2">
        <f t="shared" si="11"/>
        <v>-105194.22</v>
      </c>
      <c r="Y17" s="2"/>
      <c r="Z17" s="19">
        <f t="shared" si="12"/>
        <v>-0.99999306050337977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-8530.58</v>
      </c>
      <c r="I18" s="2"/>
      <c r="J18" s="19">
        <f t="shared" si="6"/>
        <v>-0.40474367186202642</v>
      </c>
      <c r="K18" s="2"/>
      <c r="L18" s="2">
        <f t="shared" si="7"/>
        <v>8530.58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-2933.75</v>
      </c>
      <c r="U18" s="2"/>
      <c r="V18" s="19">
        <f t="shared" si="10"/>
        <v>-1.3757315468620003E-2</v>
      </c>
      <c r="W18" s="2"/>
      <c r="X18" s="2">
        <f t="shared" si="11"/>
        <v>2933.75</v>
      </c>
      <c r="Y18" s="2"/>
      <c r="Z18" s="19">
        <f t="shared" si="12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257.75</v>
      </c>
      <c r="E20" s="14"/>
      <c r="F20" s="22">
        <f>IF(D$12=0,0,D20/D$12)</f>
        <v>0</v>
      </c>
      <c r="G20" s="14"/>
      <c r="H20" s="20">
        <f>H12-H16</f>
        <v>11001.470000000003</v>
      </c>
      <c r="I20" s="14"/>
      <c r="J20" s="22">
        <f>IF(H$12=0,0,H20/H$12)</f>
        <v>0.52197803240576013</v>
      </c>
      <c r="K20" s="15"/>
      <c r="L20" s="20">
        <f>+D20-H20</f>
        <v>-10743.720000000003</v>
      </c>
      <c r="M20" s="15"/>
      <c r="N20" s="22">
        <f>IF(H20=0,0,L20/H20)</f>
        <v>-0.97657131274275166</v>
      </c>
      <c r="O20" s="29"/>
      <c r="P20" s="20">
        <f>P12-P16</f>
        <v>2475.7400000000002</v>
      </c>
      <c r="Q20" s="14"/>
      <c r="R20" s="22">
        <f>IF(P$12=0,0,P20/P$12)</f>
        <v>0.99970522558318897</v>
      </c>
      <c r="S20" s="14"/>
      <c r="T20" s="20">
        <f>T12-T16</f>
        <v>110988.98</v>
      </c>
      <c r="U20" s="14"/>
      <c r="V20" s="22">
        <f>IF(T$12=0,0,T20/T$12)</f>
        <v>0.52046371074575415</v>
      </c>
      <c r="W20" s="15"/>
      <c r="X20" s="20">
        <f>+P20-T20</f>
        <v>-108513.23999999999</v>
      </c>
      <c r="Y20" s="15"/>
      <c r="Z20" s="22">
        <f>IF(T20=0,0,X20/T20)</f>
        <v>-0.97769382149471051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979.82999999999993</v>
      </c>
      <c r="E22" s="21"/>
      <c r="F22" s="35">
        <f t="shared" ref="F22:F31" si="13">IF(D$12=0,0,D22/D$12)</f>
        <v>0</v>
      </c>
      <c r="G22" s="21"/>
      <c r="H22" s="21">
        <f>SUM(OSRRefH22x_0)</f>
        <v>8518.6999999999989</v>
      </c>
      <c r="I22" s="21"/>
      <c r="J22" s="35">
        <f t="shared" ref="J22:J31" si="14">IF(H$12=0,0,H22/H$12)</f>
        <v>0.40418001091262773</v>
      </c>
      <c r="K22" s="4"/>
      <c r="L22" s="21">
        <f t="shared" ref="L22:L31" si="15">+D22-H22</f>
        <v>-7538.869999999999</v>
      </c>
      <c r="M22" s="4"/>
      <c r="N22" s="35">
        <f t="shared" ref="N22:N31" si="16">IF(H22=0,0,L22/H22)</f>
        <v>-0.88497892870977968</v>
      </c>
      <c r="O22" s="10"/>
      <c r="P22" s="21">
        <f>SUM(OSRRefP22x_0)</f>
        <v>36157.619999999988</v>
      </c>
      <c r="Q22" s="21"/>
      <c r="R22" s="35">
        <f t="shared" ref="R22:R31" si="17">IF(P$12=0,0,P22/P$12)</f>
        <v>14.600467601061181</v>
      </c>
      <c r="S22" s="21"/>
      <c r="T22" s="21">
        <f>SUM(OSRRefT22x_0)</f>
        <v>89343.419999999984</v>
      </c>
      <c r="U22" s="21"/>
      <c r="V22" s="35">
        <f t="shared" ref="V22:V31" si="18">IF(T$12=0,0,T22/T$12)</f>
        <v>0.41896058423022192</v>
      </c>
      <c r="W22" s="4"/>
      <c r="X22" s="21">
        <f t="shared" ref="X22:X31" si="19">+P22-T22</f>
        <v>-53185.799999999996</v>
      </c>
      <c r="Y22" s="4"/>
      <c r="Z22" s="35">
        <f t="shared" ref="Z22:Z31" si="20">IF(T22=0,0,X22/T22)</f>
        <v>-0.59529621767333296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176.35</v>
      </c>
      <c r="I23" s="1"/>
      <c r="J23" s="5">
        <f t="shared" si="14"/>
        <v>8.3671387564348918E-3</v>
      </c>
      <c r="K23" s="1"/>
      <c r="L23" s="1">
        <f t="shared" si="15"/>
        <v>-176.35</v>
      </c>
      <c r="M23" s="1"/>
      <c r="N23" s="5">
        <f t="shared" si="16"/>
        <v>-1</v>
      </c>
      <c r="O23" s="13"/>
      <c r="P23" s="1">
        <f>SUM(OSRRefP22_0x_0)</f>
        <v>8751.99</v>
      </c>
      <c r="Q23" s="1"/>
      <c r="R23" s="5">
        <f t="shared" si="17"/>
        <v>3.5340585591588023</v>
      </c>
      <c r="S23" s="1"/>
      <c r="T23" s="1">
        <f>SUM(OSRRefT22_0x_0)</f>
        <v>9418.08</v>
      </c>
      <c r="U23" s="1"/>
      <c r="V23" s="5">
        <f t="shared" si="18"/>
        <v>4.4164464480170661E-2</v>
      </c>
      <c r="W23" s="1"/>
      <c r="X23" s="1">
        <f t="shared" si="19"/>
        <v>-666.09000000000015</v>
      </c>
      <c r="Y23" s="1"/>
      <c r="Z23" s="5">
        <f t="shared" si="20"/>
        <v>-7.0724606289179981E-2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>
        <v>156.59</v>
      </c>
      <c r="I24" s="2"/>
      <c r="J24" s="7">
        <f t="shared" si="14"/>
        <v>7.4296016890850001E-3</v>
      </c>
      <c r="K24" s="2"/>
      <c r="L24" s="6">
        <f t="shared" si="15"/>
        <v>-156.59</v>
      </c>
      <c r="M24" s="2"/>
      <c r="N24" s="7">
        <f t="shared" si="16"/>
        <v>-1</v>
      </c>
      <c r="O24" s="11"/>
      <c r="P24" s="6">
        <v>1667.09</v>
      </c>
      <c r="Q24" s="2"/>
      <c r="R24" s="7">
        <f t="shared" si="17"/>
        <v>0.67317189386505782</v>
      </c>
      <c r="S24" s="2"/>
      <c r="T24" s="6">
        <v>1837.57</v>
      </c>
      <c r="U24" s="2"/>
      <c r="V24" s="7">
        <f t="shared" si="18"/>
        <v>8.6169681076001901E-3</v>
      </c>
      <c r="W24" s="2"/>
      <c r="X24" s="6">
        <f t="shared" si="19"/>
        <v>-170.48000000000002</v>
      </c>
      <c r="Y24" s="2"/>
      <c r="Z24" s="7">
        <f t="shared" si="20"/>
        <v>-9.2774697018344898E-2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>
        <v>17.38</v>
      </c>
      <c r="I25" s="2"/>
      <c r="J25" s="7">
        <f t="shared" si="14"/>
        <v>8.2461509263872081E-4</v>
      </c>
      <c r="K25" s="2"/>
      <c r="L25" s="6">
        <f t="shared" si="15"/>
        <v>-17.38</v>
      </c>
      <c r="M25" s="2"/>
      <c r="N25" s="7">
        <f t="shared" si="16"/>
        <v>-1</v>
      </c>
      <c r="O25" s="11"/>
      <c r="P25" s="6">
        <v>331.61</v>
      </c>
      <c r="Q25" s="2"/>
      <c r="R25" s="7">
        <f t="shared" si="17"/>
        <v>0.13390430734069056</v>
      </c>
      <c r="S25" s="2"/>
      <c r="T25" s="6">
        <v>642.36</v>
      </c>
      <c r="U25" s="2"/>
      <c r="V25" s="7">
        <f t="shared" si="18"/>
        <v>3.0122366133524484E-3</v>
      </c>
      <c r="W25" s="2"/>
      <c r="X25" s="6">
        <f t="shared" si="19"/>
        <v>-310.75</v>
      </c>
      <c r="Y25" s="2"/>
      <c r="Z25" s="7">
        <f t="shared" si="20"/>
        <v>-0.48376299894140357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3"/>
        <v>0</v>
      </c>
      <c r="G26" s="2"/>
      <c r="H26" s="6"/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1"/>
      <c r="P26" s="6">
        <v>3385.22</v>
      </c>
      <c r="Q26" s="2"/>
      <c r="R26" s="7">
        <f t="shared" si="17"/>
        <v>1.366953768872629</v>
      </c>
      <c r="S26" s="2"/>
      <c r="T26" s="6">
        <v>4676.5</v>
      </c>
      <c r="U26" s="2"/>
      <c r="V26" s="7">
        <f t="shared" si="18"/>
        <v>2.1929641513081022E-2</v>
      </c>
      <c r="W26" s="2"/>
      <c r="X26" s="6">
        <f t="shared" si="19"/>
        <v>-1291.2800000000002</v>
      </c>
      <c r="Y26" s="2"/>
      <c r="Z26" s="7">
        <f t="shared" si="20"/>
        <v>-0.27612103068534166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2.38</v>
      </c>
      <c r="I27" s="2"/>
      <c r="J27" s="7">
        <f t="shared" si="14"/>
        <v>1.129219747111712E-4</v>
      </c>
      <c r="K27" s="2"/>
      <c r="L27" s="6">
        <f t="shared" si="15"/>
        <v>-2.38</v>
      </c>
      <c r="M27" s="2"/>
      <c r="N27" s="7">
        <f t="shared" si="16"/>
        <v>-1</v>
      </c>
      <c r="O27" s="11"/>
      <c r="P27" s="6">
        <v>62.01</v>
      </c>
      <c r="Q27" s="2"/>
      <c r="R27" s="7">
        <f t="shared" si="17"/>
        <v>2.5039673406098192E-2</v>
      </c>
      <c r="S27" s="2"/>
      <c r="T27" s="6">
        <v>93.78</v>
      </c>
      <c r="U27" s="2"/>
      <c r="V27" s="7">
        <f t="shared" si="18"/>
        <v>4.3976516221463447E-4</v>
      </c>
      <c r="W27" s="2"/>
      <c r="X27" s="6">
        <f t="shared" si="19"/>
        <v>-31.770000000000003</v>
      </c>
      <c r="Y27" s="2"/>
      <c r="Z27" s="7">
        <f t="shared" si="20"/>
        <v>-0.33877159309021115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3"/>
        <v>0</v>
      </c>
      <c r="G28" s="2"/>
      <c r="H28" s="6"/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>
        <v>1254.1099999999999</v>
      </c>
      <c r="Q28" s="2"/>
      <c r="R28" s="7">
        <f t="shared" si="17"/>
        <v>0.50641033406421232</v>
      </c>
      <c r="S28" s="2"/>
      <c r="T28" s="6">
        <v>670.55</v>
      </c>
      <c r="U28" s="2"/>
      <c r="V28" s="7">
        <f t="shared" si="18"/>
        <v>3.1444287643743137E-3</v>
      </c>
      <c r="W28" s="2"/>
      <c r="X28" s="6">
        <f t="shared" si="19"/>
        <v>583.55999999999995</v>
      </c>
      <c r="Y28" s="2"/>
      <c r="Z28" s="7">
        <f t="shared" si="20"/>
        <v>0.87027067332786512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3"/>
        <v>0</v>
      </c>
      <c r="G29" s="2"/>
      <c r="H29" s="6"/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>
        <v>958.88</v>
      </c>
      <c r="Q29" s="2"/>
      <c r="R29" s="7">
        <f t="shared" si="17"/>
        <v>0.38719629149555612</v>
      </c>
      <c r="S29" s="2"/>
      <c r="T29" s="6">
        <v>1098.8</v>
      </c>
      <c r="U29" s="2"/>
      <c r="V29" s="7">
        <f t="shared" si="18"/>
        <v>5.1526333998873994E-3</v>
      </c>
      <c r="W29" s="2"/>
      <c r="X29" s="6">
        <f t="shared" si="19"/>
        <v>-139.91999999999996</v>
      </c>
      <c r="Y29" s="2"/>
      <c r="Z29" s="7">
        <f t="shared" si="20"/>
        <v>-0.12733891518019655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3"/>
        <v>0</v>
      </c>
      <c r="G30" s="2"/>
      <c r="H30" s="6"/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1"/>
      <c r="P30" s="6">
        <v>767.52</v>
      </c>
      <c r="Q30" s="2"/>
      <c r="R30" s="7">
        <f t="shared" si="17"/>
        <v>0.30992501423397006</v>
      </c>
      <c r="S30" s="2"/>
      <c r="T30" s="6">
        <v>398.52</v>
      </c>
      <c r="U30" s="2"/>
      <c r="V30" s="7">
        <f t="shared" si="18"/>
        <v>1.868790919660654E-3</v>
      </c>
      <c r="W30" s="2"/>
      <c r="X30" s="6">
        <f t="shared" si="19"/>
        <v>369</v>
      </c>
      <c r="Y30" s="2"/>
      <c r="Z30" s="7">
        <f t="shared" si="20"/>
        <v>0.92592592592592593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3"/>
        <v>0</v>
      </c>
      <c r="G31" s="2"/>
      <c r="H31" s="6"/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>
        <v>325.55</v>
      </c>
      <c r="Q31" s="2"/>
      <c r="R31" s="7">
        <f t="shared" si="17"/>
        <v>0.13145727588058809</v>
      </c>
      <c r="S31" s="2"/>
      <c r="T31" s="6"/>
      <c r="U31" s="2"/>
      <c r="V31" s="7">
        <f t="shared" si="18"/>
        <v>0</v>
      </c>
      <c r="W31" s="2"/>
      <c r="X31" s="6">
        <f t="shared" si="19"/>
        <v>325.55</v>
      </c>
      <c r="Y31" s="2"/>
      <c r="Z31" s="7">
        <f t="shared" si="20"/>
        <v>0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1">IF(D$12=0,0,D32/D$12)</f>
        <v>0</v>
      </c>
      <c r="G32" s="1"/>
      <c r="H32" s="1">
        <f>SUM(OSRRefH22_1x_0)</f>
        <v>4789.1099999999997</v>
      </c>
      <c r="I32" s="1"/>
      <c r="J32" s="5">
        <f t="shared" ref="J32:J37" si="22">IF(H$12=0,0,H32/H$12)</f>
        <v>0.22722510853320046</v>
      </c>
      <c r="K32" s="1"/>
      <c r="L32" s="1">
        <f t="shared" ref="L32:L37" si="23">+D32-H32</f>
        <v>-4789.1099999999997</v>
      </c>
      <c r="M32" s="1"/>
      <c r="N32" s="5">
        <f t="shared" ref="N32:N37" si="24">IF(H32=0,0,L32/H32)</f>
        <v>-1</v>
      </c>
      <c r="O32" s="13"/>
      <c r="P32" s="1">
        <f>SUM(OSRRefP22_1x_0)</f>
        <v>15859.96</v>
      </c>
      <c r="Q32" s="1"/>
      <c r="R32" s="5">
        <f t="shared" ref="R32:R37" si="25">IF(P$12=0,0,P32/P$12)</f>
        <v>6.404260903624917</v>
      </c>
      <c r="S32" s="1"/>
      <c r="T32" s="1">
        <f>SUM(OSRRefT22_1x_0)</f>
        <v>39609.589999999997</v>
      </c>
      <c r="U32" s="1"/>
      <c r="V32" s="5">
        <f t="shared" ref="V32:V37" si="26">IF(T$12=0,0,T32/T$12)</f>
        <v>0.18574235201114483</v>
      </c>
      <c r="W32" s="1"/>
      <c r="X32" s="1">
        <f t="shared" ref="X32:X37" si="27">+P32-T32</f>
        <v>-23749.629999999997</v>
      </c>
      <c r="Y32" s="1"/>
      <c r="Z32" s="5">
        <f t="shared" ref="Z32:Z37" si="28">IF(T32=0,0,X32/T32)</f>
        <v>-0.59959292686442855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1"/>
        <v>0</v>
      </c>
      <c r="G33" s="2"/>
      <c r="H33" s="6">
        <v>800</v>
      </c>
      <c r="I33" s="2"/>
      <c r="J33" s="7">
        <f t="shared" si="22"/>
        <v>3.7956966289469311E-2</v>
      </c>
      <c r="K33" s="2"/>
      <c r="L33" s="6">
        <f t="shared" si="23"/>
        <v>-800</v>
      </c>
      <c r="M33" s="2"/>
      <c r="N33" s="7">
        <f t="shared" si="24"/>
        <v>-1</v>
      </c>
      <c r="O33" s="11"/>
      <c r="P33" s="6">
        <v>13728</v>
      </c>
      <c r="Q33" s="2"/>
      <c r="R33" s="7">
        <f t="shared" si="25"/>
        <v>5.5433742383311726</v>
      </c>
      <c r="S33" s="2"/>
      <c r="T33" s="6">
        <v>11072</v>
      </c>
      <c r="U33" s="2"/>
      <c r="V33" s="7">
        <f t="shared" si="26"/>
        <v>5.1920237535086726E-2</v>
      </c>
      <c r="W33" s="2"/>
      <c r="X33" s="6">
        <f t="shared" si="27"/>
        <v>2656</v>
      </c>
      <c r="Y33" s="2"/>
      <c r="Z33" s="7">
        <f t="shared" si="28"/>
        <v>0.23988439306358381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1"/>
        <v>0</v>
      </c>
      <c r="G34" s="2"/>
      <c r="H34" s="6">
        <v>644.49</v>
      </c>
      <c r="I34" s="2"/>
      <c r="J34" s="7">
        <f t="shared" si="22"/>
        <v>3.0578606504875098E-2</v>
      </c>
      <c r="K34" s="2"/>
      <c r="L34" s="6">
        <f t="shared" si="23"/>
        <v>-644.49</v>
      </c>
      <c r="M34" s="2"/>
      <c r="N34" s="7">
        <f t="shared" si="24"/>
        <v>-1</v>
      </c>
      <c r="O34" s="11"/>
      <c r="P34" s="6">
        <v>2131.96</v>
      </c>
      <c r="Q34" s="2"/>
      <c r="R34" s="7">
        <f t="shared" si="25"/>
        <v>0.86088666529374469</v>
      </c>
      <c r="S34" s="2"/>
      <c r="T34" s="6">
        <v>2353.27</v>
      </c>
      <c r="U34" s="2"/>
      <c r="V34" s="7">
        <f t="shared" si="26"/>
        <v>1.1035254460277595E-2</v>
      </c>
      <c r="W34" s="2"/>
      <c r="X34" s="6">
        <f t="shared" si="27"/>
        <v>-221.30999999999995</v>
      </c>
      <c r="Y34" s="2"/>
      <c r="Z34" s="7">
        <f t="shared" si="28"/>
        <v>-9.404360740586501E-2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1"/>
        <v>0</v>
      </c>
      <c r="G35" s="2"/>
      <c r="H35" s="6">
        <v>602.55999999999995</v>
      </c>
      <c r="I35" s="2"/>
      <c r="J35" s="7">
        <f t="shared" si="22"/>
        <v>2.8589187009228283E-2</v>
      </c>
      <c r="K35" s="2"/>
      <c r="L35" s="6">
        <f t="shared" si="23"/>
        <v>-602.55999999999995</v>
      </c>
      <c r="M35" s="2"/>
      <c r="N35" s="7">
        <f t="shared" si="24"/>
        <v>-1</v>
      </c>
      <c r="O35" s="11"/>
      <c r="P35" s="6"/>
      <c r="Q35" s="2"/>
      <c r="R35" s="7">
        <f t="shared" si="25"/>
        <v>0</v>
      </c>
      <c r="S35" s="2"/>
      <c r="T35" s="6">
        <v>7304.3</v>
      </c>
      <c r="U35" s="2"/>
      <c r="V35" s="7">
        <f t="shared" si="26"/>
        <v>3.4252257137602417E-2</v>
      </c>
      <c r="W35" s="2"/>
      <c r="X35" s="6">
        <f t="shared" si="27"/>
        <v>-7304.3</v>
      </c>
      <c r="Y35" s="2"/>
      <c r="Z35" s="7">
        <f t="shared" si="28"/>
        <v>-1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1"/>
        <v>0</v>
      </c>
      <c r="G36" s="2"/>
      <c r="H36" s="6">
        <v>2742.06</v>
      </c>
      <c r="I36" s="2"/>
      <c r="J36" s="7">
        <f t="shared" si="22"/>
        <v>0.13010034872962778</v>
      </c>
      <c r="K36" s="2"/>
      <c r="L36" s="6">
        <f t="shared" si="23"/>
        <v>-2742.06</v>
      </c>
      <c r="M36" s="2"/>
      <c r="N36" s="7">
        <f t="shared" si="24"/>
        <v>-1</v>
      </c>
      <c r="O36" s="11"/>
      <c r="P36" s="6">
        <v>0</v>
      </c>
      <c r="Q36" s="2"/>
      <c r="R36" s="7">
        <f t="shared" si="25"/>
        <v>0</v>
      </c>
      <c r="S36" s="2"/>
      <c r="T36" s="6">
        <v>17825.710000000003</v>
      </c>
      <c r="U36" s="2"/>
      <c r="V36" s="7">
        <f t="shared" si="26"/>
        <v>8.3590597672649106E-2</v>
      </c>
      <c r="W36" s="2"/>
      <c r="X36" s="6">
        <f t="shared" si="27"/>
        <v>-17825.710000000003</v>
      </c>
      <c r="Y36" s="2"/>
      <c r="Z36" s="7">
        <f t="shared" si="28"/>
        <v>-1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1"/>
        <v>0</v>
      </c>
      <c r="G37" s="2"/>
      <c r="H37" s="6"/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1054.31</v>
      </c>
      <c r="U37" s="2"/>
      <c r="V37" s="7">
        <f t="shared" si="26"/>
        <v>4.9440052055290179E-3</v>
      </c>
      <c r="W37" s="2"/>
      <c r="X37" s="6">
        <f t="shared" si="27"/>
        <v>-1054.31</v>
      </c>
      <c r="Y37" s="2"/>
      <c r="Z37" s="7">
        <f t="shared" si="28"/>
        <v>-1</v>
      </c>
    </row>
    <row r="38" spans="1:26" s="26" customFormat="1" outlineLevel="1" collapsed="1" x14ac:dyDescent="0.25">
      <c r="A38" s="27"/>
      <c r="B38" s="13" t="str">
        <f>CONCATENATE("     ","Bad Debts/Over/Short                              ")</f>
        <v xml:space="preserve">     Bad Debts/Over/Short                              </v>
      </c>
      <c r="C38" s="13"/>
      <c r="D38" s="1">
        <f>SUM(OSRRefD22_2x_0)</f>
        <v>0</v>
      </c>
      <c r="E38" s="1"/>
      <c r="F38" s="5">
        <f t="shared" ref="F38:F49" si="29">IF(D$12=0,0,D38/D$12)</f>
        <v>0</v>
      </c>
      <c r="G38" s="1"/>
      <c r="H38" s="1">
        <f>SUM(OSRRefH22_2x_0)</f>
        <v>-5.26</v>
      </c>
      <c r="I38" s="1"/>
      <c r="J38" s="5">
        <f t="shared" ref="J38:J49" si="30">IF(H$12=0,0,H38/H$12)</f>
        <v>-2.4956705335326074E-4</v>
      </c>
      <c r="K38" s="1"/>
      <c r="L38" s="1">
        <f t="shared" ref="L38:L49" si="31">+D38-H38</f>
        <v>5.26</v>
      </c>
      <c r="M38" s="1"/>
      <c r="N38" s="5">
        <f t="shared" ref="N38:N49" si="32">IF(H38=0,0,L38/H38)</f>
        <v>-1</v>
      </c>
      <c r="O38" s="13"/>
      <c r="P38" s="1">
        <f>SUM(OSRRefP22_2x_0)</f>
        <v>3.31</v>
      </c>
      <c r="Q38" s="1"/>
      <c r="R38" s="5">
        <f t="shared" ref="R38:R49" si="33">IF(P$12=0,0,P38/P$12)</f>
        <v>1.3365798899239642E-3</v>
      </c>
      <c r="S38" s="1"/>
      <c r="T38" s="1">
        <f>SUM(OSRRefT22_2x_0)</f>
        <v>-63.19</v>
      </c>
      <c r="U38" s="1"/>
      <c r="V38" s="5">
        <f t="shared" ref="V38:V49" si="34">IF(T$12=0,0,T38/T$12)</f>
        <v>-2.9631862444383399E-4</v>
      </c>
      <c r="W38" s="1"/>
      <c r="X38" s="1">
        <f t="shared" ref="X38:X49" si="35">+P38-T38</f>
        <v>66.5</v>
      </c>
      <c r="Y38" s="1"/>
      <c r="Z38" s="5">
        <f t="shared" ref="Z38:Z49" si="36">IF(T38=0,0,X38/T38)</f>
        <v>-1.052381705966134</v>
      </c>
    </row>
    <row r="39" spans="1:26" s="24" customFormat="1" hidden="1" outlineLevel="2" x14ac:dyDescent="0.25">
      <c r="A39" s="25"/>
      <c r="B39" s="11" t="str">
        <f>CONCATENATE("          ", "6272", " - ", "CASH (OVER/SHORT)")</f>
        <v xml:space="preserve">          6272 - CASH (OVER/SHORT)</v>
      </c>
      <c r="C39" s="11"/>
      <c r="D39" s="6"/>
      <c r="E39" s="2"/>
      <c r="F39" s="7">
        <f t="shared" si="29"/>
        <v>0</v>
      </c>
      <c r="G39" s="2"/>
      <c r="H39" s="6">
        <v>-5.26</v>
      </c>
      <c r="I39" s="2"/>
      <c r="J39" s="7">
        <f t="shared" si="30"/>
        <v>-2.4956705335326074E-4</v>
      </c>
      <c r="K39" s="2"/>
      <c r="L39" s="6">
        <f t="shared" si="31"/>
        <v>5.26</v>
      </c>
      <c r="M39" s="2"/>
      <c r="N39" s="7">
        <f t="shared" si="32"/>
        <v>-1</v>
      </c>
      <c r="O39" s="11"/>
      <c r="P39" s="6">
        <v>3.31</v>
      </c>
      <c r="Q39" s="2"/>
      <c r="R39" s="7">
        <f t="shared" si="33"/>
        <v>1.3365798899239642E-3</v>
      </c>
      <c r="S39" s="2"/>
      <c r="T39" s="6">
        <v>-63.19</v>
      </c>
      <c r="U39" s="2"/>
      <c r="V39" s="7">
        <f t="shared" si="34"/>
        <v>-2.9631862444383399E-4</v>
      </c>
      <c r="W39" s="2"/>
      <c r="X39" s="6">
        <f t="shared" si="35"/>
        <v>66.5</v>
      </c>
      <c r="Y39" s="2"/>
      <c r="Z39" s="7">
        <f t="shared" si="36"/>
        <v>-1.052381705966134</v>
      </c>
    </row>
    <row r="40" spans="1:26" s="26" customFormat="1" outlineLevel="1" collapsed="1" x14ac:dyDescent="0.25">
      <c r="A40" s="27"/>
      <c r="B40" s="13" t="str">
        <f>CONCATENATE("     ","Bank/card Fees                                    ")</f>
        <v xml:space="preserve">     Bank/card Fees                                    </v>
      </c>
      <c r="C40" s="13"/>
      <c r="D40" s="1">
        <f>SUM(OSRRefD22_3x_0)</f>
        <v>224.95</v>
      </c>
      <c r="E40" s="1"/>
      <c r="F40" s="5">
        <f t="shared" si="29"/>
        <v>0</v>
      </c>
      <c r="G40" s="1"/>
      <c r="H40" s="1">
        <f>SUM(OSRRefH22_3x_0)</f>
        <v>888.27</v>
      </c>
      <c r="I40" s="1"/>
      <c r="J40" s="5">
        <f t="shared" si="30"/>
        <v>4.2145043057433634E-2</v>
      </c>
      <c r="K40" s="1"/>
      <c r="L40" s="1">
        <f t="shared" si="31"/>
        <v>-663.31999999999994</v>
      </c>
      <c r="M40" s="1"/>
      <c r="N40" s="5">
        <f t="shared" si="32"/>
        <v>-0.74675492811870259</v>
      </c>
      <c r="O40" s="13"/>
      <c r="P40" s="1">
        <f>SUM(OSRRefP22_3x_0)</f>
        <v>898.28</v>
      </c>
      <c r="Q40" s="1"/>
      <c r="R40" s="5">
        <f t="shared" si="33"/>
        <v>0.36272597689453129</v>
      </c>
      <c r="S40" s="1"/>
      <c r="T40" s="1">
        <f>SUM(OSRRefT22_3x_0)</f>
        <v>7606.38</v>
      </c>
      <c r="U40" s="1"/>
      <c r="V40" s="5">
        <f t="shared" si="34"/>
        <v>3.566880928306837E-2</v>
      </c>
      <c r="W40" s="1"/>
      <c r="X40" s="1">
        <f t="shared" si="35"/>
        <v>-6708.1</v>
      </c>
      <c r="Y40" s="1"/>
      <c r="Z40" s="5">
        <f t="shared" si="36"/>
        <v>-0.88190440130522008</v>
      </c>
    </row>
    <row r="41" spans="1:26" s="24" customFormat="1" hidden="1" outlineLevel="2" x14ac:dyDescent="0.25">
      <c r="A41" s="25"/>
      <c r="B41" s="11" t="str">
        <f>CONCATENATE("          ", "6381", " - ", "BANK/CREDIT CARD FEES")</f>
        <v xml:space="preserve">          6381 - BANK/CREDIT CARD FEES</v>
      </c>
      <c r="C41" s="11"/>
      <c r="D41" s="6">
        <v>224.95</v>
      </c>
      <c r="E41" s="2"/>
      <c r="F41" s="7">
        <f t="shared" si="29"/>
        <v>0</v>
      </c>
      <c r="G41" s="2"/>
      <c r="H41" s="6">
        <v>888.27</v>
      </c>
      <c r="I41" s="2"/>
      <c r="J41" s="7">
        <f t="shared" si="30"/>
        <v>4.2145043057433634E-2</v>
      </c>
      <c r="K41" s="2"/>
      <c r="L41" s="6">
        <f t="shared" si="31"/>
        <v>-663.31999999999994</v>
      </c>
      <c r="M41" s="2"/>
      <c r="N41" s="7">
        <f t="shared" si="32"/>
        <v>-0.74675492811870259</v>
      </c>
      <c r="O41" s="11"/>
      <c r="P41" s="6">
        <v>898.28</v>
      </c>
      <c r="Q41" s="2"/>
      <c r="R41" s="7">
        <f t="shared" si="33"/>
        <v>0.36272597689453129</v>
      </c>
      <c r="S41" s="2"/>
      <c r="T41" s="6">
        <v>7606.38</v>
      </c>
      <c r="U41" s="2"/>
      <c r="V41" s="7">
        <f t="shared" si="34"/>
        <v>3.566880928306837E-2</v>
      </c>
      <c r="W41" s="2"/>
      <c r="X41" s="6">
        <f t="shared" si="35"/>
        <v>-6708.1</v>
      </c>
      <c r="Y41" s="2"/>
      <c r="Z41" s="7">
        <f t="shared" si="36"/>
        <v>-0.88190440130522008</v>
      </c>
    </row>
    <row r="42" spans="1:26" s="26" customFormat="1" outlineLevel="1" collapsed="1" x14ac:dyDescent="0.25">
      <c r="A42" s="27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SUM(OSRRefD22_4x_0)</f>
        <v>1075.3699999999999</v>
      </c>
      <c r="E42" s="1"/>
      <c r="F42" s="5">
        <f t="shared" si="29"/>
        <v>0</v>
      </c>
      <c r="G42" s="1"/>
      <c r="H42" s="1">
        <f>SUM(OSRRefH22_4x_0)</f>
        <v>968.86</v>
      </c>
      <c r="I42" s="1"/>
      <c r="J42" s="5">
        <f t="shared" si="30"/>
        <v>4.5968732949019049E-2</v>
      </c>
      <c r="K42" s="1"/>
      <c r="L42" s="1">
        <f t="shared" si="31"/>
        <v>106.50999999999988</v>
      </c>
      <c r="M42" s="1"/>
      <c r="N42" s="5">
        <f t="shared" si="32"/>
        <v>0.10993332370001845</v>
      </c>
      <c r="O42" s="13"/>
      <c r="P42" s="1">
        <f>SUM(OSRRefP22_4x_0)</f>
        <v>7527.59</v>
      </c>
      <c r="Q42" s="1"/>
      <c r="R42" s="5">
        <f t="shared" si="33"/>
        <v>3.0396451400582278</v>
      </c>
      <c r="S42" s="1"/>
      <c r="T42" s="1">
        <f>SUM(OSRRefT22_4x_0)</f>
        <v>6782.02</v>
      </c>
      <c r="U42" s="1"/>
      <c r="V42" s="5">
        <f t="shared" si="34"/>
        <v>3.1803115007921684E-2</v>
      </c>
      <c r="W42" s="1"/>
      <c r="X42" s="1">
        <f t="shared" si="35"/>
        <v>745.56999999999971</v>
      </c>
      <c r="Y42" s="1"/>
      <c r="Z42" s="5">
        <f t="shared" si="36"/>
        <v>0.10993332370001853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1075.3699999999999</v>
      </c>
      <c r="E43" s="2"/>
      <c r="F43" s="7">
        <f t="shared" si="29"/>
        <v>0</v>
      </c>
      <c r="G43" s="2"/>
      <c r="H43" s="6">
        <v>968.86</v>
      </c>
      <c r="I43" s="2"/>
      <c r="J43" s="7">
        <f t="shared" si="30"/>
        <v>4.5968732949019049E-2</v>
      </c>
      <c r="K43" s="2"/>
      <c r="L43" s="6">
        <f t="shared" si="31"/>
        <v>106.50999999999988</v>
      </c>
      <c r="M43" s="2"/>
      <c r="N43" s="7">
        <f t="shared" si="32"/>
        <v>0.10993332370001845</v>
      </c>
      <c r="O43" s="11"/>
      <c r="P43" s="6">
        <v>7527.59</v>
      </c>
      <c r="Q43" s="2"/>
      <c r="R43" s="7">
        <f t="shared" si="33"/>
        <v>3.0396451400582278</v>
      </c>
      <c r="S43" s="2"/>
      <c r="T43" s="6">
        <v>6782.02</v>
      </c>
      <c r="U43" s="2"/>
      <c r="V43" s="7">
        <f t="shared" si="34"/>
        <v>3.1803115007921684E-2</v>
      </c>
      <c r="W43" s="2"/>
      <c r="X43" s="6">
        <f t="shared" si="35"/>
        <v>745.56999999999971</v>
      </c>
      <c r="Y43" s="2"/>
      <c r="Z43" s="7">
        <f t="shared" si="36"/>
        <v>0.10993332370001853</v>
      </c>
    </row>
    <row r="44" spans="1:26" s="26" customFormat="1" outlineLevel="1" collapsed="1" x14ac:dyDescent="0.25">
      <c r="A44" s="27"/>
      <c r="B44" s="13" t="str">
        <f>CONCATENATE("     ","General                                           ")</f>
        <v xml:space="preserve">     General                                           </v>
      </c>
      <c r="C44" s="13"/>
      <c r="D44" s="1">
        <f>SUM(OSRRefD22_5x_0)</f>
        <v>-421.99</v>
      </c>
      <c r="E44" s="1"/>
      <c r="F44" s="5">
        <f t="shared" si="29"/>
        <v>0</v>
      </c>
      <c r="G44" s="1"/>
      <c r="H44" s="1">
        <f>SUM(OSRRefH22_5x_0)</f>
        <v>13.5</v>
      </c>
      <c r="I44" s="1"/>
      <c r="J44" s="5">
        <f t="shared" si="30"/>
        <v>6.4052380613479471E-4</v>
      </c>
      <c r="K44" s="1"/>
      <c r="L44" s="1">
        <f t="shared" si="31"/>
        <v>-435.49</v>
      </c>
      <c r="M44" s="1"/>
      <c r="N44" s="5">
        <f t="shared" si="32"/>
        <v>-32.258518518518521</v>
      </c>
      <c r="O44" s="13"/>
      <c r="P44" s="1">
        <f>SUM(OSRRefP22_5x_0)</f>
        <v>1138.94</v>
      </c>
      <c r="Q44" s="1"/>
      <c r="R44" s="5">
        <f t="shared" si="33"/>
        <v>0.4599046223051359</v>
      </c>
      <c r="S44" s="1"/>
      <c r="T44" s="1">
        <f>SUM(OSRRefT22_5x_0)</f>
        <v>1204.69</v>
      </c>
      <c r="U44" s="1"/>
      <c r="V44" s="5">
        <f t="shared" si="34"/>
        <v>5.6491863219060362E-3</v>
      </c>
      <c r="W44" s="1"/>
      <c r="X44" s="1">
        <f t="shared" si="35"/>
        <v>-65.75</v>
      </c>
      <c r="Y44" s="1"/>
      <c r="Z44" s="5">
        <f t="shared" si="36"/>
        <v>-5.4578356257626442E-2</v>
      </c>
    </row>
    <row r="45" spans="1:26" s="24" customFormat="1" hidden="1" outlineLevel="2" x14ac:dyDescent="0.25">
      <c r="A45" s="25"/>
      <c r="B45" s="11" t="str">
        <f>CONCATENATE("          ", "6279", " - ", "GENERAL EXPENSE")</f>
        <v xml:space="preserve">          6279 - GENERAL EXPENSE</v>
      </c>
      <c r="C45" s="11"/>
      <c r="D45" s="6">
        <v>-421.99</v>
      </c>
      <c r="E45" s="2"/>
      <c r="F45" s="7">
        <f t="shared" si="29"/>
        <v>0</v>
      </c>
      <c r="G45" s="2"/>
      <c r="H45" s="6">
        <v>13.5</v>
      </c>
      <c r="I45" s="2"/>
      <c r="J45" s="7">
        <f t="shared" si="30"/>
        <v>6.4052380613479471E-4</v>
      </c>
      <c r="K45" s="2"/>
      <c r="L45" s="6">
        <f t="shared" si="31"/>
        <v>-435.49</v>
      </c>
      <c r="M45" s="2"/>
      <c r="N45" s="7">
        <f t="shared" si="32"/>
        <v>-32.258518518518521</v>
      </c>
      <c r="O45" s="11"/>
      <c r="P45" s="6">
        <v>1138.94</v>
      </c>
      <c r="Q45" s="2"/>
      <c r="R45" s="7">
        <f t="shared" si="33"/>
        <v>0.4599046223051359</v>
      </c>
      <c r="S45" s="2"/>
      <c r="T45" s="6">
        <v>1204.69</v>
      </c>
      <c r="U45" s="2"/>
      <c r="V45" s="7">
        <f t="shared" si="34"/>
        <v>5.6491863219060362E-3</v>
      </c>
      <c r="W45" s="2"/>
      <c r="X45" s="6">
        <f t="shared" si="35"/>
        <v>-65.75</v>
      </c>
      <c r="Y45" s="2"/>
      <c r="Z45" s="7">
        <f t="shared" si="36"/>
        <v>-5.4578356257626442E-2</v>
      </c>
    </row>
    <row r="46" spans="1:26" s="26" customFormat="1" outlineLevel="1" collapsed="1" x14ac:dyDescent="0.25">
      <c r="A46" s="27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SUM(OSRRefD22_6x_0)</f>
        <v>0</v>
      </c>
      <c r="E46" s="1"/>
      <c r="F46" s="5">
        <f t="shared" si="29"/>
        <v>0</v>
      </c>
      <c r="G46" s="1"/>
      <c r="H46" s="1">
        <f>SUM(OSRRefH22_6x_0)</f>
        <v>0</v>
      </c>
      <c r="I46" s="1"/>
      <c r="J46" s="5">
        <f t="shared" si="30"/>
        <v>0</v>
      </c>
      <c r="K46" s="1"/>
      <c r="L46" s="1">
        <f t="shared" si="31"/>
        <v>0</v>
      </c>
      <c r="M46" s="1"/>
      <c r="N46" s="5">
        <f t="shared" si="32"/>
        <v>0</v>
      </c>
      <c r="O46" s="13"/>
      <c r="P46" s="1">
        <f>SUM(OSRRefP22_6x_0)</f>
        <v>492.62</v>
      </c>
      <c r="Q46" s="1"/>
      <c r="R46" s="5">
        <f t="shared" si="33"/>
        <v>0.19892023727321548</v>
      </c>
      <c r="S46" s="1"/>
      <c r="T46" s="1">
        <f>SUM(OSRRefT22_6x_0)</f>
        <v>887.48</v>
      </c>
      <c r="U46" s="1"/>
      <c r="V46" s="5">
        <f t="shared" si="34"/>
        <v>4.1616846466436749E-3</v>
      </c>
      <c r="W46" s="1"/>
      <c r="X46" s="1">
        <f t="shared" si="35"/>
        <v>-394.86</v>
      </c>
      <c r="Y46" s="1"/>
      <c r="Z46" s="5">
        <f t="shared" si="36"/>
        <v>-0.44492270248343624</v>
      </c>
    </row>
    <row r="47" spans="1:26" s="24" customFormat="1" hidden="1" outlineLevel="2" x14ac:dyDescent="0.25">
      <c r="A47" s="25"/>
      <c r="B47" s="11" t="str">
        <f>CONCATENATE("          ", "6371", " - ", "COMPUTER SOFTWARE MAINTENANCE")</f>
        <v xml:space="preserve">          6371 - COMPUTER SOFTWARE MAINTENANCE</v>
      </c>
      <c r="C47" s="11"/>
      <c r="D47" s="6"/>
      <c r="E47" s="2"/>
      <c r="F47" s="7">
        <f t="shared" si="29"/>
        <v>0</v>
      </c>
      <c r="G47" s="2"/>
      <c r="H47" s="6"/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/>
      <c r="Q47" s="2"/>
      <c r="R47" s="7">
        <f t="shared" si="33"/>
        <v>0</v>
      </c>
      <c r="S47" s="2"/>
      <c r="T47" s="6">
        <v>437.31</v>
      </c>
      <c r="U47" s="2"/>
      <c r="V47" s="7">
        <f t="shared" si="34"/>
        <v>2.0506899454903159E-3</v>
      </c>
      <c r="W47" s="2"/>
      <c r="X47" s="6">
        <f t="shared" si="35"/>
        <v>-437.31</v>
      </c>
      <c r="Y47" s="2"/>
      <c r="Z47" s="7">
        <f t="shared" si="36"/>
        <v>-1</v>
      </c>
    </row>
    <row r="48" spans="1:26" s="24" customFormat="1" hidden="1" outlineLevel="2" x14ac:dyDescent="0.25">
      <c r="A48" s="25"/>
      <c r="B48" s="11" t="str">
        <f>CONCATENATE("          ", "6373", " - ", "MAINTENANCE CONTRACTS")</f>
        <v xml:space="preserve">          6373 - MAINTENANCE CONTRACTS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175.06</v>
      </c>
      <c r="Q48" s="2"/>
      <c r="R48" s="7">
        <f t="shared" si="33"/>
        <v>7.0689327954709724E-2</v>
      </c>
      <c r="S48" s="2"/>
      <c r="T48" s="6">
        <v>93.22</v>
      </c>
      <c r="U48" s="2"/>
      <c r="V48" s="7">
        <f t="shared" si="34"/>
        <v>4.3713913863988301E-4</v>
      </c>
      <c r="W48" s="2"/>
      <c r="X48" s="6">
        <f t="shared" si="35"/>
        <v>81.84</v>
      </c>
      <c r="Y48" s="2"/>
      <c r="Z48" s="7">
        <f t="shared" si="36"/>
        <v>0.87792319244797257</v>
      </c>
    </row>
    <row r="49" spans="1:26" s="24" customFormat="1" hidden="1" outlineLevel="2" x14ac:dyDescent="0.25">
      <c r="A49" s="25"/>
      <c r="B49" s="11" t="str">
        <f>CONCATENATE("          ", "6375", " - ", "OUTSIDE REPAIRS &amp; MAINTENANCE")</f>
        <v xml:space="preserve">          6375 - OUTSIDE REPAIRS &amp; MAINTENANCE</v>
      </c>
      <c r="C49" s="11"/>
      <c r="D49" s="6"/>
      <c r="E49" s="2"/>
      <c r="F49" s="7">
        <f t="shared" si="29"/>
        <v>0</v>
      </c>
      <c r="G49" s="2"/>
      <c r="H49" s="6"/>
      <c r="I49" s="2"/>
      <c r="J49" s="7">
        <f t="shared" si="30"/>
        <v>0</v>
      </c>
      <c r="K49" s="2"/>
      <c r="L49" s="6">
        <f t="shared" si="31"/>
        <v>0</v>
      </c>
      <c r="M49" s="2"/>
      <c r="N49" s="7">
        <f t="shared" si="32"/>
        <v>0</v>
      </c>
      <c r="O49" s="11"/>
      <c r="P49" s="6">
        <v>317.56</v>
      </c>
      <c r="Q49" s="2"/>
      <c r="R49" s="7">
        <f t="shared" si="33"/>
        <v>0.12823090931850575</v>
      </c>
      <c r="S49" s="2"/>
      <c r="T49" s="6">
        <v>356.95</v>
      </c>
      <c r="U49" s="2"/>
      <c r="V49" s="7">
        <f t="shared" si="34"/>
        <v>1.673855562513476E-3</v>
      </c>
      <c r="W49" s="2"/>
      <c r="X49" s="6">
        <f t="shared" si="35"/>
        <v>-39.389999999999986</v>
      </c>
      <c r="Y49" s="2"/>
      <c r="Z49" s="7">
        <f t="shared" si="36"/>
        <v>-0.11035158985852357</v>
      </c>
    </row>
    <row r="50" spans="1:26" s="26" customFormat="1" outlineLevel="1" collapsed="1" x14ac:dyDescent="0.25">
      <c r="A50" s="27"/>
      <c r="B50" s="13" t="str">
        <f>CONCATENATE("     ","Royalty &amp; Commissions                             ")</f>
        <v xml:space="preserve">     Royalty &amp; Commissions                             </v>
      </c>
      <c r="C50" s="13"/>
      <c r="D50" s="1">
        <f>SUM(OSRRefD22_7x_0)</f>
        <v>0</v>
      </c>
      <c r="E50" s="1"/>
      <c r="F50" s="5">
        <f t="shared" ref="F50:F55" si="37">IF(D$12=0,0,D50/D$12)</f>
        <v>0</v>
      </c>
      <c r="G50" s="1"/>
      <c r="H50" s="1">
        <f>SUM(OSRRefH22_7x_0)</f>
        <v>0</v>
      </c>
      <c r="I50" s="1"/>
      <c r="J50" s="5">
        <f t="shared" ref="J50:J55" si="38">IF(H$12=0,0,H50/H$12)</f>
        <v>0</v>
      </c>
      <c r="K50" s="1"/>
      <c r="L50" s="1">
        <f t="shared" ref="L50:L55" si="39">+D50-H50</f>
        <v>0</v>
      </c>
      <c r="M50" s="1"/>
      <c r="N50" s="5">
        <f t="shared" ref="N50:N55" si="40">IF(H50=0,0,L50/H50)</f>
        <v>0</v>
      </c>
      <c r="O50" s="13"/>
      <c r="P50" s="1">
        <f>SUM(OSRRefP22_7x_0)</f>
        <v>185.7</v>
      </c>
      <c r="Q50" s="1"/>
      <c r="R50" s="5">
        <f t="shared" ref="R50:R55" si="41">IF(P$12=0,0,P50/P$12)</f>
        <v>7.4985766029873155E-2</v>
      </c>
      <c r="S50" s="1"/>
      <c r="T50" s="1">
        <f>SUM(OSRRefT22_7x_0)</f>
        <v>15334.79</v>
      </c>
      <c r="U50" s="1"/>
      <c r="V50" s="5">
        <f t="shared" ref="V50:V55" si="42">IF(T$12=0,0,T50/T$12)</f>
        <v>7.190985723904196E-2</v>
      </c>
      <c r="W50" s="1"/>
      <c r="X50" s="1">
        <f t="shared" ref="X50:X55" si="43">+P50-T50</f>
        <v>-15149.09</v>
      </c>
      <c r="Y50" s="1"/>
      <c r="Z50" s="5">
        <f t="shared" ref="Z50:Z55" si="44">IF(T50=0,0,X50/T50)</f>
        <v>-0.98789028085810104</v>
      </c>
    </row>
    <row r="51" spans="1:26" s="24" customFormat="1" hidden="1" outlineLevel="2" x14ac:dyDescent="0.25">
      <c r="A51" s="25"/>
      <c r="B51" s="11" t="str">
        <f>CONCATENATE("          ", "6254", " - ", "ROYALTY &amp; COMMISSIONS")</f>
        <v xml:space="preserve">          6254 - ROYALTY &amp; COMMISSIONS</v>
      </c>
      <c r="C51" s="11"/>
      <c r="D51" s="6"/>
      <c r="E51" s="2"/>
      <c r="F51" s="7">
        <f t="shared" si="37"/>
        <v>0</v>
      </c>
      <c r="G51" s="2"/>
      <c r="H51" s="6"/>
      <c r="I51" s="2"/>
      <c r="J51" s="7">
        <f t="shared" si="38"/>
        <v>0</v>
      </c>
      <c r="K51" s="2"/>
      <c r="L51" s="6">
        <f t="shared" si="39"/>
        <v>0</v>
      </c>
      <c r="M51" s="2"/>
      <c r="N51" s="7">
        <f t="shared" si="40"/>
        <v>0</v>
      </c>
      <c r="O51" s="11"/>
      <c r="P51" s="6">
        <v>185.7</v>
      </c>
      <c r="Q51" s="2"/>
      <c r="R51" s="7">
        <f t="shared" si="41"/>
        <v>7.4985766029873155E-2</v>
      </c>
      <c r="S51" s="2"/>
      <c r="T51" s="6">
        <v>15334.79</v>
      </c>
      <c r="U51" s="2"/>
      <c r="V51" s="7">
        <f t="shared" si="42"/>
        <v>7.190985723904196E-2</v>
      </c>
      <c r="W51" s="2"/>
      <c r="X51" s="6">
        <f t="shared" si="43"/>
        <v>-15149.09</v>
      </c>
      <c r="Y51" s="2"/>
      <c r="Z51" s="7">
        <f t="shared" si="44"/>
        <v>-0.98789028085810104</v>
      </c>
    </row>
    <row r="52" spans="1:26" s="26" customFormat="1" outlineLevel="1" collapsed="1" x14ac:dyDescent="0.25">
      <c r="A52" s="27"/>
      <c r="B52" s="13" t="str">
        <f>CONCATENATE("     ","Services                                          ")</f>
        <v xml:space="preserve">     Services                                          </v>
      </c>
      <c r="C52" s="13"/>
      <c r="D52" s="1">
        <f>SUM(OSRRefD22_8x_0)</f>
        <v>0</v>
      </c>
      <c r="E52" s="1"/>
      <c r="F52" s="5">
        <f t="shared" si="37"/>
        <v>0</v>
      </c>
      <c r="G52" s="1"/>
      <c r="H52" s="1">
        <f>SUM(OSRRefH22_8x_0)</f>
        <v>286.82</v>
      </c>
      <c r="I52" s="1"/>
      <c r="J52" s="5">
        <f t="shared" si="38"/>
        <v>1.3608521338931985E-2</v>
      </c>
      <c r="K52" s="1"/>
      <c r="L52" s="1">
        <f t="shared" si="39"/>
        <v>-286.82</v>
      </c>
      <c r="M52" s="1"/>
      <c r="N52" s="5">
        <f t="shared" si="40"/>
        <v>-1</v>
      </c>
      <c r="O52" s="13"/>
      <c r="P52" s="1">
        <f>SUM(OSRRefP22_8x_0)</f>
        <v>-63.319999999999993</v>
      </c>
      <c r="Q52" s="1"/>
      <c r="R52" s="5">
        <f t="shared" si="41"/>
        <v>-2.556865215407414E-2</v>
      </c>
      <c r="S52" s="1"/>
      <c r="T52" s="1">
        <f>SUM(OSRRefT22_8x_0)</f>
        <v>1443.42</v>
      </c>
      <c r="U52" s="1"/>
      <c r="V52" s="5">
        <f t="shared" si="42"/>
        <v>6.7686695504782226E-3</v>
      </c>
      <c r="W52" s="1"/>
      <c r="X52" s="1">
        <f t="shared" si="43"/>
        <v>-1506.74</v>
      </c>
      <c r="Y52" s="1"/>
      <c r="Z52" s="5">
        <f t="shared" si="44"/>
        <v>-1.0438680356375829</v>
      </c>
    </row>
    <row r="53" spans="1:26" s="24" customFormat="1" hidden="1" outlineLevel="2" x14ac:dyDescent="0.25">
      <c r="A53" s="25"/>
      <c r="B53" s="11" t="str">
        <f>CONCATENATE("          ", "6282", " - ", "JANITORIAL/EXTERMINATOR EXPENS")</f>
        <v xml:space="preserve">          6282 - JANITORIAL/EXTERMINATOR EXPENS</v>
      </c>
      <c r="C53" s="11"/>
      <c r="D53" s="6"/>
      <c r="E53" s="2"/>
      <c r="F53" s="7">
        <f t="shared" si="37"/>
        <v>0</v>
      </c>
      <c r="G53" s="2"/>
      <c r="H53" s="6">
        <v>41</v>
      </c>
      <c r="I53" s="2"/>
      <c r="J53" s="7">
        <f t="shared" si="38"/>
        <v>1.9452945223353024E-3</v>
      </c>
      <c r="K53" s="2"/>
      <c r="L53" s="6">
        <f t="shared" si="39"/>
        <v>-41</v>
      </c>
      <c r="M53" s="2"/>
      <c r="N53" s="7">
        <f t="shared" si="40"/>
        <v>-1</v>
      </c>
      <c r="O53" s="11"/>
      <c r="P53" s="6">
        <v>82</v>
      </c>
      <c r="Q53" s="2"/>
      <c r="R53" s="7">
        <f t="shared" si="41"/>
        <v>3.3111646819868598E-2</v>
      </c>
      <c r="S53" s="2"/>
      <c r="T53" s="6">
        <v>164</v>
      </c>
      <c r="U53" s="2"/>
      <c r="V53" s="7">
        <f t="shared" si="42"/>
        <v>7.6904976117722385E-4</v>
      </c>
      <c r="W53" s="2"/>
      <c r="X53" s="6">
        <f t="shared" si="43"/>
        <v>-82</v>
      </c>
      <c r="Y53" s="2"/>
      <c r="Z53" s="7">
        <f t="shared" si="44"/>
        <v>-0.5</v>
      </c>
    </row>
    <row r="54" spans="1:26" s="24" customFormat="1" hidden="1" outlineLevel="2" x14ac:dyDescent="0.25">
      <c r="A54" s="25"/>
      <c r="B54" s="11" t="str">
        <f>CONCATENATE("          ", "6285", " - ", "JANITORIAL SERVICES")</f>
        <v xml:space="preserve">          6285 - JANITORIAL SERVICES</v>
      </c>
      <c r="C54" s="11"/>
      <c r="D54" s="6"/>
      <c r="E54" s="2"/>
      <c r="F54" s="7">
        <f t="shared" si="37"/>
        <v>0</v>
      </c>
      <c r="G54" s="2"/>
      <c r="H54" s="6">
        <v>24.22</v>
      </c>
      <c r="I54" s="2"/>
      <c r="J54" s="7">
        <f t="shared" si="38"/>
        <v>1.1491471544136833E-3</v>
      </c>
      <c r="K54" s="2"/>
      <c r="L54" s="6">
        <f t="shared" si="39"/>
        <v>-24.22</v>
      </c>
      <c r="M54" s="2"/>
      <c r="N54" s="7">
        <f t="shared" si="40"/>
        <v>-1</v>
      </c>
      <c r="O54" s="11"/>
      <c r="P54" s="6">
        <v>-145.32</v>
      </c>
      <c r="Q54" s="2"/>
      <c r="R54" s="7">
        <f t="shared" si="41"/>
        <v>-5.8680298973942738E-2</v>
      </c>
      <c r="S54" s="2"/>
      <c r="T54" s="6">
        <v>159.94</v>
      </c>
      <c r="U54" s="2"/>
      <c r="V54" s="7">
        <f t="shared" si="42"/>
        <v>7.5001109026027557E-4</v>
      </c>
      <c r="W54" s="2"/>
      <c r="X54" s="6">
        <f t="shared" si="43"/>
        <v>-305.26</v>
      </c>
      <c r="Y54" s="2"/>
      <c r="Z54" s="7">
        <f t="shared" si="44"/>
        <v>-1.9085907215205702</v>
      </c>
    </row>
    <row r="55" spans="1:26" s="24" customFormat="1" hidden="1" outlineLevel="2" x14ac:dyDescent="0.25">
      <c r="A55" s="25"/>
      <c r="B55" s="11" t="str">
        <f>CONCATENATE("          ", "6286", " - ", "LAUNDRY EXPENSE")</f>
        <v xml:space="preserve">          6286 - LAUNDRY EXPENSE</v>
      </c>
      <c r="C55" s="11"/>
      <c r="D55" s="6"/>
      <c r="E55" s="2"/>
      <c r="F55" s="7">
        <f t="shared" si="37"/>
        <v>0</v>
      </c>
      <c r="G55" s="2"/>
      <c r="H55" s="6">
        <v>221.6</v>
      </c>
      <c r="I55" s="2"/>
      <c r="J55" s="7">
        <f t="shared" si="38"/>
        <v>1.0514079662183E-2</v>
      </c>
      <c r="K55" s="2"/>
      <c r="L55" s="6">
        <f t="shared" si="39"/>
        <v>-221.6</v>
      </c>
      <c r="M55" s="2"/>
      <c r="N55" s="7">
        <f t="shared" si="40"/>
        <v>-1</v>
      </c>
      <c r="O55" s="11"/>
      <c r="P55" s="6"/>
      <c r="Q55" s="2"/>
      <c r="R55" s="7">
        <f t="shared" si="41"/>
        <v>0</v>
      </c>
      <c r="S55" s="2"/>
      <c r="T55" s="6">
        <v>1119.48</v>
      </c>
      <c r="U55" s="2"/>
      <c r="V55" s="7">
        <f t="shared" si="42"/>
        <v>5.2496086990407231E-3</v>
      </c>
      <c r="W55" s="2"/>
      <c r="X55" s="6">
        <f t="shared" si="43"/>
        <v>-1119.48</v>
      </c>
      <c r="Y55" s="2"/>
      <c r="Z55" s="7">
        <f t="shared" si="44"/>
        <v>-1</v>
      </c>
    </row>
    <row r="56" spans="1:26" s="26" customFormat="1" outlineLevel="1" collapsed="1" x14ac:dyDescent="0.25">
      <c r="A56" s="27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SUM(OSRRefD22_9x_0)</f>
        <v>0</v>
      </c>
      <c r="E56" s="1"/>
      <c r="F56" s="5">
        <f t="shared" ref="F56:F60" si="45">IF(D$12=0,0,D56/D$12)</f>
        <v>0</v>
      </c>
      <c r="G56" s="1"/>
      <c r="H56" s="1">
        <f>SUM(OSRRefH22_9x_0)</f>
        <v>1330.55</v>
      </c>
      <c r="I56" s="1"/>
      <c r="J56" s="5">
        <f t="shared" ref="J56:J60" si="46">IF(H$12=0,0,H56/H$12)</f>
        <v>6.312955187056675E-2</v>
      </c>
      <c r="K56" s="1"/>
      <c r="L56" s="1">
        <f t="shared" ref="L56:L60" si="47">+D56-H56</f>
        <v>-1330.55</v>
      </c>
      <c r="M56" s="1"/>
      <c r="N56" s="5">
        <f t="shared" ref="N56:N60" si="48">IF(H56=0,0,L56/H56)</f>
        <v>-1</v>
      </c>
      <c r="O56" s="13"/>
      <c r="P56" s="1">
        <f>SUM(OSRRefP22_9x_0)</f>
        <v>328.55</v>
      </c>
      <c r="Q56" s="1"/>
      <c r="R56" s="5">
        <f t="shared" ref="R56:R60" si="49">IF(P$12=0,0,P56/P$12)</f>
        <v>0.13266867759351011</v>
      </c>
      <c r="S56" s="1"/>
      <c r="T56" s="1">
        <f>SUM(OSRRefT22_9x_0)</f>
        <v>7470.54</v>
      </c>
      <c r="U56" s="1"/>
      <c r="V56" s="5">
        <f t="shared" ref="V56:V60" si="50">IF(T$12=0,0,T56/T$12)</f>
        <v>3.5031810993078644E-2</v>
      </c>
      <c r="W56" s="1"/>
      <c r="X56" s="1">
        <f t="shared" ref="X56:X60" si="51">+P56-T56</f>
        <v>-7141.99</v>
      </c>
      <c r="Y56" s="1"/>
      <c r="Z56" s="5">
        <f t="shared" ref="Z56:Z60" si="52">IF(T56=0,0,X56/T56)</f>
        <v>-0.95602058218013686</v>
      </c>
    </row>
    <row r="57" spans="1:26" s="24" customFormat="1" hidden="1" outlineLevel="2" x14ac:dyDescent="0.25">
      <c r="A57" s="25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45"/>
        <v>0</v>
      </c>
      <c r="G57" s="2"/>
      <c r="H57" s="6"/>
      <c r="I57" s="2"/>
      <c r="J57" s="7">
        <f t="shared" si="46"/>
        <v>0</v>
      </c>
      <c r="K57" s="2"/>
      <c r="L57" s="6">
        <f t="shared" si="47"/>
        <v>0</v>
      </c>
      <c r="M57" s="2"/>
      <c r="N57" s="7">
        <f t="shared" si="48"/>
        <v>0</v>
      </c>
      <c r="O57" s="11"/>
      <c r="P57" s="6"/>
      <c r="Q57" s="2"/>
      <c r="R57" s="7">
        <f t="shared" si="49"/>
        <v>0</v>
      </c>
      <c r="S57" s="2"/>
      <c r="T57" s="6">
        <v>354.71</v>
      </c>
      <c r="U57" s="2"/>
      <c r="V57" s="7">
        <f t="shared" si="50"/>
        <v>1.66335146821447E-3</v>
      </c>
      <c r="W57" s="2"/>
      <c r="X57" s="6">
        <f t="shared" si="51"/>
        <v>-354.71</v>
      </c>
      <c r="Y57" s="2"/>
      <c r="Z57" s="7">
        <f t="shared" si="52"/>
        <v>-1</v>
      </c>
    </row>
    <row r="58" spans="1:26" s="24" customFormat="1" hidden="1" outlineLevel="2" x14ac:dyDescent="0.25">
      <c r="A58" s="25"/>
      <c r="B58" s="11" t="str">
        <f>CONCATENATE("          ", "6235", " - ", "COVID-19 EXPENSES")</f>
        <v xml:space="preserve">          6235 - COVID-19 EXPENSES</v>
      </c>
      <c r="C58" s="11"/>
      <c r="D58" s="6"/>
      <c r="E58" s="2"/>
      <c r="F58" s="7">
        <f t="shared" si="45"/>
        <v>0</v>
      </c>
      <c r="G58" s="2"/>
      <c r="H58" s="6"/>
      <c r="I58" s="2"/>
      <c r="J58" s="7">
        <f t="shared" si="46"/>
        <v>0</v>
      </c>
      <c r="K58" s="2"/>
      <c r="L58" s="6">
        <f t="shared" si="47"/>
        <v>0</v>
      </c>
      <c r="M58" s="2"/>
      <c r="N58" s="7">
        <f t="shared" si="48"/>
        <v>0</v>
      </c>
      <c r="O58" s="11"/>
      <c r="P58" s="6">
        <v>207.27</v>
      </c>
      <c r="Q58" s="2"/>
      <c r="R58" s="7">
        <f t="shared" si="49"/>
        <v>8.3695744345782502E-2</v>
      </c>
      <c r="S58" s="2"/>
      <c r="T58" s="6"/>
      <c r="U58" s="2"/>
      <c r="V58" s="7">
        <f t="shared" si="50"/>
        <v>0</v>
      </c>
      <c r="W58" s="2"/>
      <c r="X58" s="6">
        <f t="shared" si="51"/>
        <v>207.27</v>
      </c>
      <c r="Y58" s="2"/>
      <c r="Z58" s="7">
        <f t="shared" si="52"/>
        <v>0</v>
      </c>
    </row>
    <row r="59" spans="1:26" s="24" customFormat="1" hidden="1" outlineLevel="2" x14ac:dyDescent="0.25">
      <c r="A59" s="25"/>
      <c r="B59" s="11" t="str">
        <f>CONCATENATE("          ", "6237", " - ", "JANITORIAL SUPPLIES")</f>
        <v xml:space="preserve">          6237 - JANITORIAL SUPPLIES</v>
      </c>
      <c r="C59" s="11"/>
      <c r="D59" s="6"/>
      <c r="E59" s="2"/>
      <c r="F59" s="7">
        <f t="shared" si="45"/>
        <v>0</v>
      </c>
      <c r="G59" s="2"/>
      <c r="H59" s="6"/>
      <c r="I59" s="2"/>
      <c r="J59" s="7">
        <f t="shared" si="46"/>
        <v>0</v>
      </c>
      <c r="K59" s="2"/>
      <c r="L59" s="6">
        <f t="shared" si="47"/>
        <v>0</v>
      </c>
      <c r="M59" s="2"/>
      <c r="N59" s="7">
        <f t="shared" si="48"/>
        <v>0</v>
      </c>
      <c r="O59" s="11"/>
      <c r="P59" s="6"/>
      <c r="Q59" s="2"/>
      <c r="R59" s="7">
        <f t="shared" si="49"/>
        <v>0</v>
      </c>
      <c r="S59" s="2"/>
      <c r="T59" s="6">
        <v>20.93</v>
      </c>
      <c r="U59" s="2"/>
      <c r="V59" s="7">
        <f t="shared" si="50"/>
        <v>9.8147631106337174E-5</v>
      </c>
      <c r="W59" s="2"/>
      <c r="X59" s="6">
        <f t="shared" si="51"/>
        <v>-20.93</v>
      </c>
      <c r="Y59" s="2"/>
      <c r="Z59" s="7">
        <f t="shared" si="52"/>
        <v>-1</v>
      </c>
    </row>
    <row r="60" spans="1:26" s="24" customFormat="1" hidden="1" outlineLevel="2" x14ac:dyDescent="0.25">
      <c r="A60" s="25"/>
      <c r="B60" s="11" t="str">
        <f>CONCATENATE("          ", "6247", " - ", "STORE SUPPLIES")</f>
        <v xml:space="preserve">          6247 - STORE SUPPLIES</v>
      </c>
      <c r="C60" s="11"/>
      <c r="D60" s="6"/>
      <c r="E60" s="2"/>
      <c r="F60" s="7">
        <f t="shared" si="45"/>
        <v>0</v>
      </c>
      <c r="G60" s="2"/>
      <c r="H60" s="6">
        <v>1330.55</v>
      </c>
      <c r="I60" s="2"/>
      <c r="J60" s="7">
        <f t="shared" si="46"/>
        <v>6.312955187056675E-2</v>
      </c>
      <c r="K60" s="2"/>
      <c r="L60" s="6">
        <f t="shared" si="47"/>
        <v>-1330.55</v>
      </c>
      <c r="M60" s="2"/>
      <c r="N60" s="7">
        <f t="shared" si="48"/>
        <v>-1</v>
      </c>
      <c r="O60" s="11"/>
      <c r="P60" s="6">
        <v>121.28</v>
      </c>
      <c r="Q60" s="2"/>
      <c r="R60" s="7">
        <f t="shared" si="49"/>
        <v>4.8972933247727606E-2</v>
      </c>
      <c r="S60" s="2"/>
      <c r="T60" s="6">
        <v>7094.9</v>
      </c>
      <c r="U60" s="2"/>
      <c r="V60" s="7">
        <f t="shared" si="50"/>
        <v>3.3270311893757835E-2</v>
      </c>
      <c r="W60" s="2"/>
      <c r="X60" s="6">
        <f t="shared" si="51"/>
        <v>-6973.62</v>
      </c>
      <c r="Y60" s="2"/>
      <c r="Z60" s="7">
        <f t="shared" si="52"/>
        <v>-0.98290603109275676</v>
      </c>
    </row>
    <row r="61" spans="1:26" s="26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SUM(OSRRefD22_10x_0)</f>
        <v>51.5</v>
      </c>
      <c r="E61" s="1"/>
      <c r="F61" s="5">
        <f t="shared" ref="F61:F64" si="53">IF(D$12=0,0,D61/D$12)</f>
        <v>0</v>
      </c>
      <c r="G61" s="1"/>
      <c r="H61" s="1">
        <f>SUM(OSRRefH22_10x_0)</f>
        <v>51.5</v>
      </c>
      <c r="I61" s="1"/>
      <c r="J61" s="5">
        <f t="shared" ref="J61:J64" si="54">IF(H$12=0,0,H61/H$12)</f>
        <v>2.443479704884587E-3</v>
      </c>
      <c r="K61" s="1"/>
      <c r="L61" s="1">
        <f t="shared" ref="L61:L64" si="55">+D61-H61</f>
        <v>0</v>
      </c>
      <c r="M61" s="1"/>
      <c r="N61" s="5">
        <f t="shared" ref="N61:N64" si="56">IF(H61=0,0,L61/H61)</f>
        <v>0</v>
      </c>
      <c r="O61" s="13"/>
      <c r="P61" s="1">
        <f>SUM(OSRRefP22_10x_0)</f>
        <v>684</v>
      </c>
      <c r="Q61" s="1"/>
      <c r="R61" s="5">
        <f t="shared" ref="R61:R64" si="57">IF(P$12=0,0,P61/P$12)</f>
        <v>0.27619959054622101</v>
      </c>
      <c r="S61" s="1"/>
      <c r="T61" s="1">
        <f>SUM(OSRRefT22_10x_0)</f>
        <v>381.5</v>
      </c>
      <c r="U61" s="1"/>
      <c r="V61" s="5">
        <f t="shared" ref="V61:V64" si="58">IF(T$12=0,0,T61/T$12)</f>
        <v>1.7889785602994569E-3</v>
      </c>
      <c r="W61" s="1"/>
      <c r="X61" s="1">
        <f t="shared" ref="X61:X64" si="59">+P61-T61</f>
        <v>302.5</v>
      </c>
      <c r="Y61" s="1"/>
      <c r="Z61" s="5">
        <f t="shared" ref="Z61:Z64" si="60">IF(T61=0,0,X61/T61)</f>
        <v>0.79292267365661862</v>
      </c>
    </row>
    <row r="62" spans="1:26" s="24" customFormat="1" hidden="1" outlineLevel="2" x14ac:dyDescent="0.25">
      <c r="A62" s="25"/>
      <c r="B62" s="11" t="str">
        <f>CONCATENATE("          ", "6309", " - ", "TELEPHONE")</f>
        <v xml:space="preserve">          6309 - TELEPHONE</v>
      </c>
      <c r="C62" s="11"/>
      <c r="D62" s="6">
        <v>51.5</v>
      </c>
      <c r="E62" s="2"/>
      <c r="F62" s="7">
        <f t="shared" si="53"/>
        <v>0</v>
      </c>
      <c r="G62" s="2"/>
      <c r="H62" s="6">
        <v>51.5</v>
      </c>
      <c r="I62" s="2"/>
      <c r="J62" s="7">
        <f t="shared" si="54"/>
        <v>2.443479704884587E-3</v>
      </c>
      <c r="K62" s="2"/>
      <c r="L62" s="6">
        <f t="shared" si="55"/>
        <v>0</v>
      </c>
      <c r="M62" s="2"/>
      <c r="N62" s="7">
        <f t="shared" si="56"/>
        <v>0</v>
      </c>
      <c r="O62" s="11"/>
      <c r="P62" s="6">
        <v>684</v>
      </c>
      <c r="Q62" s="2"/>
      <c r="R62" s="7">
        <f t="shared" si="57"/>
        <v>0.27619959054622101</v>
      </c>
      <c r="S62" s="2"/>
      <c r="T62" s="6">
        <v>381.5</v>
      </c>
      <c r="U62" s="2"/>
      <c r="V62" s="7">
        <f t="shared" si="58"/>
        <v>1.7889785602994569E-3</v>
      </c>
      <c r="W62" s="2"/>
      <c r="X62" s="6">
        <f t="shared" si="59"/>
        <v>302.5</v>
      </c>
      <c r="Y62" s="2"/>
      <c r="Z62" s="7">
        <f t="shared" si="60"/>
        <v>0.79292267365661862</v>
      </c>
    </row>
    <row r="63" spans="1:26" s="26" customFormat="1" outlineLevel="1" collapsed="1" x14ac:dyDescent="0.25">
      <c r="A63" s="27"/>
      <c r="B63" s="13" t="str">
        <f>CONCATENATE("     ","Utilities                                         ")</f>
        <v xml:space="preserve">     Utilities                                         </v>
      </c>
      <c r="C63" s="13"/>
      <c r="D63" s="1">
        <f>SUM(OSRRefD22_11x_0)</f>
        <v>50</v>
      </c>
      <c r="E63" s="1"/>
      <c r="F63" s="5">
        <f t="shared" si="53"/>
        <v>0</v>
      </c>
      <c r="G63" s="1"/>
      <c r="H63" s="1">
        <f>SUM(OSRRefH22_11x_0)</f>
        <v>19</v>
      </c>
      <c r="I63" s="1"/>
      <c r="J63" s="5">
        <f t="shared" si="54"/>
        <v>9.0147794937489622E-4</v>
      </c>
      <c r="K63" s="1"/>
      <c r="L63" s="1">
        <f t="shared" si="55"/>
        <v>31</v>
      </c>
      <c r="M63" s="1"/>
      <c r="N63" s="5">
        <f t="shared" si="56"/>
        <v>1.631578947368421</v>
      </c>
      <c r="O63" s="13"/>
      <c r="P63" s="1">
        <f>SUM(OSRRefP22_11x_0)</f>
        <v>350</v>
      </c>
      <c r="Q63" s="1"/>
      <c r="R63" s="5">
        <f t="shared" si="57"/>
        <v>0.14133019984090256</v>
      </c>
      <c r="S63" s="1"/>
      <c r="T63" s="1">
        <f>SUM(OSRRefT22_11x_0)</f>
        <v>-731.88</v>
      </c>
      <c r="U63" s="1"/>
      <c r="V63" s="5">
        <f t="shared" si="58"/>
        <v>-3.4320252390877232E-3</v>
      </c>
      <c r="W63" s="1"/>
      <c r="X63" s="1">
        <f t="shared" si="59"/>
        <v>1081.8800000000001</v>
      </c>
      <c r="Y63" s="1"/>
      <c r="Z63" s="5">
        <f t="shared" si="60"/>
        <v>-1.4782204733016342</v>
      </c>
    </row>
    <row r="64" spans="1:26" s="24" customFormat="1" hidden="1" outlineLevel="2" x14ac:dyDescent="0.25">
      <c r="A64" s="25"/>
      <c r="B64" s="11" t="str">
        <f>CONCATENATE("          ", "6274", " - ", "UTILITIES")</f>
        <v xml:space="preserve">          6274 - UTILITIES</v>
      </c>
      <c r="C64" s="11"/>
      <c r="D64" s="6">
        <v>50</v>
      </c>
      <c r="E64" s="2"/>
      <c r="F64" s="7">
        <f t="shared" si="53"/>
        <v>0</v>
      </c>
      <c r="G64" s="2"/>
      <c r="H64" s="6">
        <v>19</v>
      </c>
      <c r="I64" s="2"/>
      <c r="J64" s="7">
        <f t="shared" si="54"/>
        <v>9.0147794937489622E-4</v>
      </c>
      <c r="K64" s="2"/>
      <c r="L64" s="6">
        <f t="shared" si="55"/>
        <v>31</v>
      </c>
      <c r="M64" s="2"/>
      <c r="N64" s="7">
        <f t="shared" si="56"/>
        <v>1.631578947368421</v>
      </c>
      <c r="O64" s="11"/>
      <c r="P64" s="6">
        <v>350</v>
      </c>
      <c r="Q64" s="2"/>
      <c r="R64" s="7">
        <f t="shared" si="57"/>
        <v>0.14133019984090256</v>
      </c>
      <c r="S64" s="2"/>
      <c r="T64" s="6">
        <v>-731.88</v>
      </c>
      <c r="U64" s="2"/>
      <c r="V64" s="7">
        <f t="shared" si="58"/>
        <v>-3.4320252390877232E-3</v>
      </c>
      <c r="W64" s="2"/>
      <c r="X64" s="6">
        <f t="shared" si="59"/>
        <v>1081.8800000000001</v>
      </c>
      <c r="Y64" s="2"/>
      <c r="Z64" s="7">
        <f t="shared" si="60"/>
        <v>-1.4782204733016342</v>
      </c>
    </row>
    <row r="65" spans="1:26" s="61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9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8" t="s">
        <v>3</v>
      </c>
      <c r="C68" s="28"/>
      <c r="D68" s="20">
        <f>+D20-D22+D66</f>
        <v>-722.07999999999993</v>
      </c>
      <c r="E68" s="14"/>
      <c r="F68" s="22">
        <f>IF(D$12=0,0,D68/D$12)</f>
        <v>0</v>
      </c>
      <c r="G68" s="14"/>
      <c r="H68" s="20">
        <f>+H20-H22+H66</f>
        <v>2482.7700000000041</v>
      </c>
      <c r="I68" s="14"/>
      <c r="J68" s="22">
        <f>IF(H$12=0,0,H68/H$12)</f>
        <v>0.11779802149313236</v>
      </c>
      <c r="K68" s="15"/>
      <c r="L68" s="20">
        <f>+D68-H68</f>
        <v>-3204.850000000004</v>
      </c>
      <c r="M68" s="15"/>
      <c r="N68" s="22">
        <f>IF(H68=0,0,L68/H68)</f>
        <v>-1.2908364447774054</v>
      </c>
      <c r="O68" s="29"/>
      <c r="P68" s="20">
        <f>+P20-P22+P66</f>
        <v>-33681.87999999999</v>
      </c>
      <c r="Q68" s="14"/>
      <c r="R68" s="22">
        <f>IF(P$12=0,0,P68/P$12)</f>
        <v>-13.600762375477993</v>
      </c>
      <c r="S68" s="14"/>
      <c r="T68" s="20">
        <f>+T20-T22+T66</f>
        <v>21645.560000000012</v>
      </c>
      <c r="U68" s="14"/>
      <c r="V68" s="22">
        <f>IF(T$12=0,0,T68/T$12)</f>
        <v>0.1015031265155322</v>
      </c>
      <c r="W68" s="15"/>
      <c r="X68" s="20">
        <f>+P68-T68</f>
        <v>-55327.44</v>
      </c>
      <c r="Y68" s="15"/>
      <c r="Z68" s="22">
        <f>IF(T68=0,0,X68/T68)</f>
        <v>-2.5560641535723709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>
        <v>-8.66</v>
      </c>
      <c r="E70" s="4"/>
      <c r="F70" s="12">
        <f>IF(D$12=0,0,D70/D$12)</f>
        <v>0</v>
      </c>
      <c r="G70" s="4"/>
      <c r="H70" s="4">
        <v>1482.73</v>
      </c>
      <c r="I70" s="4"/>
      <c r="J70" s="12">
        <f>IF(H$12=0,0,H70/H$12)</f>
        <v>7.034991578298104E-2</v>
      </c>
      <c r="K70" s="4"/>
      <c r="L70" s="4">
        <f>+D70-H70</f>
        <v>-1491.39</v>
      </c>
      <c r="M70" s="4"/>
      <c r="N70" s="12">
        <f>IF(H70=0,0,L70/H70)</f>
        <v>-1.0058405778530144</v>
      </c>
      <c r="O70" s="10"/>
      <c r="P70" s="4">
        <v>449.54</v>
      </c>
      <c r="Q70" s="4"/>
      <c r="R70" s="12">
        <f>IF(P$12=0,0,P70/P$12)</f>
        <v>0.18152450867565526</v>
      </c>
      <c r="S70" s="4"/>
      <c r="T70" s="4">
        <v>22238.969999999998</v>
      </c>
      <c r="U70" s="4"/>
      <c r="V70" s="12">
        <f>IF(T$12=0,0,T70/T$12)</f>
        <v>0.10428582053248442</v>
      </c>
      <c r="W70" s="4"/>
      <c r="X70" s="4">
        <f>+P70-T70</f>
        <v>-21789.429999999997</v>
      </c>
      <c r="Y70" s="4"/>
      <c r="Z70" s="12">
        <f>IF(T70=0,0,X70/T70)</f>
        <v>-0.97978593433059169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4</v>
      </c>
      <c r="C72" s="28"/>
      <c r="D72" s="30">
        <f>+D68-D70</f>
        <v>-713.42</v>
      </c>
      <c r="E72" s="14"/>
      <c r="F72" s="36">
        <f>IF(D$12=0,0,D72/D$12)</f>
        <v>0</v>
      </c>
      <c r="G72" s="14"/>
      <c r="H72" s="30">
        <f>+H68-H70</f>
        <v>1000.0400000000041</v>
      </c>
      <c r="I72" s="14"/>
      <c r="J72" s="36">
        <f>IF(H$12=0,0,H72/H$12)</f>
        <v>4.744810571015131E-2</v>
      </c>
      <c r="K72" s="15"/>
      <c r="L72" s="30">
        <f>D72-H72</f>
        <v>-1713.4600000000041</v>
      </c>
      <c r="M72" s="15"/>
      <c r="N72" s="36">
        <f>IF(H72=0,0,L72/H72)</f>
        <v>-1.7133914643414234</v>
      </c>
      <c r="O72" s="29"/>
      <c r="P72" s="30">
        <f>+P68-P70</f>
        <v>-34131.419999999991</v>
      </c>
      <c r="Q72" s="14"/>
      <c r="R72" s="36">
        <f>IF(P$12=0,0,P72/P$12)</f>
        <v>-13.782286884153649</v>
      </c>
      <c r="S72" s="14"/>
      <c r="T72" s="30">
        <f>+T68-T70</f>
        <v>-593.4099999999853</v>
      </c>
      <c r="U72" s="14"/>
      <c r="V72" s="36">
        <f>IF(T$12=0,0,T72/T$12)</f>
        <v>-2.7826940169522266E-3</v>
      </c>
      <c r="W72" s="15"/>
      <c r="X72" s="30">
        <f>P72-T72</f>
        <v>-33538.010000000009</v>
      </c>
      <c r="Y72" s="15"/>
      <c r="Z72" s="36">
        <f>IF(T72=0,0,X72/T72)</f>
        <v>56.517433140663016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5</v>
      </c>
      <c r="C75" s="28"/>
      <c r="D75" s="32">
        <f>SUM(D72:D74)</f>
        <v>-713.42</v>
      </c>
      <c r="E75" s="14"/>
      <c r="F75" s="31">
        <f>IF(D$12=0,0,D75/D$12)</f>
        <v>0</v>
      </c>
      <c r="G75" s="14"/>
      <c r="H75" s="32">
        <f>SUM(H72:H74)</f>
        <v>1000.0400000000041</v>
      </c>
      <c r="I75" s="14"/>
      <c r="J75" s="31">
        <f>IF(H$12=0,0,H75/H$12)</f>
        <v>4.744810571015131E-2</v>
      </c>
      <c r="K75" s="15"/>
      <c r="L75" s="32">
        <f>+D75-H75</f>
        <v>-1713.4600000000041</v>
      </c>
      <c r="M75" s="15"/>
      <c r="N75" s="31">
        <f>IF(H75=0,0,L75/H75)</f>
        <v>-1.7133914643414234</v>
      </c>
      <c r="O75" s="29"/>
      <c r="P75" s="32">
        <f>SUM(P72:P74)</f>
        <v>-34131.419999999991</v>
      </c>
      <c r="Q75" s="14"/>
      <c r="R75" s="31">
        <f>IF(P$12=0,0,P75/P$12)</f>
        <v>-13.782286884153649</v>
      </c>
      <c r="S75" s="14"/>
      <c r="T75" s="32">
        <f>SUM(T72:T74)</f>
        <v>-593.4099999999853</v>
      </c>
      <c r="U75" s="14"/>
      <c r="V75" s="31">
        <f>IF(T$12=0,0,T75/T$12)</f>
        <v>-2.7826940169522266E-3</v>
      </c>
      <c r="W75" s="15"/>
      <c r="X75" s="32">
        <f>+P75-T75</f>
        <v>-33538.010000000009</v>
      </c>
      <c r="Y75" s="15"/>
      <c r="Z75" s="31">
        <f>IF(T75=0,0,X75/T75)</f>
        <v>56.517433140663016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62">
        <v>44238.496305636574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9" t="s">
        <v>313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6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","322", " - ", "Beach Hut")</f>
        <v>Department 322 - Beach Hut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47485.21</v>
      </c>
      <c r="I12" s="4"/>
      <c r="J12" s="12"/>
      <c r="K12" s="4"/>
      <c r="L12" s="4">
        <f t="shared" ref="L12:L14" si="0">+D12-H12</f>
        <v>-47485.21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533100.18000000005</v>
      </c>
      <c r="U12" s="4"/>
      <c r="V12" s="12"/>
      <c r="W12" s="4"/>
      <c r="X12" s="4">
        <f t="shared" ref="X12:X14" si="2">+P12-T12</f>
        <v>-533100.18000000005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--5141.06</f>
        <v>5141.0600000000004</v>
      </c>
      <c r="I13" s="2"/>
      <c r="J13" s="19"/>
      <c r="K13" s="2"/>
      <c r="L13" s="2">
        <f t="shared" si="0"/>
        <v>-5141.0600000000004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--68272.53</f>
        <v>68272.53</v>
      </c>
      <c r="U13" s="2"/>
      <c r="V13" s="19"/>
      <c r="W13" s="2"/>
      <c r="X13" s="2">
        <f t="shared" si="2"/>
        <v>-68272.53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--42344.15</f>
        <v>42344.15</v>
      </c>
      <c r="I14" s="2"/>
      <c r="J14" s="19"/>
      <c r="K14" s="2"/>
      <c r="L14" s="2">
        <f t="shared" si="0"/>
        <v>-42344.15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--464827.65</f>
        <v>464827.65</v>
      </c>
      <c r="U14" s="2"/>
      <c r="V14" s="19"/>
      <c r="W14" s="2"/>
      <c r="X14" s="2">
        <f t="shared" si="2"/>
        <v>-464827.65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22793.030000000002</v>
      </c>
      <c r="I16" s="4"/>
      <c r="J16" s="12">
        <f t="shared" ref="J16:J18" si="7">IF(H$12=0,0,H16/H$12)</f>
        <v>0.48000272084718593</v>
      </c>
      <c r="K16" s="4"/>
      <c r="L16" s="4">
        <f t="shared" ref="L16:L18" si="8">+D16-H16</f>
        <v>-22793.030000000002</v>
      </c>
      <c r="M16" s="4"/>
      <c r="N16" s="12">
        <f t="shared" ref="N16:N18" si="9">IF(H16=0,0,L16/H16)</f>
        <v>-1</v>
      </c>
      <c r="O16" s="10"/>
      <c r="P16" s="4">
        <f>SUM(OSRRefP16x_0)</f>
        <v>-1222.33</v>
      </c>
      <c r="Q16" s="4"/>
      <c r="R16" s="12">
        <f t="shared" ref="R16:R18" si="10">IF(P$12=0,0,P16/P$12)</f>
        <v>0</v>
      </c>
      <c r="S16" s="4"/>
      <c r="T16" s="4">
        <f>SUM(OSRRefT16x_0)</f>
        <v>269829.16000000003</v>
      </c>
      <c r="U16" s="4"/>
      <c r="V16" s="12">
        <f t="shared" ref="V16:V18" si="11">IF(T$12=0,0,T16/T$12)</f>
        <v>0.50615094521258652</v>
      </c>
      <c r="W16" s="4"/>
      <c r="X16" s="4">
        <f t="shared" ref="X16:X18" si="12">+P16-T16</f>
        <v>-271051.49000000005</v>
      </c>
      <c r="Y16" s="4"/>
      <c r="Z16" s="12">
        <f t="shared" ref="Z16:Z18" si="13">IF(T16=0,0,X16/T16)</f>
        <v>-1.0045300144728613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32109.820000000003</v>
      </c>
      <c r="I17" s="2"/>
      <c r="J17" s="19">
        <f t="shared" si="7"/>
        <v>0.67620675995746893</v>
      </c>
      <c r="K17" s="2"/>
      <c r="L17" s="2">
        <f t="shared" si="8"/>
        <v>-32109.820000000003</v>
      </c>
      <c r="M17" s="2"/>
      <c r="N17" s="19">
        <f t="shared" si="9"/>
        <v>-1</v>
      </c>
      <c r="O17" s="11"/>
      <c r="P17" s="2">
        <v>-1222.33</v>
      </c>
      <c r="Q17" s="2"/>
      <c r="R17" s="19">
        <f t="shared" si="10"/>
        <v>0</v>
      </c>
      <c r="S17" s="2"/>
      <c r="T17" s="2">
        <v>285348.11000000004</v>
      </c>
      <c r="U17" s="2"/>
      <c r="V17" s="19">
        <f t="shared" si="11"/>
        <v>0.53526170259406036</v>
      </c>
      <c r="W17" s="2"/>
      <c r="X17" s="2">
        <f t="shared" si="12"/>
        <v>-286570.44000000006</v>
      </c>
      <c r="Y17" s="2"/>
      <c r="Z17" s="19">
        <f t="shared" si="13"/>
        <v>-1.0042836449836658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-9316.7900000000009</v>
      </c>
      <c r="I18" s="2"/>
      <c r="J18" s="19">
        <f t="shared" si="7"/>
        <v>-0.196204039110283</v>
      </c>
      <c r="K18" s="2"/>
      <c r="L18" s="2">
        <f t="shared" si="8"/>
        <v>9316.7900000000009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-15518.950000000003</v>
      </c>
      <c r="U18" s="2"/>
      <c r="V18" s="19">
        <f t="shared" si="11"/>
        <v>-2.9110757381473781E-2</v>
      </c>
      <c r="W18" s="2"/>
      <c r="X18" s="2">
        <f t="shared" si="12"/>
        <v>15518.950000000003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24692.179999999997</v>
      </c>
      <c r="I20" s="14"/>
      <c r="J20" s="22">
        <f>IF(H$12=0,0,H20/H$12)</f>
        <v>0.51999727915281402</v>
      </c>
      <c r="K20" s="15"/>
      <c r="L20" s="20">
        <f>+D20-H20</f>
        <v>-24692.179999999997</v>
      </c>
      <c r="M20" s="15"/>
      <c r="N20" s="22">
        <f>IF(H20=0,0,L20/H20)</f>
        <v>-1</v>
      </c>
      <c r="O20" s="29"/>
      <c r="P20" s="20">
        <f>P12-P16</f>
        <v>1222.33</v>
      </c>
      <c r="Q20" s="14"/>
      <c r="R20" s="22">
        <f>IF(P$12=0,0,P20/P$12)</f>
        <v>0</v>
      </c>
      <c r="S20" s="14"/>
      <c r="T20" s="20">
        <f>T12-T16</f>
        <v>263271.02</v>
      </c>
      <c r="U20" s="14"/>
      <c r="V20" s="22">
        <f>IF(T$12=0,0,T20/T$12)</f>
        <v>0.49384905478741348</v>
      </c>
      <c r="W20" s="15"/>
      <c r="X20" s="20">
        <f>+P20-T20</f>
        <v>-262048.69000000003</v>
      </c>
      <c r="Y20" s="15"/>
      <c r="Z20" s="22">
        <f>IF(T20=0,0,X20/T20)</f>
        <v>-0.99535714185328872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2225.34</v>
      </c>
      <c r="E22" s="21"/>
      <c r="F22" s="35">
        <f t="shared" ref="F22:F31" si="14">IF(D$12=0,0,D22/D$12)</f>
        <v>0</v>
      </c>
      <c r="G22" s="21"/>
      <c r="H22" s="21">
        <f>SUM(OSRRefH22x_0)</f>
        <v>24954.720000000001</v>
      </c>
      <c r="I22" s="21"/>
      <c r="J22" s="35">
        <f t="shared" ref="J22:J31" si="15">IF(H$12=0,0,H22/H$12)</f>
        <v>0.52552615856600404</v>
      </c>
      <c r="K22" s="4"/>
      <c r="L22" s="21">
        <f t="shared" ref="L22:L31" si="16">+D22-H22</f>
        <v>-22729.38</v>
      </c>
      <c r="M22" s="4"/>
      <c r="N22" s="35">
        <f t="shared" ref="N22:N31" si="17">IF(H22=0,0,L22/H22)</f>
        <v>-0.91082488603358402</v>
      </c>
      <c r="O22" s="10"/>
      <c r="P22" s="21">
        <f>SUM(OSRRefP22x_0)</f>
        <v>18015.629999999997</v>
      </c>
      <c r="Q22" s="21"/>
      <c r="R22" s="35">
        <f t="shared" ref="R22:R31" si="18">IF(P$12=0,0,P22/P$12)</f>
        <v>0</v>
      </c>
      <c r="S22" s="21"/>
      <c r="T22" s="21">
        <f>SUM(OSRRefT22x_0)</f>
        <v>197926.69999999998</v>
      </c>
      <c r="U22" s="21"/>
      <c r="V22" s="35">
        <f t="shared" ref="V22:V31" si="19">IF(T$12=0,0,T22/T$12)</f>
        <v>0.3712748699503346</v>
      </c>
      <c r="W22" s="4"/>
      <c r="X22" s="21">
        <f t="shared" ref="X22:X31" si="20">+P22-T22</f>
        <v>-179911.06999999998</v>
      </c>
      <c r="Y22" s="4"/>
      <c r="Z22" s="35">
        <f t="shared" ref="Z22:Z31" si="21">IF(T22=0,0,X22/T22)</f>
        <v>-0.90897827326985192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2342.9299999999998</v>
      </c>
      <c r="I23" s="1"/>
      <c r="J23" s="5">
        <f t="shared" si="15"/>
        <v>4.9340205087015511E-2</v>
      </c>
      <c r="K23" s="1"/>
      <c r="L23" s="1">
        <f t="shared" si="16"/>
        <v>-2342.9299999999998</v>
      </c>
      <c r="M23" s="1"/>
      <c r="N23" s="5">
        <f t="shared" si="17"/>
        <v>-1</v>
      </c>
      <c r="O23" s="13"/>
      <c r="P23" s="1">
        <f>SUM(OSRRefP22_0x_0)</f>
        <v>1595.9699999999998</v>
      </c>
      <c r="Q23" s="1"/>
      <c r="R23" s="5">
        <f t="shared" si="18"/>
        <v>0</v>
      </c>
      <c r="S23" s="1"/>
      <c r="T23" s="1">
        <f>SUM(OSRRefT22_0x_0)</f>
        <v>16787.210000000003</v>
      </c>
      <c r="U23" s="1"/>
      <c r="V23" s="5">
        <f t="shared" si="19"/>
        <v>3.1489784903092698E-2</v>
      </c>
      <c r="W23" s="1"/>
      <c r="X23" s="1">
        <f t="shared" si="20"/>
        <v>-15191.240000000003</v>
      </c>
      <c r="Y23" s="1"/>
      <c r="Z23" s="5">
        <f t="shared" si="21"/>
        <v>-0.90492940756683216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355.22</v>
      </c>
      <c r="I24" s="2"/>
      <c r="J24" s="7">
        <f t="shared" si="15"/>
        <v>7.4806450261039178E-3</v>
      </c>
      <c r="K24" s="2"/>
      <c r="L24" s="6">
        <f t="shared" si="16"/>
        <v>-355.22</v>
      </c>
      <c r="M24" s="2"/>
      <c r="N24" s="7">
        <f t="shared" si="17"/>
        <v>-1</v>
      </c>
      <c r="O24" s="11"/>
      <c r="P24" s="6">
        <v>159.12</v>
      </c>
      <c r="Q24" s="2"/>
      <c r="R24" s="7">
        <f t="shared" si="18"/>
        <v>0</v>
      </c>
      <c r="S24" s="2"/>
      <c r="T24" s="6">
        <v>3910.88</v>
      </c>
      <c r="U24" s="2"/>
      <c r="V24" s="7">
        <f t="shared" si="19"/>
        <v>7.3361070709073847E-3</v>
      </c>
      <c r="W24" s="2"/>
      <c r="X24" s="6">
        <f t="shared" si="20"/>
        <v>-3751.76</v>
      </c>
      <c r="Y24" s="2"/>
      <c r="Z24" s="7">
        <f t="shared" si="21"/>
        <v>-0.95931350488892531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241.62</v>
      </c>
      <c r="I25" s="2"/>
      <c r="J25" s="7">
        <f t="shared" si="15"/>
        <v>5.0883211846383331E-3</v>
      </c>
      <c r="K25" s="2"/>
      <c r="L25" s="6">
        <f t="shared" si="16"/>
        <v>-241.62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1979.07</v>
      </c>
      <c r="U25" s="2"/>
      <c r="V25" s="7">
        <f t="shared" si="19"/>
        <v>3.7123791629558251E-3</v>
      </c>
      <c r="W25" s="2"/>
      <c r="X25" s="6">
        <f t="shared" si="20"/>
        <v>-1979.07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683.68</v>
      </c>
      <c r="I26" s="2"/>
      <c r="J26" s="7">
        <f t="shared" si="15"/>
        <v>1.4397746161383724E-2</v>
      </c>
      <c r="K26" s="2"/>
      <c r="L26" s="6">
        <f t="shared" si="16"/>
        <v>-683.68</v>
      </c>
      <c r="M26" s="2"/>
      <c r="N26" s="7">
        <f t="shared" si="17"/>
        <v>-1</v>
      </c>
      <c r="O26" s="11"/>
      <c r="P26" s="6">
        <v>683.68</v>
      </c>
      <c r="Q26" s="2"/>
      <c r="R26" s="7">
        <f t="shared" si="18"/>
        <v>0</v>
      </c>
      <c r="S26" s="2"/>
      <c r="T26" s="6">
        <v>4530.5200000000004</v>
      </c>
      <c r="U26" s="2"/>
      <c r="V26" s="7">
        <f t="shared" si="19"/>
        <v>8.4984401993636535E-3</v>
      </c>
      <c r="W26" s="2"/>
      <c r="X26" s="6">
        <f t="shared" si="20"/>
        <v>-3846.8400000000006</v>
      </c>
      <c r="Y26" s="2"/>
      <c r="Z26" s="7">
        <f t="shared" si="21"/>
        <v>-0.84909458516903147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33.06</v>
      </c>
      <c r="I27" s="2"/>
      <c r="J27" s="7">
        <f t="shared" si="15"/>
        <v>6.9621677991947388E-4</v>
      </c>
      <c r="K27" s="2"/>
      <c r="L27" s="6">
        <f t="shared" si="16"/>
        <v>-33.06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315.99</v>
      </c>
      <c r="U27" s="2"/>
      <c r="V27" s="7">
        <f t="shared" si="19"/>
        <v>5.9274037386368916E-4</v>
      </c>
      <c r="W27" s="2"/>
      <c r="X27" s="6">
        <f t="shared" si="20"/>
        <v>-315.99</v>
      </c>
      <c r="Y27" s="2"/>
      <c r="Z27" s="7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424.69</v>
      </c>
      <c r="I28" s="2"/>
      <c r="J28" s="7">
        <f t="shared" si="15"/>
        <v>8.9436268682396049E-3</v>
      </c>
      <c r="K28" s="2"/>
      <c r="L28" s="6">
        <f t="shared" si="16"/>
        <v>-424.69</v>
      </c>
      <c r="M28" s="2"/>
      <c r="N28" s="7">
        <f t="shared" si="17"/>
        <v>-1</v>
      </c>
      <c r="O28" s="11"/>
      <c r="P28" s="6">
        <v>321.57</v>
      </c>
      <c r="Q28" s="2"/>
      <c r="R28" s="7">
        <f t="shared" si="18"/>
        <v>0</v>
      </c>
      <c r="S28" s="2"/>
      <c r="T28" s="6">
        <v>1899.9</v>
      </c>
      <c r="U28" s="2"/>
      <c r="V28" s="7">
        <f t="shared" si="19"/>
        <v>3.5638704905333178E-3</v>
      </c>
      <c r="W28" s="2"/>
      <c r="X28" s="6">
        <f t="shared" si="20"/>
        <v>-1578.3300000000002</v>
      </c>
      <c r="Y28" s="2"/>
      <c r="Z28" s="7">
        <f t="shared" si="21"/>
        <v>-0.83074372335386082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239.72</v>
      </c>
      <c r="I29" s="2"/>
      <c r="J29" s="7">
        <f t="shared" si="15"/>
        <v>5.0483087260222714E-3</v>
      </c>
      <c r="K29" s="2"/>
      <c r="L29" s="6">
        <f t="shared" si="16"/>
        <v>-239.72</v>
      </c>
      <c r="M29" s="2"/>
      <c r="N29" s="7">
        <f t="shared" si="17"/>
        <v>-1</v>
      </c>
      <c r="O29" s="11"/>
      <c r="P29" s="6">
        <v>239.72</v>
      </c>
      <c r="Q29" s="2"/>
      <c r="R29" s="7">
        <f t="shared" si="18"/>
        <v>0</v>
      </c>
      <c r="S29" s="2"/>
      <c r="T29" s="6">
        <v>1678.04</v>
      </c>
      <c r="U29" s="2"/>
      <c r="V29" s="7">
        <f t="shared" si="19"/>
        <v>3.1477010568632707E-3</v>
      </c>
      <c r="W29" s="2"/>
      <c r="X29" s="6">
        <f t="shared" si="20"/>
        <v>-1438.32</v>
      </c>
      <c r="Y29" s="2"/>
      <c r="Z29" s="7">
        <f t="shared" si="21"/>
        <v>-0.8571428571428571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191.88</v>
      </c>
      <c r="I30" s="2"/>
      <c r="J30" s="7">
        <f t="shared" si="15"/>
        <v>4.0408371364473276E-3</v>
      </c>
      <c r="K30" s="2"/>
      <c r="L30" s="6">
        <f t="shared" si="16"/>
        <v>-191.88</v>
      </c>
      <c r="M30" s="2"/>
      <c r="N30" s="7">
        <f t="shared" si="17"/>
        <v>-1</v>
      </c>
      <c r="O30" s="11"/>
      <c r="P30" s="6">
        <v>191.88</v>
      </c>
      <c r="Q30" s="2"/>
      <c r="R30" s="7">
        <f t="shared" si="18"/>
        <v>0</v>
      </c>
      <c r="S30" s="2"/>
      <c r="T30" s="6">
        <v>1343.16</v>
      </c>
      <c r="U30" s="2"/>
      <c r="V30" s="7">
        <f t="shared" si="19"/>
        <v>2.51952644247841E-3</v>
      </c>
      <c r="W30" s="2"/>
      <c r="X30" s="6">
        <f t="shared" si="20"/>
        <v>-1151.2800000000002</v>
      </c>
      <c r="Y30" s="2"/>
      <c r="Z30" s="7">
        <f t="shared" si="21"/>
        <v>-0.85714285714285721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173.06</v>
      </c>
      <c r="I31" s="2"/>
      <c r="J31" s="7">
        <f t="shared" si="15"/>
        <v>3.6445032042608638E-3</v>
      </c>
      <c r="K31" s="2"/>
      <c r="L31" s="6">
        <f t="shared" si="16"/>
        <v>-173.06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1129.6500000000001</v>
      </c>
      <c r="U31" s="2"/>
      <c r="V31" s="7">
        <f t="shared" si="19"/>
        <v>2.1190201061271449E-3</v>
      </c>
      <c r="W31" s="2"/>
      <c r="X31" s="6">
        <f t="shared" si="20"/>
        <v>-1129.6500000000001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15854.490000000002</v>
      </c>
      <c r="I32" s="1"/>
      <c r="J32" s="5">
        <f t="shared" ref="J32:J36" si="23">IF(H$12=0,0,H32/H$12)</f>
        <v>0.33388269737040233</v>
      </c>
      <c r="K32" s="1"/>
      <c r="L32" s="1">
        <f t="shared" ref="L32:L36" si="24">+D32-H32</f>
        <v>-15854.490000000002</v>
      </c>
      <c r="M32" s="1"/>
      <c r="N32" s="5">
        <f t="shared" ref="N32:N36" si="25">IF(H32=0,0,L32/H32)</f>
        <v>-1</v>
      </c>
      <c r="O32" s="13"/>
      <c r="P32" s="1">
        <f>SUM(OSRRefP22_1x_0)</f>
        <v>2080</v>
      </c>
      <c r="Q32" s="1"/>
      <c r="R32" s="5">
        <f t="shared" ref="R32:R36" si="26">IF(P$12=0,0,P32/P$12)</f>
        <v>0</v>
      </c>
      <c r="S32" s="1"/>
      <c r="T32" s="1">
        <f>SUM(OSRRefT22_1x_0)</f>
        <v>116257.38</v>
      </c>
      <c r="U32" s="1"/>
      <c r="V32" s="5">
        <f t="shared" ref="V32:V36" si="27">IF(T$12=0,0,T32/T$12)</f>
        <v>0.21807792299000911</v>
      </c>
      <c r="W32" s="1"/>
      <c r="X32" s="1">
        <f t="shared" ref="X32:X36" si="28">+P32-T32</f>
        <v>-114177.38</v>
      </c>
      <c r="Y32" s="1"/>
      <c r="Z32" s="5">
        <f t="shared" ref="Z32:Z36" si="29">IF(T32=0,0,X32/T32)</f>
        <v>-0.98210866269306951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4576</v>
      </c>
      <c r="I33" s="2"/>
      <c r="J33" s="7">
        <f t="shared" si="23"/>
        <v>9.6366847698472854E-2</v>
      </c>
      <c r="K33" s="2"/>
      <c r="L33" s="6">
        <f t="shared" si="24"/>
        <v>-4576</v>
      </c>
      <c r="M33" s="2"/>
      <c r="N33" s="7">
        <f t="shared" si="25"/>
        <v>-1</v>
      </c>
      <c r="O33" s="11"/>
      <c r="P33" s="6">
        <v>2080</v>
      </c>
      <c r="Q33" s="2"/>
      <c r="R33" s="7">
        <f t="shared" si="26"/>
        <v>0</v>
      </c>
      <c r="S33" s="2"/>
      <c r="T33" s="6">
        <v>26656</v>
      </c>
      <c r="U33" s="2"/>
      <c r="V33" s="7">
        <f t="shared" si="27"/>
        <v>5.000185893765783E-2</v>
      </c>
      <c r="W33" s="2"/>
      <c r="X33" s="6">
        <f t="shared" si="28"/>
        <v>-24576</v>
      </c>
      <c r="Y33" s="2"/>
      <c r="Z33" s="7">
        <f t="shared" si="29"/>
        <v>-0.92196878751500599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482.3</v>
      </c>
      <c r="I34" s="2"/>
      <c r="J34" s="7">
        <f t="shared" si="23"/>
        <v>1.0156846731856089E-2</v>
      </c>
      <c r="K34" s="2"/>
      <c r="L34" s="6">
        <f t="shared" si="24"/>
        <v>-482.3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8406.2999999999993</v>
      </c>
      <c r="U34" s="2"/>
      <c r="V34" s="7">
        <f t="shared" si="27"/>
        <v>1.576870598693101E-2</v>
      </c>
      <c r="W34" s="2"/>
      <c r="X34" s="6">
        <f t="shared" si="28"/>
        <v>-8406.2999999999993</v>
      </c>
      <c r="Y34" s="2"/>
      <c r="Z34" s="7">
        <f t="shared" si="29"/>
        <v>-1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2"/>
        <v>0</v>
      </c>
      <c r="G35" s="2"/>
      <c r="H35" s="6">
        <v>10796.19</v>
      </c>
      <c r="I35" s="2"/>
      <c r="J35" s="7">
        <f t="shared" si="23"/>
        <v>0.22735900294007336</v>
      </c>
      <c r="K35" s="2"/>
      <c r="L35" s="6">
        <f t="shared" si="24"/>
        <v>-10796.19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79350.080000000002</v>
      </c>
      <c r="U35" s="2"/>
      <c r="V35" s="7">
        <f t="shared" si="27"/>
        <v>0.14884647009498289</v>
      </c>
      <c r="W35" s="2"/>
      <c r="X35" s="6">
        <f t="shared" si="28"/>
        <v>-79350.080000000002</v>
      </c>
      <c r="Y35" s="2"/>
      <c r="Z35" s="7">
        <f t="shared" si="29"/>
        <v>-1</v>
      </c>
    </row>
    <row r="36" spans="1:26" s="24" customFormat="1" hidden="1" outlineLevel="2" x14ac:dyDescent="0.25">
      <c r="A36" s="25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2"/>
        <v>0</v>
      </c>
      <c r="G36" s="2"/>
      <c r="H36" s="6"/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1845</v>
      </c>
      <c r="U36" s="2"/>
      <c r="V36" s="7">
        <f t="shared" si="27"/>
        <v>3.460887970437376E-3</v>
      </c>
      <c r="W36" s="2"/>
      <c r="X36" s="6">
        <f t="shared" si="28"/>
        <v>-1845</v>
      </c>
      <c r="Y36" s="2"/>
      <c r="Z36" s="7">
        <f t="shared" si="29"/>
        <v>-1</v>
      </c>
    </row>
    <row r="37" spans="1:26" s="26" customFormat="1" outlineLevel="1" collapsed="1" x14ac:dyDescent="0.25">
      <c r="A37" s="27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51" si="30">IF(D$12=0,0,D37/D$12)</f>
        <v>0</v>
      </c>
      <c r="G37" s="1"/>
      <c r="H37" s="1">
        <f>SUM(OSRRefH22_2x_0)</f>
        <v>44.96</v>
      </c>
      <c r="I37" s="1"/>
      <c r="J37" s="5">
        <f t="shared" ref="J37:J51" si="31">IF(H$12=0,0,H37/H$12)</f>
        <v>9.4682112598849203E-4</v>
      </c>
      <c r="K37" s="1"/>
      <c r="L37" s="1">
        <f t="shared" ref="L37:L51" si="32">+D37-H37</f>
        <v>-44.96</v>
      </c>
      <c r="M37" s="1"/>
      <c r="N37" s="5">
        <f t="shared" ref="N37:N51" si="33">IF(H37=0,0,L37/H37)</f>
        <v>-1</v>
      </c>
      <c r="O37" s="13"/>
      <c r="P37" s="1">
        <f>SUM(OSRRefP22_2x_0)</f>
        <v>0</v>
      </c>
      <c r="Q37" s="1"/>
      <c r="R37" s="5">
        <f t="shared" ref="R37:R51" si="34">IF(P$12=0,0,P37/P$12)</f>
        <v>0</v>
      </c>
      <c r="S37" s="1"/>
      <c r="T37" s="1">
        <f>SUM(OSRRefT22_2x_0)</f>
        <v>194.96</v>
      </c>
      <c r="U37" s="1"/>
      <c r="V37" s="5">
        <f t="shared" ref="V37:V51" si="35">IF(T$12=0,0,T37/T$12)</f>
        <v>3.6570987464307366E-4</v>
      </c>
      <c r="W37" s="1"/>
      <c r="X37" s="1">
        <f t="shared" ref="X37:X51" si="36">+P37-T37</f>
        <v>-194.96</v>
      </c>
      <c r="Y37" s="1"/>
      <c r="Z37" s="5">
        <f t="shared" ref="Z37:Z51" si="37">IF(T37=0,0,X37/T37)</f>
        <v>-1</v>
      </c>
    </row>
    <row r="38" spans="1:26" s="24" customFormat="1" hidden="1" outlineLevel="2" x14ac:dyDescent="0.25">
      <c r="A38" s="25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30"/>
        <v>0</v>
      </c>
      <c r="G38" s="2"/>
      <c r="H38" s="6">
        <v>44.96</v>
      </c>
      <c r="I38" s="2"/>
      <c r="J38" s="7">
        <f t="shared" si="31"/>
        <v>9.4682112598849203E-4</v>
      </c>
      <c r="K38" s="2"/>
      <c r="L38" s="6">
        <f t="shared" si="32"/>
        <v>-44.96</v>
      </c>
      <c r="M38" s="2"/>
      <c r="N38" s="7">
        <f t="shared" si="33"/>
        <v>-1</v>
      </c>
      <c r="O38" s="11"/>
      <c r="P38" s="6"/>
      <c r="Q38" s="2"/>
      <c r="R38" s="7">
        <f t="shared" si="34"/>
        <v>0</v>
      </c>
      <c r="S38" s="2"/>
      <c r="T38" s="6">
        <v>194.96</v>
      </c>
      <c r="U38" s="2"/>
      <c r="V38" s="7">
        <f t="shared" si="35"/>
        <v>3.6570987464307366E-4</v>
      </c>
      <c r="W38" s="2"/>
      <c r="X38" s="6">
        <f t="shared" si="36"/>
        <v>-194.96</v>
      </c>
      <c r="Y38" s="2"/>
      <c r="Z38" s="7">
        <f t="shared" si="37"/>
        <v>-1</v>
      </c>
    </row>
    <row r="39" spans="1:26" s="26" customFormat="1" outlineLevel="1" collapsed="1" x14ac:dyDescent="0.25">
      <c r="A39" s="27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8.16</v>
      </c>
      <c r="I39" s="1"/>
      <c r="J39" s="5">
        <f t="shared" si="31"/>
        <v>1.7184298016161242E-4</v>
      </c>
      <c r="K39" s="1"/>
      <c r="L39" s="1">
        <f t="shared" si="32"/>
        <v>-8.16</v>
      </c>
      <c r="M39" s="1"/>
      <c r="N39" s="5">
        <f t="shared" si="33"/>
        <v>-1</v>
      </c>
      <c r="O39" s="13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-13.74</v>
      </c>
      <c r="U39" s="1"/>
      <c r="V39" s="5">
        <f t="shared" si="35"/>
        <v>-2.5773767324558021E-5</v>
      </c>
      <c r="W39" s="1"/>
      <c r="X39" s="1">
        <f t="shared" si="36"/>
        <v>13.74</v>
      </c>
      <c r="Y39" s="1"/>
      <c r="Z39" s="5">
        <f t="shared" si="37"/>
        <v>-1</v>
      </c>
    </row>
    <row r="40" spans="1:26" s="24" customFormat="1" hidden="1" outlineLevel="2" x14ac:dyDescent="0.25">
      <c r="A40" s="25"/>
      <c r="B40" s="11" t="str">
        <f>CONCATENATE("          ", "6272", " - ", "CASH (OVER/SHORT)")</f>
        <v xml:space="preserve">          6272 - CASH (OVER/SHORT)</v>
      </c>
      <c r="C40" s="11"/>
      <c r="D40" s="6"/>
      <c r="E40" s="2"/>
      <c r="F40" s="7">
        <f t="shared" si="30"/>
        <v>0</v>
      </c>
      <c r="G40" s="2"/>
      <c r="H40" s="6">
        <v>8.16</v>
      </c>
      <c r="I40" s="2"/>
      <c r="J40" s="7">
        <f t="shared" si="31"/>
        <v>1.7184298016161242E-4</v>
      </c>
      <c r="K40" s="2"/>
      <c r="L40" s="6">
        <f t="shared" si="32"/>
        <v>-8.16</v>
      </c>
      <c r="M40" s="2"/>
      <c r="N40" s="7">
        <f t="shared" si="33"/>
        <v>-1</v>
      </c>
      <c r="O40" s="11"/>
      <c r="P40" s="6"/>
      <c r="Q40" s="2"/>
      <c r="R40" s="7">
        <f t="shared" si="34"/>
        <v>0</v>
      </c>
      <c r="S40" s="2"/>
      <c r="T40" s="6">
        <v>-13.74</v>
      </c>
      <c r="U40" s="2"/>
      <c r="V40" s="7">
        <f t="shared" si="35"/>
        <v>-2.5773767324558021E-5</v>
      </c>
      <c r="W40" s="2"/>
      <c r="X40" s="6">
        <f t="shared" si="36"/>
        <v>13.74</v>
      </c>
      <c r="Y40" s="2"/>
      <c r="Z40" s="7">
        <f t="shared" si="37"/>
        <v>-1</v>
      </c>
    </row>
    <row r="41" spans="1:26" s="26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1924.78</v>
      </c>
      <c r="I41" s="1"/>
      <c r="J41" s="5">
        <f t="shared" si="31"/>
        <v>4.0534305313170142E-2</v>
      </c>
      <c r="K41" s="1"/>
      <c r="L41" s="1">
        <f t="shared" si="32"/>
        <v>-1924.78</v>
      </c>
      <c r="M41" s="1"/>
      <c r="N41" s="5">
        <f t="shared" si="33"/>
        <v>-1</v>
      </c>
      <c r="O41" s="13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18708.34</v>
      </c>
      <c r="U41" s="1"/>
      <c r="V41" s="5">
        <f t="shared" si="35"/>
        <v>3.5093479053036523E-2</v>
      </c>
      <c r="W41" s="1"/>
      <c r="X41" s="1">
        <f t="shared" si="36"/>
        <v>-18708.34</v>
      </c>
      <c r="Y41" s="1"/>
      <c r="Z41" s="5">
        <f t="shared" si="37"/>
        <v>-1</v>
      </c>
    </row>
    <row r="42" spans="1:26" s="24" customFormat="1" hidden="1" outlineLevel="2" x14ac:dyDescent="0.25">
      <c r="A42" s="25"/>
      <c r="B42" s="11" t="str">
        <f>CONCATENATE("          ", "6381", " - ", "BANK/CREDIT CARD FEES")</f>
        <v xml:space="preserve">          6381 - BANK/CREDIT CARD FEES</v>
      </c>
      <c r="C42" s="11"/>
      <c r="D42" s="6"/>
      <c r="E42" s="2"/>
      <c r="F42" s="7">
        <f t="shared" si="30"/>
        <v>0</v>
      </c>
      <c r="G42" s="2"/>
      <c r="H42" s="6">
        <v>1924.78</v>
      </c>
      <c r="I42" s="2"/>
      <c r="J42" s="7">
        <f t="shared" si="31"/>
        <v>4.0534305313170142E-2</v>
      </c>
      <c r="K42" s="2"/>
      <c r="L42" s="6">
        <f t="shared" si="32"/>
        <v>-1924.78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18708.34</v>
      </c>
      <c r="U42" s="2"/>
      <c r="V42" s="7">
        <f t="shared" si="35"/>
        <v>3.5093479053036523E-2</v>
      </c>
      <c r="W42" s="2"/>
      <c r="X42" s="6">
        <f t="shared" si="36"/>
        <v>-18708.34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2017.34</v>
      </c>
      <c r="E43" s="1"/>
      <c r="F43" s="5">
        <f t="shared" si="30"/>
        <v>0</v>
      </c>
      <c r="G43" s="1"/>
      <c r="H43" s="1">
        <f>SUM(OSRRefH22_5x_0)</f>
        <v>1857.58</v>
      </c>
      <c r="I43" s="1"/>
      <c r="J43" s="5">
        <f t="shared" si="31"/>
        <v>3.9119127829486275E-2</v>
      </c>
      <c r="K43" s="1"/>
      <c r="L43" s="1">
        <f t="shared" si="32"/>
        <v>159.76</v>
      </c>
      <c r="M43" s="1"/>
      <c r="N43" s="5">
        <f t="shared" si="33"/>
        <v>8.6004371278760539E-2</v>
      </c>
      <c r="O43" s="13"/>
      <c r="P43" s="1">
        <f>SUM(OSRRefP22_5x_0)</f>
        <v>14121.38</v>
      </c>
      <c r="Q43" s="1"/>
      <c r="R43" s="5">
        <f t="shared" si="34"/>
        <v>0</v>
      </c>
      <c r="S43" s="1"/>
      <c r="T43" s="1">
        <f>SUM(OSRRefT22_5x_0)</f>
        <v>13003.06</v>
      </c>
      <c r="U43" s="1"/>
      <c r="V43" s="5">
        <f t="shared" si="35"/>
        <v>2.4391400505623537E-2</v>
      </c>
      <c r="W43" s="1"/>
      <c r="X43" s="1">
        <f t="shared" si="36"/>
        <v>1118.3199999999997</v>
      </c>
      <c r="Y43" s="1"/>
      <c r="Z43" s="5">
        <f t="shared" si="37"/>
        <v>8.6004371278760525E-2</v>
      </c>
    </row>
    <row r="44" spans="1:26" s="24" customFormat="1" hidden="1" outlineLevel="2" x14ac:dyDescent="0.25">
      <c r="A44" s="25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2017.34</v>
      </c>
      <c r="E44" s="2"/>
      <c r="F44" s="7">
        <f t="shared" si="30"/>
        <v>0</v>
      </c>
      <c r="G44" s="2"/>
      <c r="H44" s="6">
        <v>1857.58</v>
      </c>
      <c r="I44" s="2"/>
      <c r="J44" s="7">
        <f t="shared" si="31"/>
        <v>3.9119127829486275E-2</v>
      </c>
      <c r="K44" s="2"/>
      <c r="L44" s="6">
        <f t="shared" si="32"/>
        <v>159.76</v>
      </c>
      <c r="M44" s="2"/>
      <c r="N44" s="7">
        <f t="shared" si="33"/>
        <v>8.6004371278760539E-2</v>
      </c>
      <c r="O44" s="11"/>
      <c r="P44" s="6">
        <v>14121.38</v>
      </c>
      <c r="Q44" s="2"/>
      <c r="R44" s="7">
        <f t="shared" si="34"/>
        <v>0</v>
      </c>
      <c r="S44" s="2"/>
      <c r="T44" s="6">
        <v>13003.06</v>
      </c>
      <c r="U44" s="2"/>
      <c r="V44" s="7">
        <f t="shared" si="35"/>
        <v>2.4391400505623537E-2</v>
      </c>
      <c r="W44" s="2"/>
      <c r="X44" s="6">
        <f t="shared" si="36"/>
        <v>1118.3199999999997</v>
      </c>
      <c r="Y44" s="2"/>
      <c r="Z44" s="7">
        <f t="shared" si="37"/>
        <v>8.6004371278760525E-2</v>
      </c>
    </row>
    <row r="45" spans="1:26" s="26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si="30"/>
        <v>0</v>
      </c>
      <c r="G45" s="1"/>
      <c r="H45" s="1">
        <f>SUM(OSRRefH22_6x_0)</f>
        <v>24</v>
      </c>
      <c r="I45" s="1"/>
      <c r="J45" s="5">
        <f t="shared" si="31"/>
        <v>5.0542052988709538E-4</v>
      </c>
      <c r="K45" s="1"/>
      <c r="L45" s="1">
        <f t="shared" si="32"/>
        <v>-24</v>
      </c>
      <c r="M45" s="1"/>
      <c r="N45" s="5">
        <f t="shared" si="33"/>
        <v>-1</v>
      </c>
      <c r="O45" s="13"/>
      <c r="P45" s="1">
        <f>SUM(OSRRefP22_6x_0)</f>
        <v>0</v>
      </c>
      <c r="Q45" s="1"/>
      <c r="R45" s="5">
        <f t="shared" si="34"/>
        <v>0</v>
      </c>
      <c r="S45" s="1"/>
      <c r="T45" s="1">
        <f>SUM(OSRRefT22_6x_0)</f>
        <v>1217.53</v>
      </c>
      <c r="U45" s="1"/>
      <c r="V45" s="5">
        <f t="shared" si="35"/>
        <v>2.2838671710821781E-3</v>
      </c>
      <c r="W45" s="1"/>
      <c r="X45" s="1">
        <f t="shared" si="36"/>
        <v>-1217.53</v>
      </c>
      <c r="Y45" s="1"/>
      <c r="Z45" s="5">
        <f t="shared" si="37"/>
        <v>-1</v>
      </c>
    </row>
    <row r="46" spans="1:26" s="24" customFormat="1" hidden="1" outlineLevel="2" x14ac:dyDescent="0.25">
      <c r="A46" s="25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30"/>
        <v>0</v>
      </c>
      <c r="G46" s="2"/>
      <c r="H46" s="6">
        <v>24</v>
      </c>
      <c r="I46" s="2"/>
      <c r="J46" s="7">
        <f t="shared" si="31"/>
        <v>5.0542052988709538E-4</v>
      </c>
      <c r="K46" s="2"/>
      <c r="L46" s="6">
        <f t="shared" si="32"/>
        <v>-24</v>
      </c>
      <c r="M46" s="2"/>
      <c r="N46" s="7">
        <f t="shared" si="33"/>
        <v>-1</v>
      </c>
      <c r="O46" s="11"/>
      <c r="P46" s="6"/>
      <c r="Q46" s="2"/>
      <c r="R46" s="7">
        <f t="shared" si="34"/>
        <v>0</v>
      </c>
      <c r="S46" s="2"/>
      <c r="T46" s="6">
        <v>1217.53</v>
      </c>
      <c r="U46" s="2"/>
      <c r="V46" s="7">
        <f t="shared" si="35"/>
        <v>2.2838671710821781E-3</v>
      </c>
      <c r="W46" s="2"/>
      <c r="X46" s="6">
        <f t="shared" si="36"/>
        <v>-1217.53</v>
      </c>
      <c r="Y46" s="2"/>
      <c r="Z46" s="7">
        <f t="shared" si="37"/>
        <v>-1</v>
      </c>
    </row>
    <row r="47" spans="1:26" s="26" customFormat="1" outlineLevel="1" collapsed="1" x14ac:dyDescent="0.25">
      <c r="A47" s="27"/>
      <c r="B47" s="13" t="str">
        <f>CONCATENATE("     ","Rent                                              ")</f>
        <v xml:space="preserve">     Rent                                              </v>
      </c>
      <c r="C47" s="13"/>
      <c r="D47" s="1">
        <f>SUM(OSRRefD22_7x_0)</f>
        <v>0</v>
      </c>
      <c r="E47" s="1"/>
      <c r="F47" s="5">
        <f t="shared" si="30"/>
        <v>0</v>
      </c>
      <c r="G47" s="1"/>
      <c r="H47" s="1">
        <f>SUM(OSRRefH22_7x_0)</f>
        <v>1150</v>
      </c>
      <c r="I47" s="1"/>
      <c r="J47" s="5">
        <f t="shared" si="31"/>
        <v>2.4218067057089988E-2</v>
      </c>
      <c r="K47" s="1"/>
      <c r="L47" s="1">
        <f t="shared" si="32"/>
        <v>-1150</v>
      </c>
      <c r="M47" s="1"/>
      <c r="N47" s="5">
        <f t="shared" si="33"/>
        <v>-1</v>
      </c>
      <c r="O47" s="13"/>
      <c r="P47" s="1">
        <f>SUM(OSRRefP22_7x_0)</f>
        <v>0</v>
      </c>
      <c r="Q47" s="1"/>
      <c r="R47" s="5">
        <f t="shared" si="34"/>
        <v>0</v>
      </c>
      <c r="S47" s="1"/>
      <c r="T47" s="1">
        <f>SUM(OSRRefT22_7x_0)</f>
        <v>8050</v>
      </c>
      <c r="U47" s="1"/>
      <c r="V47" s="5">
        <f t="shared" si="35"/>
        <v>1.5100351307328388E-2</v>
      </c>
      <c r="W47" s="1"/>
      <c r="X47" s="1">
        <f t="shared" si="36"/>
        <v>-8050</v>
      </c>
      <c r="Y47" s="1"/>
      <c r="Z47" s="5">
        <f t="shared" si="37"/>
        <v>-1</v>
      </c>
    </row>
    <row r="48" spans="1:26" s="24" customFormat="1" hidden="1" outlineLevel="2" x14ac:dyDescent="0.25">
      <c r="A48" s="25"/>
      <c r="B48" s="11" t="str">
        <f>CONCATENATE("          ", "6273", " - ", "RENT")</f>
        <v xml:space="preserve">          6273 - RENT</v>
      </c>
      <c r="C48" s="11"/>
      <c r="D48" s="6"/>
      <c r="E48" s="2"/>
      <c r="F48" s="7">
        <f t="shared" si="30"/>
        <v>0</v>
      </c>
      <c r="G48" s="2"/>
      <c r="H48" s="6">
        <v>1150</v>
      </c>
      <c r="I48" s="2"/>
      <c r="J48" s="7">
        <f t="shared" si="31"/>
        <v>2.4218067057089988E-2</v>
      </c>
      <c r="K48" s="2"/>
      <c r="L48" s="6">
        <f t="shared" si="32"/>
        <v>-1150</v>
      </c>
      <c r="M48" s="2"/>
      <c r="N48" s="7">
        <f t="shared" si="33"/>
        <v>-1</v>
      </c>
      <c r="O48" s="11"/>
      <c r="P48" s="6"/>
      <c r="Q48" s="2"/>
      <c r="R48" s="7">
        <f t="shared" si="34"/>
        <v>0</v>
      </c>
      <c r="S48" s="2"/>
      <c r="T48" s="6">
        <v>8050</v>
      </c>
      <c r="U48" s="2"/>
      <c r="V48" s="7">
        <f t="shared" si="35"/>
        <v>1.5100351307328388E-2</v>
      </c>
      <c r="W48" s="2"/>
      <c r="X48" s="6">
        <f t="shared" si="36"/>
        <v>-8050</v>
      </c>
      <c r="Y48" s="2"/>
      <c r="Z48" s="7">
        <f t="shared" si="37"/>
        <v>-1</v>
      </c>
    </row>
    <row r="49" spans="1:26" s="26" customFormat="1" outlineLevel="1" collapsed="1" x14ac:dyDescent="0.25">
      <c r="A49" s="27"/>
      <c r="B49" s="13" t="str">
        <f>CONCATENATE("     ","Repair and Maintenance                            ")</f>
        <v xml:space="preserve">     Repair and Maintenance                            </v>
      </c>
      <c r="C49" s="13"/>
      <c r="D49" s="1">
        <f>SUM(OSRRefD22_8x_0)</f>
        <v>0</v>
      </c>
      <c r="E49" s="1"/>
      <c r="F49" s="5">
        <f t="shared" si="30"/>
        <v>0</v>
      </c>
      <c r="G49" s="1"/>
      <c r="H49" s="1">
        <f>SUM(OSRRefH22_8x_0)</f>
        <v>312</v>
      </c>
      <c r="I49" s="1"/>
      <c r="J49" s="5">
        <f t="shared" si="31"/>
        <v>6.5704668885322396E-3</v>
      </c>
      <c r="K49" s="1"/>
      <c r="L49" s="1">
        <f t="shared" si="32"/>
        <v>-312</v>
      </c>
      <c r="M49" s="1"/>
      <c r="N49" s="5">
        <f t="shared" si="33"/>
        <v>-1</v>
      </c>
      <c r="O49" s="13"/>
      <c r="P49" s="1">
        <f>SUM(OSRRefP22_8x_0)</f>
        <v>223.3</v>
      </c>
      <c r="Q49" s="1"/>
      <c r="R49" s="5">
        <f t="shared" si="34"/>
        <v>0</v>
      </c>
      <c r="S49" s="1"/>
      <c r="T49" s="1">
        <f>SUM(OSRRefT22_8x_0)</f>
        <v>5873.64</v>
      </c>
      <c r="U49" s="1"/>
      <c r="V49" s="5">
        <f t="shared" si="35"/>
        <v>1.1017891609040537E-2</v>
      </c>
      <c r="W49" s="1"/>
      <c r="X49" s="1">
        <f t="shared" si="36"/>
        <v>-5650.34</v>
      </c>
      <c r="Y49" s="1"/>
      <c r="Z49" s="5">
        <f t="shared" si="37"/>
        <v>-0.96198268875858917</v>
      </c>
    </row>
    <row r="50" spans="1:26" s="24" customFormat="1" hidden="1" outlineLevel="2" x14ac:dyDescent="0.25">
      <c r="A50" s="25"/>
      <c r="B50" s="11" t="str">
        <f>CONCATENATE("          ", "6373", " - ", "MAINTENANCE CONTRACTS")</f>
        <v xml:space="preserve">          6373 - MAINTENANCE CONTRACTS</v>
      </c>
      <c r="C50" s="11"/>
      <c r="D50" s="6"/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0</v>
      </c>
      <c r="M50" s="2"/>
      <c r="N50" s="7">
        <f t="shared" si="33"/>
        <v>0</v>
      </c>
      <c r="O50" s="11"/>
      <c r="P50" s="6">
        <v>223.3</v>
      </c>
      <c r="Q50" s="2"/>
      <c r="R50" s="7">
        <f t="shared" si="34"/>
        <v>0</v>
      </c>
      <c r="S50" s="2"/>
      <c r="T50" s="6">
        <v>139.83000000000001</v>
      </c>
      <c r="U50" s="2"/>
      <c r="V50" s="7">
        <f t="shared" si="35"/>
        <v>2.6229591593835138E-4</v>
      </c>
      <c r="W50" s="2"/>
      <c r="X50" s="6">
        <f t="shared" si="36"/>
        <v>83.47</v>
      </c>
      <c r="Y50" s="2"/>
      <c r="Z50" s="7">
        <f t="shared" si="37"/>
        <v>0.59693914038475282</v>
      </c>
    </row>
    <row r="51" spans="1:26" s="24" customFormat="1" hidden="1" outlineLevel="2" x14ac:dyDescent="0.25">
      <c r="A51" s="25"/>
      <c r="B51" s="11" t="str">
        <f>CONCATENATE("          ", "6375", " - ", "OUTSIDE REPAIRS &amp; MAINTENANCE")</f>
        <v xml:space="preserve">          6375 - OUTSIDE REPAIRS &amp; MAINTENANCE</v>
      </c>
      <c r="C51" s="11"/>
      <c r="D51" s="6"/>
      <c r="E51" s="2"/>
      <c r="F51" s="7">
        <f t="shared" si="30"/>
        <v>0</v>
      </c>
      <c r="G51" s="2"/>
      <c r="H51" s="6">
        <v>312</v>
      </c>
      <c r="I51" s="2"/>
      <c r="J51" s="7">
        <f t="shared" si="31"/>
        <v>6.5704668885322396E-3</v>
      </c>
      <c r="K51" s="2"/>
      <c r="L51" s="6">
        <f t="shared" si="32"/>
        <v>-312</v>
      </c>
      <c r="M51" s="2"/>
      <c r="N51" s="7">
        <f t="shared" si="33"/>
        <v>-1</v>
      </c>
      <c r="O51" s="11"/>
      <c r="P51" s="6"/>
      <c r="Q51" s="2"/>
      <c r="R51" s="7">
        <f t="shared" si="34"/>
        <v>0</v>
      </c>
      <c r="S51" s="2"/>
      <c r="T51" s="6">
        <v>5733.81</v>
      </c>
      <c r="U51" s="2"/>
      <c r="V51" s="7">
        <f t="shared" si="35"/>
        <v>1.0755595693102185E-2</v>
      </c>
      <c r="W51" s="2"/>
      <c r="X51" s="6">
        <f t="shared" si="36"/>
        <v>-5733.81</v>
      </c>
      <c r="Y51" s="2"/>
      <c r="Z51" s="7">
        <f t="shared" si="37"/>
        <v>-1</v>
      </c>
    </row>
    <row r="52" spans="1:26" s="26" customFormat="1" outlineLevel="1" collapsed="1" x14ac:dyDescent="0.25">
      <c r="A52" s="27"/>
      <c r="B52" s="13" t="str">
        <f>CONCATENATE("     ","Services                                          ")</f>
        <v xml:space="preserve">     Services                                          </v>
      </c>
      <c r="C52" s="13"/>
      <c r="D52" s="1">
        <f>SUM(OSRRefD22_9x_0)</f>
        <v>0</v>
      </c>
      <c r="E52" s="1"/>
      <c r="F52" s="5">
        <f t="shared" ref="F52:F55" si="38">IF(D$12=0,0,D52/D$12)</f>
        <v>0</v>
      </c>
      <c r="G52" s="1"/>
      <c r="H52" s="1">
        <f>SUM(OSRRefH22_9x_0)</f>
        <v>585.79999999999995</v>
      </c>
      <c r="I52" s="1"/>
      <c r="J52" s="5">
        <f t="shared" ref="J52:J55" si="39">IF(H$12=0,0,H52/H$12)</f>
        <v>1.2336472766994186E-2</v>
      </c>
      <c r="K52" s="1"/>
      <c r="L52" s="1">
        <f t="shared" ref="L52:L55" si="40">+D52-H52</f>
        <v>-585.79999999999995</v>
      </c>
      <c r="M52" s="1"/>
      <c r="N52" s="5">
        <f t="shared" ref="N52:N55" si="41">IF(H52=0,0,L52/H52)</f>
        <v>-1</v>
      </c>
      <c r="O52" s="13"/>
      <c r="P52" s="1">
        <f>SUM(OSRRefP22_9x_0)</f>
        <v>-1053.52</v>
      </c>
      <c r="Q52" s="1"/>
      <c r="R52" s="5">
        <f t="shared" ref="R52:R55" si="42">IF(P$12=0,0,P52/P$12)</f>
        <v>0</v>
      </c>
      <c r="S52" s="1"/>
      <c r="T52" s="1">
        <f>SUM(OSRRefT22_9x_0)</f>
        <v>3513.66</v>
      </c>
      <c r="U52" s="1"/>
      <c r="V52" s="5">
        <f t="shared" ref="V52:V55" si="43">IF(T$12=0,0,T52/T$12)</f>
        <v>6.5909938353425424E-3</v>
      </c>
      <c r="W52" s="1"/>
      <c r="X52" s="1">
        <f t="shared" ref="X52:X55" si="44">+P52-T52</f>
        <v>-4567.18</v>
      </c>
      <c r="Y52" s="1"/>
      <c r="Z52" s="5">
        <f t="shared" ref="Z52:Z55" si="45">IF(T52=0,0,X52/T52)</f>
        <v>-1.2998354991661119</v>
      </c>
    </row>
    <row r="53" spans="1:26" s="24" customFormat="1" hidden="1" outlineLevel="2" x14ac:dyDescent="0.25">
      <c r="A53" s="25"/>
      <c r="B53" s="11" t="str">
        <f>CONCATENATE("          ", "6282", " - ", "JANITORIAL/EXTERMINATOR EXPENS")</f>
        <v xml:space="preserve">          6282 - JANITORIAL/EXTERMINATOR EXPENS</v>
      </c>
      <c r="C53" s="11"/>
      <c r="D53" s="6"/>
      <c r="E53" s="2"/>
      <c r="F53" s="7">
        <f t="shared" si="38"/>
        <v>0</v>
      </c>
      <c r="G53" s="2"/>
      <c r="H53" s="6">
        <v>116.81</v>
      </c>
      <c r="I53" s="2"/>
      <c r="J53" s="7">
        <f t="shared" si="39"/>
        <v>2.4599238373379838E-3</v>
      </c>
      <c r="K53" s="2"/>
      <c r="L53" s="6">
        <f t="shared" si="40"/>
        <v>-116.81</v>
      </c>
      <c r="M53" s="2"/>
      <c r="N53" s="7">
        <f t="shared" si="41"/>
        <v>-1</v>
      </c>
      <c r="O53" s="11"/>
      <c r="P53" s="6">
        <v>-567.28</v>
      </c>
      <c r="Q53" s="2"/>
      <c r="R53" s="7">
        <f t="shared" si="42"/>
        <v>0</v>
      </c>
      <c r="S53" s="2"/>
      <c r="T53" s="6">
        <v>934.48</v>
      </c>
      <c r="U53" s="2"/>
      <c r="V53" s="7">
        <f t="shared" si="43"/>
        <v>1.7529163092760537E-3</v>
      </c>
      <c r="W53" s="2"/>
      <c r="X53" s="6">
        <f t="shared" si="44"/>
        <v>-1501.76</v>
      </c>
      <c r="Y53" s="2"/>
      <c r="Z53" s="7">
        <f t="shared" si="45"/>
        <v>-1.6070541905658762</v>
      </c>
    </row>
    <row r="54" spans="1:26" s="24" customFormat="1" hidden="1" outlineLevel="2" x14ac:dyDescent="0.25">
      <c r="A54" s="25"/>
      <c r="B54" s="11" t="str">
        <f>CONCATENATE("          ", "6285", " - ", "JANITORIAL SERVICES")</f>
        <v xml:space="preserve">          6285 - JANITORIAL SERVICES</v>
      </c>
      <c r="C54" s="11"/>
      <c r="D54" s="6"/>
      <c r="E54" s="2"/>
      <c r="F54" s="7">
        <f t="shared" si="38"/>
        <v>0</v>
      </c>
      <c r="G54" s="2"/>
      <c r="H54" s="6">
        <v>81.040000000000006</v>
      </c>
      <c r="I54" s="2"/>
      <c r="J54" s="7">
        <f t="shared" si="39"/>
        <v>1.7066366559187589E-3</v>
      </c>
      <c r="K54" s="2"/>
      <c r="L54" s="6">
        <f t="shared" si="40"/>
        <v>-81.040000000000006</v>
      </c>
      <c r="M54" s="2"/>
      <c r="N54" s="7">
        <f t="shared" si="41"/>
        <v>-1</v>
      </c>
      <c r="O54" s="11"/>
      <c r="P54" s="6">
        <v>-486.24</v>
      </c>
      <c r="Q54" s="2"/>
      <c r="R54" s="7">
        <f t="shared" si="42"/>
        <v>0</v>
      </c>
      <c r="S54" s="2"/>
      <c r="T54" s="6">
        <v>435.12</v>
      </c>
      <c r="U54" s="2"/>
      <c r="V54" s="7">
        <f t="shared" si="43"/>
        <v>8.1620681501176748E-4</v>
      </c>
      <c r="W54" s="2"/>
      <c r="X54" s="6">
        <f t="shared" si="44"/>
        <v>-921.36</v>
      </c>
      <c r="Y54" s="2"/>
      <c r="Z54" s="7">
        <f t="shared" si="45"/>
        <v>-2.1174848317705459</v>
      </c>
    </row>
    <row r="55" spans="1:26" s="24" customFormat="1" hidden="1" outlineLevel="2" x14ac:dyDescent="0.25">
      <c r="A55" s="25"/>
      <c r="B55" s="11" t="str">
        <f>CONCATENATE("          ", "6286", " - ", "LAUNDRY EXPENSE")</f>
        <v xml:space="preserve">          6286 - LAUNDRY EXPENSE</v>
      </c>
      <c r="C55" s="11"/>
      <c r="D55" s="6"/>
      <c r="E55" s="2"/>
      <c r="F55" s="7">
        <f t="shared" si="38"/>
        <v>0</v>
      </c>
      <c r="G55" s="2"/>
      <c r="H55" s="6">
        <v>387.95</v>
      </c>
      <c r="I55" s="2"/>
      <c r="J55" s="7">
        <f t="shared" si="39"/>
        <v>8.1699122737374438E-3</v>
      </c>
      <c r="K55" s="2"/>
      <c r="L55" s="6">
        <f t="shared" si="40"/>
        <v>-387.95</v>
      </c>
      <c r="M55" s="2"/>
      <c r="N55" s="7">
        <f t="shared" si="41"/>
        <v>-1</v>
      </c>
      <c r="O55" s="11"/>
      <c r="P55" s="6"/>
      <c r="Q55" s="2"/>
      <c r="R55" s="7">
        <f t="shared" si="42"/>
        <v>0</v>
      </c>
      <c r="S55" s="2"/>
      <c r="T55" s="6">
        <v>2144.06</v>
      </c>
      <c r="U55" s="2"/>
      <c r="V55" s="7">
        <f t="shared" si="43"/>
        <v>4.0218707110547206E-3</v>
      </c>
      <c r="W55" s="2"/>
      <c r="X55" s="6">
        <f t="shared" si="44"/>
        <v>-2144.06</v>
      </c>
      <c r="Y55" s="2"/>
      <c r="Z55" s="7">
        <f t="shared" si="45"/>
        <v>-1</v>
      </c>
    </row>
    <row r="56" spans="1:26" s="26" customFormat="1" outlineLevel="1" collapsed="1" x14ac:dyDescent="0.25">
      <c r="A56" s="27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SUM(OSRRefD22_10x_0)</f>
        <v>0</v>
      </c>
      <c r="E56" s="1"/>
      <c r="F56" s="5">
        <f t="shared" ref="F56:F62" si="46">IF(D$12=0,0,D56/D$12)</f>
        <v>0</v>
      </c>
      <c r="G56" s="1"/>
      <c r="H56" s="1">
        <f>SUM(OSRRefH22_10x_0)</f>
        <v>556.02</v>
      </c>
      <c r="I56" s="1"/>
      <c r="J56" s="5">
        <f t="shared" ref="J56:J62" si="47">IF(H$12=0,0,H56/H$12)</f>
        <v>1.1709330126159281E-2</v>
      </c>
      <c r="K56" s="1"/>
      <c r="L56" s="1">
        <f t="shared" ref="L56:L62" si="48">+D56-H56</f>
        <v>-556.02</v>
      </c>
      <c r="M56" s="1"/>
      <c r="N56" s="5">
        <f t="shared" ref="N56:N62" si="49">IF(H56=0,0,L56/H56)</f>
        <v>-1</v>
      </c>
      <c r="O56" s="13"/>
      <c r="P56" s="1">
        <f>SUM(OSRRefP22_10x_0)</f>
        <v>131.30000000000001</v>
      </c>
      <c r="Q56" s="1"/>
      <c r="R56" s="5">
        <f t="shared" ref="R56:R62" si="50">IF(P$12=0,0,P56/P$12)</f>
        <v>0</v>
      </c>
      <c r="S56" s="1"/>
      <c r="T56" s="1">
        <f>SUM(OSRRefT22_10x_0)</f>
        <v>12624.66</v>
      </c>
      <c r="U56" s="1"/>
      <c r="V56" s="5">
        <f t="shared" ref="V56:V62" si="51">IF(T$12=0,0,T56/T$12)</f>
        <v>2.3681590203177193E-2</v>
      </c>
      <c r="W56" s="1"/>
      <c r="X56" s="1">
        <f t="shared" ref="X56:X62" si="52">+P56-T56</f>
        <v>-12493.36</v>
      </c>
      <c r="Y56" s="1"/>
      <c r="Z56" s="5">
        <f t="shared" ref="Z56:Z62" si="53">IF(T56=0,0,X56/T56)</f>
        <v>-0.98959971991324924</v>
      </c>
    </row>
    <row r="57" spans="1:26" s="24" customFormat="1" hidden="1" outlineLevel="2" x14ac:dyDescent="0.25">
      <c r="A57" s="25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46"/>
        <v>0</v>
      </c>
      <c r="G57" s="2"/>
      <c r="H57" s="6"/>
      <c r="I57" s="2"/>
      <c r="J57" s="7">
        <f t="shared" si="47"/>
        <v>0</v>
      </c>
      <c r="K57" s="2"/>
      <c r="L57" s="6">
        <f t="shared" si="48"/>
        <v>0</v>
      </c>
      <c r="M57" s="2"/>
      <c r="N57" s="7">
        <f t="shared" si="49"/>
        <v>0</v>
      </c>
      <c r="O57" s="11"/>
      <c r="P57" s="6"/>
      <c r="Q57" s="2"/>
      <c r="R57" s="7">
        <f t="shared" si="50"/>
        <v>0</v>
      </c>
      <c r="S57" s="2"/>
      <c r="T57" s="6">
        <v>354.71</v>
      </c>
      <c r="U57" s="2"/>
      <c r="V57" s="7">
        <f t="shared" si="51"/>
        <v>6.653721257419196E-4</v>
      </c>
      <c r="W57" s="2"/>
      <c r="X57" s="6">
        <f t="shared" si="52"/>
        <v>-354.71</v>
      </c>
      <c r="Y57" s="2"/>
      <c r="Z57" s="7">
        <f t="shared" si="53"/>
        <v>-1</v>
      </c>
    </row>
    <row r="58" spans="1:26" s="24" customFormat="1" hidden="1" outlineLevel="2" x14ac:dyDescent="0.25">
      <c r="A58" s="25"/>
      <c r="B58" s="11" t="str">
        <f>CONCATENATE("          ", "6237", " - ", "JANITORIAL SUPPLIES")</f>
        <v xml:space="preserve">          6237 - JANITORIAL SUPPLIES</v>
      </c>
      <c r="C58" s="11"/>
      <c r="D58" s="6"/>
      <c r="E58" s="2"/>
      <c r="F58" s="7">
        <f t="shared" si="46"/>
        <v>0</v>
      </c>
      <c r="G58" s="2"/>
      <c r="H58" s="6">
        <v>35.270000000000003</v>
      </c>
      <c r="I58" s="2"/>
      <c r="J58" s="7">
        <f t="shared" si="47"/>
        <v>7.4275758704657729E-4</v>
      </c>
      <c r="K58" s="2"/>
      <c r="L58" s="6">
        <f t="shared" si="48"/>
        <v>-35.270000000000003</v>
      </c>
      <c r="M58" s="2"/>
      <c r="N58" s="7">
        <f t="shared" si="49"/>
        <v>-1</v>
      </c>
      <c r="O58" s="11"/>
      <c r="P58" s="6"/>
      <c r="Q58" s="2"/>
      <c r="R58" s="7">
        <f t="shared" si="50"/>
        <v>0</v>
      </c>
      <c r="S58" s="2"/>
      <c r="T58" s="6">
        <v>1277.05</v>
      </c>
      <c r="U58" s="2"/>
      <c r="V58" s="7">
        <f t="shared" si="51"/>
        <v>2.3955159797544993E-3</v>
      </c>
      <c r="W58" s="2"/>
      <c r="X58" s="6">
        <f t="shared" si="52"/>
        <v>-1277.05</v>
      </c>
      <c r="Y58" s="2"/>
      <c r="Z58" s="7">
        <f t="shared" si="53"/>
        <v>-1</v>
      </c>
    </row>
    <row r="59" spans="1:26" s="24" customFormat="1" hidden="1" outlineLevel="2" x14ac:dyDescent="0.25">
      <c r="A59" s="25"/>
      <c r="B59" s="11" t="str">
        <f>CONCATENATE("          ", "6239", " - ", "KITCHEN SUPPLIES")</f>
        <v xml:space="preserve">          6239 - KITCHEN SUPPLIES</v>
      </c>
      <c r="C59" s="11"/>
      <c r="D59" s="6"/>
      <c r="E59" s="2"/>
      <c r="F59" s="7">
        <f t="shared" si="46"/>
        <v>0</v>
      </c>
      <c r="G59" s="2"/>
      <c r="H59" s="6">
        <v>63.92</v>
      </c>
      <c r="I59" s="2"/>
      <c r="J59" s="7">
        <f t="shared" si="47"/>
        <v>1.3461033445992974E-3</v>
      </c>
      <c r="K59" s="2"/>
      <c r="L59" s="6">
        <f t="shared" si="48"/>
        <v>-63.92</v>
      </c>
      <c r="M59" s="2"/>
      <c r="N59" s="7">
        <f t="shared" si="49"/>
        <v>-1</v>
      </c>
      <c r="O59" s="11"/>
      <c r="P59" s="6"/>
      <c r="Q59" s="2"/>
      <c r="R59" s="7">
        <f t="shared" si="50"/>
        <v>0</v>
      </c>
      <c r="S59" s="2"/>
      <c r="T59" s="6">
        <v>63.92</v>
      </c>
      <c r="U59" s="2"/>
      <c r="V59" s="7">
        <f t="shared" si="51"/>
        <v>1.1990241684030195E-4</v>
      </c>
      <c r="W59" s="2"/>
      <c r="X59" s="6">
        <f t="shared" si="52"/>
        <v>-63.92</v>
      </c>
      <c r="Y59" s="2"/>
      <c r="Z59" s="7">
        <f t="shared" si="53"/>
        <v>-1</v>
      </c>
    </row>
    <row r="60" spans="1:26" s="24" customFormat="1" hidden="1" outlineLevel="2" x14ac:dyDescent="0.25">
      <c r="A60" s="25"/>
      <c r="B60" s="11" t="str">
        <f>CONCATENATE("          ", "6241", " - ", "OFFICE EXPENSE")</f>
        <v xml:space="preserve">          6241 - OFFICE EXPENSE</v>
      </c>
      <c r="C60" s="11"/>
      <c r="D60" s="6"/>
      <c r="E60" s="2"/>
      <c r="F60" s="7">
        <f t="shared" si="46"/>
        <v>0</v>
      </c>
      <c r="G60" s="2"/>
      <c r="H60" s="6">
        <v>245.34</v>
      </c>
      <c r="I60" s="2"/>
      <c r="J60" s="7">
        <f t="shared" si="47"/>
        <v>5.1666613667708328E-3</v>
      </c>
      <c r="K60" s="2"/>
      <c r="L60" s="6">
        <f t="shared" si="48"/>
        <v>-245.34</v>
      </c>
      <c r="M60" s="2"/>
      <c r="N60" s="7">
        <f t="shared" si="49"/>
        <v>-1</v>
      </c>
      <c r="O60" s="11"/>
      <c r="P60" s="6">
        <v>131.30000000000001</v>
      </c>
      <c r="Q60" s="2"/>
      <c r="R60" s="7">
        <f t="shared" si="50"/>
        <v>0</v>
      </c>
      <c r="S60" s="2"/>
      <c r="T60" s="6">
        <v>1347.59</v>
      </c>
      <c r="U60" s="2"/>
      <c r="V60" s="7">
        <f t="shared" si="51"/>
        <v>2.5278363252475358E-3</v>
      </c>
      <c r="W60" s="2"/>
      <c r="X60" s="6">
        <f t="shared" si="52"/>
        <v>-1216.29</v>
      </c>
      <c r="Y60" s="2"/>
      <c r="Z60" s="7">
        <f t="shared" si="53"/>
        <v>-0.90256680444348802</v>
      </c>
    </row>
    <row r="61" spans="1:26" s="24" customFormat="1" hidden="1" outlineLevel="2" x14ac:dyDescent="0.25">
      <c r="A61" s="25"/>
      <c r="B61" s="11" t="str">
        <f>CONCATENATE("          ", "6243", " - ", "PAPER SUPPLIES")</f>
        <v xml:space="preserve">          6243 - PAPER SUPPLIES</v>
      </c>
      <c r="C61" s="11"/>
      <c r="D61" s="6"/>
      <c r="E61" s="2"/>
      <c r="F61" s="7">
        <f t="shared" si="46"/>
        <v>0</v>
      </c>
      <c r="G61" s="2"/>
      <c r="H61" s="6">
        <v>125.01</v>
      </c>
      <c r="I61" s="2"/>
      <c r="J61" s="7">
        <f t="shared" si="47"/>
        <v>2.6326091850494083E-3</v>
      </c>
      <c r="K61" s="2"/>
      <c r="L61" s="6">
        <f t="shared" si="48"/>
        <v>-125.01</v>
      </c>
      <c r="M61" s="2"/>
      <c r="N61" s="7">
        <f t="shared" si="49"/>
        <v>-1</v>
      </c>
      <c r="O61" s="11"/>
      <c r="P61" s="6"/>
      <c r="Q61" s="2"/>
      <c r="R61" s="7">
        <f t="shared" si="50"/>
        <v>0</v>
      </c>
      <c r="S61" s="2"/>
      <c r="T61" s="6">
        <v>2096.3000000000002</v>
      </c>
      <c r="U61" s="2"/>
      <c r="V61" s="7">
        <f t="shared" si="51"/>
        <v>3.932281546031367E-3</v>
      </c>
      <c r="W61" s="2"/>
      <c r="X61" s="6">
        <f t="shared" si="52"/>
        <v>-2096.3000000000002</v>
      </c>
      <c r="Y61" s="2"/>
      <c r="Z61" s="7">
        <f t="shared" si="53"/>
        <v>-1</v>
      </c>
    </row>
    <row r="62" spans="1:26" s="24" customFormat="1" hidden="1" outlineLevel="2" x14ac:dyDescent="0.25">
      <c r="A62" s="25"/>
      <c r="B62" s="11" t="str">
        <f>CONCATENATE("          ", "6247", " - ", "STORE SUPPLIES")</f>
        <v xml:space="preserve">          6247 - STORE SUPPLIES</v>
      </c>
      <c r="C62" s="11"/>
      <c r="D62" s="6"/>
      <c r="E62" s="2"/>
      <c r="F62" s="7">
        <f t="shared" si="46"/>
        <v>0</v>
      </c>
      <c r="G62" s="2"/>
      <c r="H62" s="6">
        <v>86.48</v>
      </c>
      <c r="I62" s="2"/>
      <c r="J62" s="7">
        <f t="shared" si="47"/>
        <v>1.8211986426931671E-3</v>
      </c>
      <c r="K62" s="2"/>
      <c r="L62" s="6">
        <f t="shared" si="48"/>
        <v>-86.48</v>
      </c>
      <c r="M62" s="2"/>
      <c r="N62" s="7">
        <f t="shared" si="49"/>
        <v>-1</v>
      </c>
      <c r="O62" s="11"/>
      <c r="P62" s="6"/>
      <c r="Q62" s="2"/>
      <c r="R62" s="7">
        <f t="shared" si="50"/>
        <v>0</v>
      </c>
      <c r="S62" s="2"/>
      <c r="T62" s="6">
        <v>7485.09</v>
      </c>
      <c r="U62" s="2"/>
      <c r="V62" s="7">
        <f t="shared" si="51"/>
        <v>1.4040681809561572E-2</v>
      </c>
      <c r="W62" s="2"/>
      <c r="X62" s="6">
        <f t="shared" si="52"/>
        <v>-7485.09</v>
      </c>
      <c r="Y62" s="2"/>
      <c r="Z62" s="7">
        <f t="shared" si="53"/>
        <v>-1</v>
      </c>
    </row>
    <row r="63" spans="1:26" s="26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SUM(OSRRefD22_11x_0)</f>
        <v>0</v>
      </c>
      <c r="E63" s="1"/>
      <c r="F63" s="5">
        <f t="shared" ref="F63:F66" si="54">IF(D$12=0,0,D63/D$12)</f>
        <v>0</v>
      </c>
      <c r="G63" s="1"/>
      <c r="H63" s="1">
        <f>SUM(OSRRefH22_11x_0)</f>
        <v>86</v>
      </c>
      <c r="I63" s="1"/>
      <c r="J63" s="5">
        <f t="shared" ref="J63:J66" si="55">IF(H$12=0,0,H63/H$12)</f>
        <v>1.8110902320954251E-3</v>
      </c>
      <c r="K63" s="1"/>
      <c r="L63" s="1">
        <f t="shared" ref="L63:L66" si="56">+D63-H63</f>
        <v>-86</v>
      </c>
      <c r="M63" s="1"/>
      <c r="N63" s="5">
        <f t="shared" ref="N63:N66" si="57">IF(H63=0,0,L63/H63)</f>
        <v>-1</v>
      </c>
      <c r="O63" s="13"/>
      <c r="P63" s="1">
        <f>SUM(OSRRefP22_11x_0)</f>
        <v>85.2</v>
      </c>
      <c r="Q63" s="1"/>
      <c r="R63" s="5">
        <f t="shared" ref="R63:R66" si="58">IF(P$12=0,0,P63/P$12)</f>
        <v>0</v>
      </c>
      <c r="S63" s="1"/>
      <c r="T63" s="1">
        <f>SUM(OSRRefT22_11x_0)</f>
        <v>317</v>
      </c>
      <c r="U63" s="1"/>
      <c r="V63" s="5">
        <f t="shared" ref="V63:V66" si="59">IF(T$12=0,0,T63/T$12)</f>
        <v>5.946349521022483E-4</v>
      </c>
      <c r="W63" s="1"/>
      <c r="X63" s="1">
        <f t="shared" ref="X63:X66" si="60">+P63-T63</f>
        <v>-231.8</v>
      </c>
      <c r="Y63" s="1"/>
      <c r="Z63" s="5">
        <f t="shared" ref="Z63:Z66" si="61">IF(T63=0,0,X63/T63)</f>
        <v>-0.731230283911672</v>
      </c>
    </row>
    <row r="64" spans="1:26" s="24" customFormat="1" hidden="1" outlineLevel="2" x14ac:dyDescent="0.25">
      <c r="A64" s="25"/>
      <c r="B64" s="11" t="str">
        <f>CONCATENATE("          ", "6309", " - ", "TELEPHONE")</f>
        <v xml:space="preserve">          6309 - TELEPHONE</v>
      </c>
      <c r="C64" s="11"/>
      <c r="D64" s="6"/>
      <c r="E64" s="2"/>
      <c r="F64" s="7">
        <f t="shared" si="54"/>
        <v>0</v>
      </c>
      <c r="G64" s="2"/>
      <c r="H64" s="6">
        <v>86</v>
      </c>
      <c r="I64" s="2"/>
      <c r="J64" s="7">
        <f t="shared" si="55"/>
        <v>1.8110902320954251E-3</v>
      </c>
      <c r="K64" s="2"/>
      <c r="L64" s="6">
        <f t="shared" si="56"/>
        <v>-86</v>
      </c>
      <c r="M64" s="2"/>
      <c r="N64" s="7">
        <f t="shared" si="57"/>
        <v>-1</v>
      </c>
      <c r="O64" s="11"/>
      <c r="P64" s="6">
        <v>85.2</v>
      </c>
      <c r="Q64" s="2"/>
      <c r="R64" s="7">
        <f t="shared" si="58"/>
        <v>0</v>
      </c>
      <c r="S64" s="2"/>
      <c r="T64" s="6">
        <v>317</v>
      </c>
      <c r="U64" s="2"/>
      <c r="V64" s="7">
        <f t="shared" si="59"/>
        <v>5.946349521022483E-4</v>
      </c>
      <c r="W64" s="2"/>
      <c r="X64" s="6">
        <f t="shared" si="60"/>
        <v>-231.8</v>
      </c>
      <c r="Y64" s="2"/>
      <c r="Z64" s="7">
        <f t="shared" si="61"/>
        <v>-0.731230283911672</v>
      </c>
    </row>
    <row r="65" spans="1:26" s="26" customFormat="1" outlineLevel="1" collapsed="1" x14ac:dyDescent="0.25">
      <c r="A65" s="27"/>
      <c r="B65" s="13" t="str">
        <f>CONCATENATE("     ","Utilities                                         ")</f>
        <v xml:space="preserve">     Utilities                                         </v>
      </c>
      <c r="C65" s="13"/>
      <c r="D65" s="1">
        <f>SUM(OSRRefD22_12x_0)</f>
        <v>208</v>
      </c>
      <c r="E65" s="1"/>
      <c r="F65" s="5">
        <f t="shared" si="54"/>
        <v>0</v>
      </c>
      <c r="G65" s="1"/>
      <c r="H65" s="1">
        <f>SUM(OSRRefH22_12x_0)</f>
        <v>208</v>
      </c>
      <c r="I65" s="1"/>
      <c r="J65" s="5">
        <f t="shared" si="55"/>
        <v>4.3803112590214931E-3</v>
      </c>
      <c r="K65" s="1"/>
      <c r="L65" s="1">
        <f t="shared" si="56"/>
        <v>0</v>
      </c>
      <c r="M65" s="1"/>
      <c r="N65" s="5">
        <f t="shared" si="57"/>
        <v>0</v>
      </c>
      <c r="O65" s="13"/>
      <c r="P65" s="1">
        <f>SUM(OSRRefP22_12x_0)</f>
        <v>832</v>
      </c>
      <c r="Q65" s="1"/>
      <c r="R65" s="5">
        <f t="shared" si="58"/>
        <v>0</v>
      </c>
      <c r="S65" s="1"/>
      <c r="T65" s="1">
        <f>SUM(OSRRefT22_12x_0)</f>
        <v>1393</v>
      </c>
      <c r="U65" s="1"/>
      <c r="V65" s="5">
        <f t="shared" si="59"/>
        <v>2.6130173131811733E-3</v>
      </c>
      <c r="W65" s="1"/>
      <c r="X65" s="1">
        <f t="shared" si="60"/>
        <v>-561</v>
      </c>
      <c r="Y65" s="1"/>
      <c r="Z65" s="5">
        <f t="shared" si="61"/>
        <v>-0.40272792534099067</v>
      </c>
    </row>
    <row r="66" spans="1:26" s="24" customFormat="1" hidden="1" outlineLevel="2" x14ac:dyDescent="0.25">
      <c r="A66" s="25"/>
      <c r="B66" s="11" t="str">
        <f>CONCATENATE("          ", "6274", " - ", "UTILITIES")</f>
        <v xml:space="preserve">          6274 - UTILITIES</v>
      </c>
      <c r="C66" s="11"/>
      <c r="D66" s="6">
        <v>208</v>
      </c>
      <c r="E66" s="2"/>
      <c r="F66" s="7">
        <f t="shared" si="54"/>
        <v>0</v>
      </c>
      <c r="G66" s="2"/>
      <c r="H66" s="6">
        <v>208</v>
      </c>
      <c r="I66" s="2"/>
      <c r="J66" s="7">
        <f t="shared" si="55"/>
        <v>4.3803112590214931E-3</v>
      </c>
      <c r="K66" s="2"/>
      <c r="L66" s="6">
        <f t="shared" si="56"/>
        <v>0</v>
      </c>
      <c r="M66" s="2"/>
      <c r="N66" s="7">
        <f t="shared" si="57"/>
        <v>0</v>
      </c>
      <c r="O66" s="11"/>
      <c r="P66" s="6">
        <v>832</v>
      </c>
      <c r="Q66" s="2"/>
      <c r="R66" s="7">
        <f t="shared" si="58"/>
        <v>0</v>
      </c>
      <c r="S66" s="2"/>
      <c r="T66" s="6">
        <v>1393</v>
      </c>
      <c r="U66" s="2"/>
      <c r="V66" s="7">
        <f t="shared" si="59"/>
        <v>2.6130173131811733E-3</v>
      </c>
      <c r="W66" s="2"/>
      <c r="X66" s="6">
        <f t="shared" si="60"/>
        <v>-561</v>
      </c>
      <c r="Y66" s="2"/>
      <c r="Z66" s="7">
        <f t="shared" si="61"/>
        <v>-0.40272792534099067</v>
      </c>
    </row>
    <row r="67" spans="1:26" s="61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9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8" t="s">
        <v>3</v>
      </c>
      <c r="C70" s="28"/>
      <c r="D70" s="20">
        <f>+D20-D22+D68</f>
        <v>-2225.34</v>
      </c>
      <c r="E70" s="14"/>
      <c r="F70" s="22">
        <f>IF(D$12=0,0,D70/D$12)</f>
        <v>0</v>
      </c>
      <c r="G70" s="14"/>
      <c r="H70" s="20">
        <f>+H20-H22+H68</f>
        <v>-262.54000000000451</v>
      </c>
      <c r="I70" s="14"/>
      <c r="J70" s="22">
        <f>IF(H$12=0,0,H70/H$12)</f>
        <v>-5.5288794131900122E-3</v>
      </c>
      <c r="K70" s="15"/>
      <c r="L70" s="20">
        <f>+D70-H70</f>
        <v>-1962.7999999999956</v>
      </c>
      <c r="M70" s="15"/>
      <c r="N70" s="22">
        <f>IF(H70=0,0,L70/H70)</f>
        <v>7.4761941037554731</v>
      </c>
      <c r="O70" s="29"/>
      <c r="P70" s="20">
        <f>+P20-P22+P68</f>
        <v>-16793.299999999996</v>
      </c>
      <c r="Q70" s="14"/>
      <c r="R70" s="22">
        <f>IF(P$12=0,0,P70/P$12)</f>
        <v>0</v>
      </c>
      <c r="S70" s="14"/>
      <c r="T70" s="20">
        <f>+T20-T22+T68</f>
        <v>65344.320000000036</v>
      </c>
      <c r="U70" s="14"/>
      <c r="V70" s="22">
        <f>IF(T$12=0,0,T70/T$12)</f>
        <v>0.1225741848370789</v>
      </c>
      <c r="W70" s="15"/>
      <c r="X70" s="20">
        <f>+P70-T70</f>
        <v>-82137.620000000024</v>
      </c>
      <c r="Y70" s="15"/>
      <c r="Z70" s="22">
        <f>IF(T70=0,0,X70/T70)</f>
        <v>-1.2569970886528465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/>
      <c r="E72" s="4"/>
      <c r="F72" s="12">
        <f>IF(D$12=0,0,D72/D$12)</f>
        <v>0</v>
      </c>
      <c r="G72" s="4"/>
      <c r="H72" s="4">
        <v>3144.64</v>
      </c>
      <c r="I72" s="4"/>
      <c r="J72" s="12">
        <f>IF(H$12=0,0,H72/H$12)</f>
        <v>6.622356729600648E-2</v>
      </c>
      <c r="K72" s="4"/>
      <c r="L72" s="4">
        <f>+D72-H72</f>
        <v>-3144.64</v>
      </c>
      <c r="M72" s="4"/>
      <c r="N72" s="12">
        <f>IF(H72=0,0,L72/H72)</f>
        <v>-1</v>
      </c>
      <c r="O72" s="10"/>
      <c r="P72" s="4"/>
      <c r="Q72" s="4"/>
      <c r="R72" s="12">
        <f>IF(P$12=0,0,P72/P$12)</f>
        <v>0</v>
      </c>
      <c r="S72" s="4"/>
      <c r="T72" s="4">
        <v>55594.8</v>
      </c>
      <c r="U72" s="4"/>
      <c r="V72" s="12">
        <f>IF(T$12=0,0,T72/T$12)</f>
        <v>0.10428583985846712</v>
      </c>
      <c r="W72" s="4"/>
      <c r="X72" s="4">
        <f>+P72-T72</f>
        <v>-55594.8</v>
      </c>
      <c r="Y72" s="4"/>
      <c r="Z72" s="12">
        <f>IF(T72=0,0,X72/T72)</f>
        <v>-1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4</v>
      </c>
      <c r="C74" s="28"/>
      <c r="D74" s="30">
        <f>+D70-D72</f>
        <v>-2225.34</v>
      </c>
      <c r="E74" s="14"/>
      <c r="F74" s="36">
        <f>IF(D$12=0,0,D74/D$12)</f>
        <v>0</v>
      </c>
      <c r="G74" s="14"/>
      <c r="H74" s="30">
        <f>+H70-H72</f>
        <v>-3407.1800000000044</v>
      </c>
      <c r="I74" s="14"/>
      <c r="J74" s="36">
        <f>IF(H$12=0,0,H74/H$12)</f>
        <v>-7.1752446709196491E-2</v>
      </c>
      <c r="K74" s="15"/>
      <c r="L74" s="30">
        <f>D74-H74</f>
        <v>1181.8400000000042</v>
      </c>
      <c r="M74" s="15"/>
      <c r="N74" s="36">
        <f>IF(H74=0,0,L74/H74)</f>
        <v>-0.3468674974612444</v>
      </c>
      <c r="O74" s="29"/>
      <c r="P74" s="30">
        <f>+P70-P72</f>
        <v>-16793.299999999996</v>
      </c>
      <c r="Q74" s="14"/>
      <c r="R74" s="36">
        <f>IF(P$12=0,0,P74/P$12)</f>
        <v>0</v>
      </c>
      <c r="S74" s="14"/>
      <c r="T74" s="30">
        <f>+T70-T72</f>
        <v>9749.5200000000332</v>
      </c>
      <c r="U74" s="14"/>
      <c r="V74" s="36">
        <f>IF(T$12=0,0,T74/T$12)</f>
        <v>1.8288344978611773E-2</v>
      </c>
      <c r="W74" s="15"/>
      <c r="X74" s="30">
        <f>P74-T74</f>
        <v>-26542.820000000029</v>
      </c>
      <c r="Y74" s="15"/>
      <c r="Z74" s="36">
        <f>IF(T74=0,0,X74/T74)</f>
        <v>-2.7224745423364367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5</v>
      </c>
      <c r="C77" s="28"/>
      <c r="D77" s="32">
        <f>SUM(D74:D76)</f>
        <v>-2225.34</v>
      </c>
      <c r="E77" s="14"/>
      <c r="F77" s="31">
        <f>IF(D$12=0,0,D77/D$12)</f>
        <v>0</v>
      </c>
      <c r="G77" s="14"/>
      <c r="H77" s="32">
        <f>SUM(H74:H76)</f>
        <v>-3407.1800000000044</v>
      </c>
      <c r="I77" s="14"/>
      <c r="J77" s="31">
        <f>IF(H$12=0,0,H77/H$12)</f>
        <v>-7.1752446709196491E-2</v>
      </c>
      <c r="K77" s="15"/>
      <c r="L77" s="32">
        <f>+D77-H77</f>
        <v>1181.8400000000042</v>
      </c>
      <c r="M77" s="15"/>
      <c r="N77" s="31">
        <f>IF(H77=0,0,L77/H77)</f>
        <v>-0.3468674974612444</v>
      </c>
      <c r="O77" s="29"/>
      <c r="P77" s="32">
        <f>SUM(P74:P76)</f>
        <v>-16793.299999999996</v>
      </c>
      <c r="Q77" s="14"/>
      <c r="R77" s="31">
        <f>IF(P$12=0,0,P77/P$12)</f>
        <v>0</v>
      </c>
      <c r="S77" s="14"/>
      <c r="T77" s="32">
        <f>SUM(T74:T76)</f>
        <v>9749.5200000000332</v>
      </c>
      <c r="U77" s="14"/>
      <c r="V77" s="31">
        <f>IF(T$12=0,0,T77/T$12)</f>
        <v>1.8288344978611773E-2</v>
      </c>
      <c r="W77" s="15"/>
      <c r="X77" s="32">
        <f>+P77-T77</f>
        <v>-26542.820000000029</v>
      </c>
      <c r="Y77" s="15"/>
      <c r="Z77" s="31">
        <f>IF(T77=0,0,X77/T77)</f>
        <v>-2.7224745423364367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62">
        <v>44238.496317442128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9" t="s">
        <v>313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6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","325", " - ", "Outpost C-Store")</f>
        <v>Department 325 - Outpost C-Store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49540.77</v>
      </c>
      <c r="I12" s="4"/>
      <c r="J12" s="12"/>
      <c r="K12" s="4"/>
      <c r="L12" s="4">
        <f t="shared" ref="L12:L14" si="0">+D12-H12</f>
        <v>-49540.77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452216.81</v>
      </c>
      <c r="U12" s="4"/>
      <c r="V12" s="12"/>
      <c r="W12" s="4"/>
      <c r="X12" s="4">
        <f t="shared" ref="X12:X14" si="2">+P12-T12</f>
        <v>-452216.81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--8569.18</f>
        <v>8569.18</v>
      </c>
      <c r="I13" s="2"/>
      <c r="J13" s="19"/>
      <c r="K13" s="2"/>
      <c r="L13" s="2">
        <f t="shared" si="0"/>
        <v>-8569.18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--81471.17</f>
        <v>81471.17</v>
      </c>
      <c r="U13" s="2"/>
      <c r="V13" s="19"/>
      <c r="W13" s="2"/>
      <c r="X13" s="2">
        <f t="shared" si="2"/>
        <v>-81471.17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--40971.59</f>
        <v>40971.589999999997</v>
      </c>
      <c r="I14" s="2"/>
      <c r="J14" s="19"/>
      <c r="K14" s="2"/>
      <c r="L14" s="2">
        <f t="shared" si="0"/>
        <v>-40971.589999999997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--370745.64</f>
        <v>370745.64</v>
      </c>
      <c r="U14" s="2"/>
      <c r="V14" s="19"/>
      <c r="W14" s="2"/>
      <c r="X14" s="2">
        <f t="shared" si="2"/>
        <v>-370745.64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23780.32</v>
      </c>
      <c r="I16" s="4"/>
      <c r="J16" s="12">
        <f t="shared" ref="J16:J18" si="7">IF(H$12=0,0,H16/H$12)</f>
        <v>0.48001514712024057</v>
      </c>
      <c r="K16" s="4"/>
      <c r="L16" s="4">
        <f t="shared" ref="L16:L18" si="8">+D16-H16</f>
        <v>-23780.32</v>
      </c>
      <c r="M16" s="4"/>
      <c r="N16" s="12">
        <f t="shared" ref="N16:N18" si="9">IF(H16=0,0,L16/H16)</f>
        <v>-1</v>
      </c>
      <c r="O16" s="10"/>
      <c r="P16" s="4">
        <f>SUM(OSRRefP16x_0)</f>
        <v>10641.24</v>
      </c>
      <c r="Q16" s="4"/>
      <c r="R16" s="12">
        <f t="shared" ref="R16:R18" si="10">IF(P$12=0,0,P16/P$12)</f>
        <v>0</v>
      </c>
      <c r="S16" s="4"/>
      <c r="T16" s="4">
        <f>SUM(OSRRefT16x_0)</f>
        <v>207330.19999999998</v>
      </c>
      <c r="U16" s="4"/>
      <c r="V16" s="12">
        <f t="shared" ref="V16:V18" si="11">IF(T$12=0,0,T16/T$12)</f>
        <v>0.45847521678815961</v>
      </c>
      <c r="W16" s="4"/>
      <c r="X16" s="4">
        <f t="shared" ref="X16:X18" si="12">+P16-T16</f>
        <v>-196688.96</v>
      </c>
      <c r="Y16" s="4"/>
      <c r="Z16" s="12">
        <f t="shared" ref="Z16:Z18" si="13">IF(T16=0,0,X16/T16)</f>
        <v>-0.9486749156659281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26509.31</v>
      </c>
      <c r="I17" s="2"/>
      <c r="J17" s="19">
        <f t="shared" si="7"/>
        <v>0.53510088761236463</v>
      </c>
      <c r="K17" s="2"/>
      <c r="L17" s="2">
        <f t="shared" si="8"/>
        <v>-26509.31</v>
      </c>
      <c r="M17" s="2"/>
      <c r="N17" s="19">
        <f t="shared" si="9"/>
        <v>-1</v>
      </c>
      <c r="O17" s="11"/>
      <c r="P17" s="2">
        <v>-987.76</v>
      </c>
      <c r="Q17" s="2"/>
      <c r="R17" s="19">
        <f t="shared" si="10"/>
        <v>0</v>
      </c>
      <c r="S17" s="2"/>
      <c r="T17" s="2">
        <v>213688.62999999998</v>
      </c>
      <c r="U17" s="2"/>
      <c r="V17" s="19">
        <f t="shared" si="11"/>
        <v>0.47253579538540369</v>
      </c>
      <c r="W17" s="2"/>
      <c r="X17" s="2">
        <f t="shared" si="12"/>
        <v>-214676.38999999998</v>
      </c>
      <c r="Y17" s="2"/>
      <c r="Z17" s="19">
        <f t="shared" si="13"/>
        <v>-1.0046224265652319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-2728.99</v>
      </c>
      <c r="I18" s="2"/>
      <c r="J18" s="19">
        <f t="shared" si="7"/>
        <v>-5.5085740492123961E-2</v>
      </c>
      <c r="K18" s="2"/>
      <c r="L18" s="2">
        <f t="shared" si="8"/>
        <v>2728.99</v>
      </c>
      <c r="M18" s="2"/>
      <c r="N18" s="19">
        <f t="shared" si="9"/>
        <v>-1</v>
      </c>
      <c r="O18" s="11"/>
      <c r="P18" s="2">
        <v>11629</v>
      </c>
      <c r="Q18" s="2"/>
      <c r="R18" s="19">
        <f t="shared" si="10"/>
        <v>0</v>
      </c>
      <c r="S18" s="2"/>
      <c r="T18" s="2">
        <v>-6358.43</v>
      </c>
      <c r="U18" s="2"/>
      <c r="V18" s="19">
        <f t="shared" si="11"/>
        <v>-1.4060578597244097E-2</v>
      </c>
      <c r="W18" s="2"/>
      <c r="X18" s="2">
        <f t="shared" si="12"/>
        <v>17987.43</v>
      </c>
      <c r="Y18" s="2"/>
      <c r="Z18" s="19">
        <f t="shared" si="13"/>
        <v>-2.8289105958546368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25760.449999999997</v>
      </c>
      <c r="I20" s="14"/>
      <c r="J20" s="22">
        <f>IF(H$12=0,0,H20/H$12)</f>
        <v>0.51998485287975937</v>
      </c>
      <c r="K20" s="15"/>
      <c r="L20" s="20">
        <f>+D20-H20</f>
        <v>-25760.449999999997</v>
      </c>
      <c r="M20" s="15"/>
      <c r="N20" s="22">
        <f>IF(H20=0,0,L20/H20)</f>
        <v>-1</v>
      </c>
      <c r="O20" s="29"/>
      <c r="P20" s="20">
        <f>P12-P16</f>
        <v>-10641.24</v>
      </c>
      <c r="Q20" s="14"/>
      <c r="R20" s="22">
        <f>IF(P$12=0,0,P20/P$12)</f>
        <v>0</v>
      </c>
      <c r="S20" s="14"/>
      <c r="T20" s="20">
        <f>T12-T16</f>
        <v>244886.61000000002</v>
      </c>
      <c r="U20" s="14"/>
      <c r="V20" s="22">
        <f>IF(T$12=0,0,T20/T$12)</f>
        <v>0.54152478321184039</v>
      </c>
      <c r="W20" s="15"/>
      <c r="X20" s="20">
        <f>+P20-T20</f>
        <v>-255527.85</v>
      </c>
      <c r="Y20" s="15"/>
      <c r="Z20" s="22">
        <f>IF(T20=0,0,X20/T20)</f>
        <v>-1.0434537437551199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11903.55</v>
      </c>
      <c r="E22" s="21"/>
      <c r="F22" s="35">
        <f t="shared" ref="F22:F31" si="14">IF(D$12=0,0,D22/D$12)</f>
        <v>0</v>
      </c>
      <c r="G22" s="21"/>
      <c r="H22" s="21">
        <f>SUM(OSRRefH22x_0)</f>
        <v>30245.699999999997</v>
      </c>
      <c r="I22" s="21"/>
      <c r="J22" s="35">
        <f t="shared" ref="J22:J31" si="15">IF(H$12=0,0,H22/H$12)</f>
        <v>0.61052139480270495</v>
      </c>
      <c r="K22" s="4"/>
      <c r="L22" s="21">
        <f t="shared" ref="L22:L31" si="16">+D22-H22</f>
        <v>-18342.149999999998</v>
      </c>
      <c r="M22" s="4"/>
      <c r="N22" s="35">
        <f t="shared" ref="N22:N31" si="17">IF(H22=0,0,L22/H22)</f>
        <v>-0.60643827056408017</v>
      </c>
      <c r="O22" s="10"/>
      <c r="P22" s="21">
        <f>SUM(OSRRefP22x_0)</f>
        <v>80433.570000000007</v>
      </c>
      <c r="Q22" s="21"/>
      <c r="R22" s="35">
        <f t="shared" ref="R22:R31" si="18">IF(P$12=0,0,P22/P$12)</f>
        <v>0</v>
      </c>
      <c r="S22" s="21"/>
      <c r="T22" s="21">
        <f>SUM(OSRRefT22x_0)</f>
        <v>210863.84999999995</v>
      </c>
      <c r="U22" s="21"/>
      <c r="V22" s="35">
        <f t="shared" ref="V22:V31" si="19">IF(T$12=0,0,T22/T$12)</f>
        <v>0.46628927836627732</v>
      </c>
      <c r="W22" s="4"/>
      <c r="X22" s="21">
        <f t="shared" ref="X22:X31" si="20">+P22-T22</f>
        <v>-130430.27999999994</v>
      </c>
      <c r="Y22" s="4"/>
      <c r="Z22" s="35">
        <f t="shared" ref="Z22:Z31" si="21">IF(T22=0,0,X22/T22)</f>
        <v>-0.61855211312892167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3910.08</v>
      </c>
      <c r="I23" s="1"/>
      <c r="J23" s="5">
        <f t="shared" si="15"/>
        <v>7.8926508409134538E-2</v>
      </c>
      <c r="K23" s="1"/>
      <c r="L23" s="1">
        <f t="shared" si="16"/>
        <v>-3910.08</v>
      </c>
      <c r="M23" s="1"/>
      <c r="N23" s="5">
        <f t="shared" si="17"/>
        <v>-1</v>
      </c>
      <c r="O23" s="13"/>
      <c r="P23" s="1">
        <f>SUM(OSRRefP22_0x_0)</f>
        <v>2889.72</v>
      </c>
      <c r="Q23" s="1"/>
      <c r="R23" s="5">
        <f t="shared" si="18"/>
        <v>0</v>
      </c>
      <c r="S23" s="1"/>
      <c r="T23" s="1">
        <f>SUM(OSRRefT22_0x_0)</f>
        <v>26619.440000000002</v>
      </c>
      <c r="U23" s="1"/>
      <c r="V23" s="5">
        <f t="shared" si="19"/>
        <v>5.8864331027411392E-2</v>
      </c>
      <c r="W23" s="1"/>
      <c r="X23" s="1">
        <f t="shared" si="20"/>
        <v>-23729.72</v>
      </c>
      <c r="Y23" s="1"/>
      <c r="Z23" s="5">
        <f t="shared" si="21"/>
        <v>-0.89144324598864588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510.3</v>
      </c>
      <c r="I24" s="2"/>
      <c r="J24" s="7">
        <f t="shared" si="15"/>
        <v>1.0300606954635546E-2</v>
      </c>
      <c r="K24" s="2"/>
      <c r="L24" s="6">
        <f t="shared" si="16"/>
        <v>-510.3</v>
      </c>
      <c r="M24" s="2"/>
      <c r="N24" s="7">
        <f t="shared" si="17"/>
        <v>-1</v>
      </c>
      <c r="O24" s="11"/>
      <c r="P24" s="6">
        <v>159.12</v>
      </c>
      <c r="Q24" s="2"/>
      <c r="R24" s="7">
        <f t="shared" si="18"/>
        <v>0</v>
      </c>
      <c r="S24" s="2"/>
      <c r="T24" s="6">
        <v>4032.63</v>
      </c>
      <c r="U24" s="2"/>
      <c r="V24" s="7">
        <f t="shared" si="19"/>
        <v>8.9174703611747657E-3</v>
      </c>
      <c r="W24" s="2"/>
      <c r="X24" s="6">
        <f t="shared" si="20"/>
        <v>-3873.51</v>
      </c>
      <c r="Y24" s="2"/>
      <c r="Z24" s="7">
        <f t="shared" si="21"/>
        <v>-0.9605418796170242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168.99</v>
      </c>
      <c r="I25" s="2"/>
      <c r="J25" s="7">
        <f t="shared" si="15"/>
        <v>3.4111298633428592E-3</v>
      </c>
      <c r="K25" s="2"/>
      <c r="L25" s="6">
        <f t="shared" si="16"/>
        <v>-168.99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1243.32</v>
      </c>
      <c r="U25" s="2"/>
      <c r="V25" s="7">
        <f t="shared" si="19"/>
        <v>2.7493891702079806E-3</v>
      </c>
      <c r="W25" s="2"/>
      <c r="X25" s="6">
        <f t="shared" si="20"/>
        <v>-1243.32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1915.63</v>
      </c>
      <c r="I26" s="2"/>
      <c r="J26" s="7">
        <f t="shared" si="15"/>
        <v>3.8667747796410919E-2</v>
      </c>
      <c r="K26" s="2"/>
      <c r="L26" s="6">
        <f t="shared" si="16"/>
        <v>-1915.63</v>
      </c>
      <c r="M26" s="2"/>
      <c r="N26" s="7">
        <f t="shared" si="17"/>
        <v>-1</v>
      </c>
      <c r="O26" s="11"/>
      <c r="P26" s="6">
        <v>1915.63</v>
      </c>
      <c r="Q26" s="2"/>
      <c r="R26" s="7">
        <f t="shared" si="18"/>
        <v>0</v>
      </c>
      <c r="S26" s="2"/>
      <c r="T26" s="6">
        <v>13278.2</v>
      </c>
      <c r="U26" s="2"/>
      <c r="V26" s="7">
        <f t="shared" si="19"/>
        <v>2.9362464433818816E-2</v>
      </c>
      <c r="W26" s="2"/>
      <c r="X26" s="6">
        <f t="shared" si="20"/>
        <v>-11362.57</v>
      </c>
      <c r="Y26" s="2"/>
      <c r="Z26" s="7">
        <f t="shared" si="21"/>
        <v>-0.85573119850582147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23.13</v>
      </c>
      <c r="I27" s="2"/>
      <c r="J27" s="7">
        <f t="shared" si="15"/>
        <v>4.6688818118894801E-4</v>
      </c>
      <c r="K27" s="2"/>
      <c r="L27" s="6">
        <f t="shared" si="16"/>
        <v>-23.13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206.4</v>
      </c>
      <c r="U27" s="2"/>
      <c r="V27" s="7">
        <f t="shared" si="19"/>
        <v>4.5641823885317313E-4</v>
      </c>
      <c r="W27" s="2"/>
      <c r="X27" s="6">
        <f t="shared" si="20"/>
        <v>-206.4</v>
      </c>
      <c r="Y27" s="2"/>
      <c r="Z27" s="7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621.44000000000005</v>
      </c>
      <c r="I28" s="2"/>
      <c r="J28" s="7">
        <f t="shared" si="15"/>
        <v>1.2544011730136615E-2</v>
      </c>
      <c r="K28" s="2"/>
      <c r="L28" s="6">
        <f t="shared" si="16"/>
        <v>-621.44000000000005</v>
      </c>
      <c r="M28" s="2"/>
      <c r="N28" s="7">
        <f t="shared" si="17"/>
        <v>-1</v>
      </c>
      <c r="O28" s="11"/>
      <c r="P28" s="6">
        <v>458.89</v>
      </c>
      <c r="Q28" s="2"/>
      <c r="R28" s="7">
        <f t="shared" si="18"/>
        <v>0</v>
      </c>
      <c r="S28" s="2"/>
      <c r="T28" s="6">
        <v>3257</v>
      </c>
      <c r="U28" s="2"/>
      <c r="V28" s="7">
        <f t="shared" si="19"/>
        <v>7.2022974997324844E-3</v>
      </c>
      <c r="W28" s="2"/>
      <c r="X28" s="6">
        <f t="shared" si="20"/>
        <v>-2798.11</v>
      </c>
      <c r="Y28" s="2"/>
      <c r="Z28" s="7">
        <f t="shared" si="21"/>
        <v>-0.85910653976051587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304.2</v>
      </c>
      <c r="I29" s="2"/>
      <c r="J29" s="7">
        <f t="shared" si="15"/>
        <v>6.1403970911231296E-3</v>
      </c>
      <c r="K29" s="2"/>
      <c r="L29" s="6">
        <f t="shared" si="16"/>
        <v>-304.2</v>
      </c>
      <c r="M29" s="2"/>
      <c r="N29" s="7">
        <f t="shared" si="17"/>
        <v>-1</v>
      </c>
      <c r="O29" s="11"/>
      <c r="P29" s="6">
        <v>152.1</v>
      </c>
      <c r="Q29" s="2"/>
      <c r="R29" s="7">
        <f t="shared" si="18"/>
        <v>0</v>
      </c>
      <c r="S29" s="2"/>
      <c r="T29" s="6">
        <v>2129.4</v>
      </c>
      <c r="U29" s="2"/>
      <c r="V29" s="7">
        <f t="shared" si="19"/>
        <v>4.7088032839823005E-3</v>
      </c>
      <c r="W29" s="2"/>
      <c r="X29" s="6">
        <f t="shared" si="20"/>
        <v>-1977.3000000000002</v>
      </c>
      <c r="Y29" s="2"/>
      <c r="Z29" s="7">
        <f t="shared" si="21"/>
        <v>-0.9285714285714286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191.88</v>
      </c>
      <c r="I30" s="2"/>
      <c r="J30" s="7">
        <f t="shared" si="15"/>
        <v>3.8731735497853589E-3</v>
      </c>
      <c r="K30" s="2"/>
      <c r="L30" s="6">
        <f t="shared" si="16"/>
        <v>-191.88</v>
      </c>
      <c r="M30" s="2"/>
      <c r="N30" s="7">
        <f t="shared" si="17"/>
        <v>-1</v>
      </c>
      <c r="O30" s="11"/>
      <c r="P30" s="6">
        <v>203.98</v>
      </c>
      <c r="Q30" s="2"/>
      <c r="R30" s="7">
        <f t="shared" si="18"/>
        <v>0</v>
      </c>
      <c r="S30" s="2"/>
      <c r="T30" s="6">
        <v>1343.16</v>
      </c>
      <c r="U30" s="2"/>
      <c r="V30" s="7">
        <f t="shared" si="19"/>
        <v>2.9701682252811436E-3</v>
      </c>
      <c r="W30" s="2"/>
      <c r="X30" s="6">
        <f t="shared" si="20"/>
        <v>-1139.18</v>
      </c>
      <c r="Y30" s="2"/>
      <c r="Z30" s="7">
        <f t="shared" si="21"/>
        <v>-0.84813425057327496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174.51</v>
      </c>
      <c r="I31" s="2"/>
      <c r="J31" s="7">
        <f t="shared" si="15"/>
        <v>3.5225532425111681E-3</v>
      </c>
      <c r="K31" s="2"/>
      <c r="L31" s="6">
        <f t="shared" si="16"/>
        <v>-174.51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1129.33</v>
      </c>
      <c r="U31" s="2"/>
      <c r="V31" s="7">
        <f t="shared" si="19"/>
        <v>2.4973198143607264E-3</v>
      </c>
      <c r="W31" s="2"/>
      <c r="X31" s="6">
        <f t="shared" si="20"/>
        <v>-1129.33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11559.630000000001</v>
      </c>
      <c r="I32" s="1"/>
      <c r="J32" s="5">
        <f t="shared" ref="J32:J37" si="23">IF(H$12=0,0,H32/H$12)</f>
        <v>0.23333569502452225</v>
      </c>
      <c r="K32" s="1"/>
      <c r="L32" s="1">
        <f t="shared" ref="L32:L37" si="24">+D32-H32</f>
        <v>-11559.630000000001</v>
      </c>
      <c r="M32" s="1"/>
      <c r="N32" s="5">
        <f t="shared" ref="N32:N37" si="25">IF(H32=0,0,L32/H32)</f>
        <v>-1</v>
      </c>
      <c r="O32" s="13"/>
      <c r="P32" s="1">
        <f>SUM(OSRRefP22_1x_0)</f>
        <v>884</v>
      </c>
      <c r="Q32" s="1"/>
      <c r="R32" s="5">
        <f t="shared" ref="R32:R37" si="26">IF(P$12=0,0,P32/P$12)</f>
        <v>0</v>
      </c>
      <c r="S32" s="1"/>
      <c r="T32" s="1">
        <f>SUM(OSRRefT22_1x_0)</f>
        <v>74051.199999999997</v>
      </c>
      <c r="U32" s="1"/>
      <c r="V32" s="5">
        <f t="shared" ref="V32:V37" si="27">IF(T$12=0,0,T32/T$12)</f>
        <v>0.16375154209769424</v>
      </c>
      <c r="W32" s="1"/>
      <c r="X32" s="1">
        <f t="shared" ref="X32:X37" si="28">+P32-T32</f>
        <v>-73167.199999999997</v>
      </c>
      <c r="Y32" s="1"/>
      <c r="Z32" s="5">
        <f t="shared" ref="Z32:Z37" si="29">IF(T32=0,0,X32/T32)</f>
        <v>-0.98806231364245278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4576</v>
      </c>
      <c r="I33" s="2"/>
      <c r="J33" s="7">
        <f t="shared" si="23"/>
        <v>9.2368366498946225E-2</v>
      </c>
      <c r="K33" s="2"/>
      <c r="L33" s="6">
        <f t="shared" si="24"/>
        <v>-4576</v>
      </c>
      <c r="M33" s="2"/>
      <c r="N33" s="7">
        <f t="shared" si="25"/>
        <v>-1</v>
      </c>
      <c r="O33" s="11"/>
      <c r="P33" s="6">
        <v>884</v>
      </c>
      <c r="Q33" s="2"/>
      <c r="R33" s="7">
        <f t="shared" si="26"/>
        <v>0</v>
      </c>
      <c r="S33" s="2"/>
      <c r="T33" s="6">
        <v>26656</v>
      </c>
      <c r="U33" s="2"/>
      <c r="V33" s="7">
        <f t="shared" si="27"/>
        <v>5.89451772038284E-2</v>
      </c>
      <c r="W33" s="2"/>
      <c r="X33" s="6">
        <f t="shared" si="28"/>
        <v>-25772</v>
      </c>
      <c r="Y33" s="2"/>
      <c r="Z33" s="7">
        <f t="shared" si="29"/>
        <v>-0.96683673469387754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2"/>
        <v>0</v>
      </c>
      <c r="G34" s="2"/>
      <c r="H34" s="6"/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254.64</v>
      </c>
      <c r="U34" s="2"/>
      <c r="V34" s="7">
        <f t="shared" si="27"/>
        <v>5.6309273421304264E-4</v>
      </c>
      <c r="W34" s="2"/>
      <c r="X34" s="6">
        <f t="shared" si="28"/>
        <v>-254.64</v>
      </c>
      <c r="Y34" s="2"/>
      <c r="Z34" s="7">
        <f t="shared" si="29"/>
        <v>-1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2"/>
        <v>0</v>
      </c>
      <c r="G35" s="2"/>
      <c r="H35" s="6">
        <v>2510.5</v>
      </c>
      <c r="I35" s="2"/>
      <c r="J35" s="7">
        <f t="shared" si="23"/>
        <v>5.0675433587326159E-2</v>
      </c>
      <c r="K35" s="2"/>
      <c r="L35" s="6">
        <f t="shared" si="24"/>
        <v>-2510.5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16486.04</v>
      </c>
      <c r="U35" s="2"/>
      <c r="V35" s="7">
        <f t="shared" si="27"/>
        <v>3.6456053015808947E-2</v>
      </c>
      <c r="W35" s="2"/>
      <c r="X35" s="6">
        <f t="shared" si="28"/>
        <v>-16486.04</v>
      </c>
      <c r="Y35" s="2"/>
      <c r="Z35" s="7">
        <f t="shared" si="29"/>
        <v>-1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4320.38</v>
      </c>
      <c r="I36" s="2"/>
      <c r="J36" s="7">
        <f t="shared" si="23"/>
        <v>8.7208575886083328E-2</v>
      </c>
      <c r="K36" s="2"/>
      <c r="L36" s="6">
        <f t="shared" si="24"/>
        <v>-4320.38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28182.769999999997</v>
      </c>
      <c r="U36" s="2"/>
      <c r="V36" s="7">
        <f t="shared" si="27"/>
        <v>6.2321367487422674E-2</v>
      </c>
      <c r="W36" s="2"/>
      <c r="X36" s="6">
        <f t="shared" si="28"/>
        <v>-28182.769999999997</v>
      </c>
      <c r="Y36" s="2"/>
      <c r="Z36" s="7">
        <f t="shared" si="29"/>
        <v>-1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>
        <v>152.75</v>
      </c>
      <c r="I37" s="2"/>
      <c r="J37" s="7">
        <f t="shared" si="23"/>
        <v>3.0833190521665291E-3</v>
      </c>
      <c r="K37" s="2"/>
      <c r="L37" s="6">
        <f t="shared" si="24"/>
        <v>-152.75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2471.75</v>
      </c>
      <c r="U37" s="2"/>
      <c r="V37" s="7">
        <f t="shared" si="27"/>
        <v>5.4658516564211751E-3</v>
      </c>
      <c r="W37" s="2"/>
      <c r="X37" s="6">
        <f t="shared" si="28"/>
        <v>-2471.75</v>
      </c>
      <c r="Y37" s="2"/>
      <c r="Z37" s="7">
        <f t="shared" si="29"/>
        <v>-1</v>
      </c>
    </row>
    <row r="38" spans="1:26" s="26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46" si="30">IF(D$12=0,0,D38/D$12)</f>
        <v>0</v>
      </c>
      <c r="G38" s="1"/>
      <c r="H38" s="1">
        <f>SUM(OSRRefH22_2x_0)</f>
        <v>12</v>
      </c>
      <c r="I38" s="1"/>
      <c r="J38" s="5">
        <f t="shared" ref="J38:J46" si="31">IF(H$12=0,0,H38/H$12)</f>
        <v>2.4222473732241144E-4</v>
      </c>
      <c r="K38" s="1"/>
      <c r="L38" s="1">
        <f t="shared" ref="L38:L46" si="32">+D38-H38</f>
        <v>-12</v>
      </c>
      <c r="M38" s="1"/>
      <c r="N38" s="5">
        <f t="shared" ref="N38:N46" si="33">IF(H38=0,0,L38/H38)</f>
        <v>-1</v>
      </c>
      <c r="O38" s="13"/>
      <c r="P38" s="1">
        <f>SUM(OSRRefP22_2x_0)</f>
        <v>0</v>
      </c>
      <c r="Q38" s="1"/>
      <c r="R38" s="5">
        <f t="shared" ref="R38:R46" si="34">IF(P$12=0,0,P38/P$12)</f>
        <v>0</v>
      </c>
      <c r="S38" s="1"/>
      <c r="T38" s="1">
        <f>SUM(OSRRefT22_2x_0)</f>
        <v>729.02</v>
      </c>
      <c r="U38" s="1"/>
      <c r="V38" s="5">
        <f t="shared" ref="V38:V46" si="35">IF(T$12=0,0,T38/T$12)</f>
        <v>1.6121028318252918E-3</v>
      </c>
      <c r="W38" s="1"/>
      <c r="X38" s="1">
        <f t="shared" ref="X38:X46" si="36">+P38-T38</f>
        <v>-729.02</v>
      </c>
      <c r="Y38" s="1"/>
      <c r="Z38" s="5">
        <f t="shared" ref="Z38:Z46" si="37">IF(T38=0,0,X38/T38)</f>
        <v>-1</v>
      </c>
    </row>
    <row r="39" spans="1:26" s="24" customFormat="1" hidden="1" outlineLevel="2" x14ac:dyDescent="0.25">
      <c r="A39" s="25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12</v>
      </c>
      <c r="I39" s="2"/>
      <c r="J39" s="7">
        <f t="shared" si="31"/>
        <v>2.4222473732241144E-4</v>
      </c>
      <c r="K39" s="2"/>
      <c r="L39" s="6">
        <f t="shared" si="32"/>
        <v>-12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729.02</v>
      </c>
      <c r="U39" s="2"/>
      <c r="V39" s="7">
        <f t="shared" si="35"/>
        <v>1.6121028318252918E-3</v>
      </c>
      <c r="W39" s="2"/>
      <c r="X39" s="6">
        <f t="shared" si="36"/>
        <v>-729.02</v>
      </c>
      <c r="Y39" s="2"/>
      <c r="Z39" s="7">
        <f t="shared" si="37"/>
        <v>-1</v>
      </c>
    </row>
    <row r="40" spans="1:26" s="26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-6.63</v>
      </c>
      <c r="I40" s="1"/>
      <c r="J40" s="5">
        <f t="shared" si="31"/>
        <v>-1.3382916737063232E-4</v>
      </c>
      <c r="K40" s="1"/>
      <c r="L40" s="1">
        <f t="shared" si="32"/>
        <v>6.63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-58.71</v>
      </c>
      <c r="U40" s="1"/>
      <c r="V40" s="5">
        <f t="shared" si="35"/>
        <v>-1.2982710660402032E-4</v>
      </c>
      <c r="W40" s="1"/>
      <c r="X40" s="1">
        <f t="shared" si="36"/>
        <v>58.71</v>
      </c>
      <c r="Y40" s="1"/>
      <c r="Z40" s="5">
        <f t="shared" si="37"/>
        <v>-1</v>
      </c>
    </row>
    <row r="41" spans="1:26" s="24" customFormat="1" hidden="1" outlineLevel="2" x14ac:dyDescent="0.25">
      <c r="A41" s="25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-6.63</v>
      </c>
      <c r="I41" s="2"/>
      <c r="J41" s="7">
        <f t="shared" si="31"/>
        <v>-1.3382916737063232E-4</v>
      </c>
      <c r="K41" s="2"/>
      <c r="L41" s="6">
        <f t="shared" si="32"/>
        <v>6.63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-58.71</v>
      </c>
      <c r="U41" s="2"/>
      <c r="V41" s="7">
        <f t="shared" si="35"/>
        <v>-1.2982710660402032E-4</v>
      </c>
      <c r="W41" s="2"/>
      <c r="X41" s="6">
        <f t="shared" si="36"/>
        <v>58.71</v>
      </c>
      <c r="Y41" s="2"/>
      <c r="Z41" s="7">
        <f t="shared" si="37"/>
        <v>-1</v>
      </c>
    </row>
    <row r="42" spans="1:26" s="26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2045.83</v>
      </c>
      <c r="I42" s="1"/>
      <c r="J42" s="5">
        <f t="shared" si="31"/>
        <v>4.1295886196359079E-2</v>
      </c>
      <c r="K42" s="1"/>
      <c r="L42" s="1">
        <f t="shared" si="32"/>
        <v>-2045.83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16381.990000000002</v>
      </c>
      <c r="U42" s="1"/>
      <c r="V42" s="5">
        <f t="shared" si="35"/>
        <v>3.6225964267007235E-2</v>
      </c>
      <c r="W42" s="1"/>
      <c r="X42" s="1">
        <f t="shared" si="36"/>
        <v>-16381.990000000002</v>
      </c>
      <c r="Y42" s="1"/>
      <c r="Z42" s="5">
        <f t="shared" si="37"/>
        <v>-1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2045.83</v>
      </c>
      <c r="I43" s="2"/>
      <c r="J43" s="7">
        <f t="shared" si="31"/>
        <v>4.1295886196359079E-2</v>
      </c>
      <c r="K43" s="2"/>
      <c r="L43" s="6">
        <f t="shared" si="32"/>
        <v>-2045.83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16381.990000000002</v>
      </c>
      <c r="U43" s="2"/>
      <c r="V43" s="7">
        <f t="shared" si="35"/>
        <v>3.6225964267007235E-2</v>
      </c>
      <c r="W43" s="2"/>
      <c r="X43" s="6">
        <f t="shared" si="36"/>
        <v>-16381.990000000002</v>
      </c>
      <c r="Y43" s="2"/>
      <c r="Z43" s="7">
        <f t="shared" si="37"/>
        <v>-1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5471.21</v>
      </c>
      <c r="E44" s="1"/>
      <c r="F44" s="5">
        <f t="shared" si="30"/>
        <v>0</v>
      </c>
      <c r="G44" s="1"/>
      <c r="H44" s="1">
        <f>SUM(OSRRefH22_5x_0)</f>
        <v>5564.79</v>
      </c>
      <c r="I44" s="1"/>
      <c r="J44" s="5">
        <f t="shared" si="31"/>
        <v>0.11232748300036516</v>
      </c>
      <c r="K44" s="1"/>
      <c r="L44" s="1">
        <f t="shared" si="32"/>
        <v>-93.579999999999927</v>
      </c>
      <c r="M44" s="1"/>
      <c r="N44" s="5">
        <f t="shared" si="33"/>
        <v>-1.6816447700631995E-2</v>
      </c>
      <c r="O44" s="13"/>
      <c r="P44" s="1">
        <f>SUM(OSRRefP22_5x_0)</f>
        <v>38743.97</v>
      </c>
      <c r="Q44" s="1"/>
      <c r="R44" s="5">
        <f t="shared" si="34"/>
        <v>0</v>
      </c>
      <c r="S44" s="1"/>
      <c r="T44" s="1">
        <f>SUM(OSRRefT22_5x_0)</f>
        <v>38236.43</v>
      </c>
      <c r="U44" s="1"/>
      <c r="V44" s="5">
        <f t="shared" si="35"/>
        <v>8.4553314150351902E-2</v>
      </c>
      <c r="W44" s="1"/>
      <c r="X44" s="1">
        <f t="shared" si="36"/>
        <v>507.54000000000087</v>
      </c>
      <c r="Y44" s="1"/>
      <c r="Z44" s="5">
        <f t="shared" si="37"/>
        <v>1.3273728745073765E-2</v>
      </c>
    </row>
    <row r="45" spans="1:26" s="24" customFormat="1" hidden="1" outlineLevel="2" x14ac:dyDescent="0.25">
      <c r="A45" s="25"/>
      <c r="B45" s="11" t="str">
        <f>CONCATENATE("          ", "6321", " - ", "BUILDING DEPRECIATION")</f>
        <v xml:space="preserve">          6321 - BUILDING DEPRECIATION</v>
      </c>
      <c r="C45" s="11"/>
      <c r="D45" s="6">
        <v>5080.51</v>
      </c>
      <c r="E45" s="2"/>
      <c r="F45" s="7">
        <f t="shared" si="30"/>
        <v>0</v>
      </c>
      <c r="G45" s="2"/>
      <c r="H45" s="6">
        <v>5080.51</v>
      </c>
      <c r="I45" s="2"/>
      <c r="J45" s="7">
        <f t="shared" si="31"/>
        <v>0.10255210001782371</v>
      </c>
      <c r="K45" s="2"/>
      <c r="L45" s="6">
        <f t="shared" si="32"/>
        <v>0</v>
      </c>
      <c r="M45" s="2"/>
      <c r="N45" s="7">
        <f t="shared" si="33"/>
        <v>0</v>
      </c>
      <c r="O45" s="11"/>
      <c r="P45" s="6">
        <v>35563.57</v>
      </c>
      <c r="Q45" s="2"/>
      <c r="R45" s="7">
        <f t="shared" si="34"/>
        <v>0</v>
      </c>
      <c r="S45" s="2"/>
      <c r="T45" s="6">
        <v>35563.57</v>
      </c>
      <c r="U45" s="2"/>
      <c r="V45" s="7">
        <f t="shared" si="35"/>
        <v>7.8642742183776843E-2</v>
      </c>
      <c r="W45" s="2"/>
      <c r="X45" s="6">
        <f t="shared" si="36"/>
        <v>0</v>
      </c>
      <c r="Y45" s="2"/>
      <c r="Z45" s="7">
        <f t="shared" si="37"/>
        <v>0</v>
      </c>
    </row>
    <row r="46" spans="1:26" s="24" customFormat="1" hidden="1" outlineLevel="2" x14ac:dyDescent="0.25">
      <c r="A46" s="25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390.7</v>
      </c>
      <c r="E46" s="2"/>
      <c r="F46" s="7">
        <f t="shared" si="30"/>
        <v>0</v>
      </c>
      <c r="G46" s="2"/>
      <c r="H46" s="6">
        <v>484.28</v>
      </c>
      <c r="I46" s="2"/>
      <c r="J46" s="7">
        <f t="shared" si="31"/>
        <v>9.7753829825414501E-3</v>
      </c>
      <c r="K46" s="2"/>
      <c r="L46" s="6">
        <f t="shared" si="32"/>
        <v>-93.579999999999984</v>
      </c>
      <c r="M46" s="2"/>
      <c r="N46" s="7">
        <f t="shared" si="33"/>
        <v>-0.19323531841083669</v>
      </c>
      <c r="O46" s="11"/>
      <c r="P46" s="6">
        <v>3180.4</v>
      </c>
      <c r="Q46" s="2"/>
      <c r="R46" s="7">
        <f t="shared" si="34"/>
        <v>0</v>
      </c>
      <c r="S46" s="2"/>
      <c r="T46" s="6">
        <v>2672.86</v>
      </c>
      <c r="U46" s="2"/>
      <c r="V46" s="7">
        <f t="shared" si="35"/>
        <v>5.9105719665750595E-3</v>
      </c>
      <c r="W46" s="2"/>
      <c r="X46" s="6">
        <f t="shared" si="36"/>
        <v>507.53999999999996</v>
      </c>
      <c r="Y46" s="2"/>
      <c r="Z46" s="7">
        <f t="shared" si="37"/>
        <v>0.18988648863015645</v>
      </c>
    </row>
    <row r="47" spans="1:26" s="26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ref="F47:F60" si="38">IF(D$12=0,0,D47/D$12)</f>
        <v>0</v>
      </c>
      <c r="G47" s="1"/>
      <c r="H47" s="1">
        <f>SUM(OSRRefH22_6x_0)</f>
        <v>0</v>
      </c>
      <c r="I47" s="1"/>
      <c r="J47" s="5">
        <f t="shared" ref="J47:J60" si="39">IF(H$12=0,0,H47/H$12)</f>
        <v>0</v>
      </c>
      <c r="K47" s="1"/>
      <c r="L47" s="1">
        <f t="shared" ref="L47:L60" si="40">+D47-H47</f>
        <v>0</v>
      </c>
      <c r="M47" s="1"/>
      <c r="N47" s="5">
        <f t="shared" ref="N47:N60" si="41">IF(H47=0,0,L47/H47)</f>
        <v>0</v>
      </c>
      <c r="O47" s="13"/>
      <c r="P47" s="1">
        <f>SUM(OSRRefP22_6x_0)</f>
        <v>0</v>
      </c>
      <c r="Q47" s="1"/>
      <c r="R47" s="5">
        <f t="shared" ref="R47:R60" si="42">IF(P$12=0,0,P47/P$12)</f>
        <v>0</v>
      </c>
      <c r="S47" s="1"/>
      <c r="T47" s="1">
        <f>SUM(OSRRefT22_6x_0)</f>
        <v>74.569999999999993</v>
      </c>
      <c r="U47" s="1"/>
      <c r="V47" s="5">
        <f t="shared" ref="V47:V60" si="43">IF(T$12=0,0,T47/T$12)</f>
        <v>1.6489877941512168E-4</v>
      </c>
      <c r="W47" s="1"/>
      <c r="X47" s="1">
        <f t="shared" ref="X47:X60" si="44">+P47-T47</f>
        <v>-74.569999999999993</v>
      </c>
      <c r="Y47" s="1"/>
      <c r="Z47" s="5">
        <f t="shared" ref="Z47:Z60" si="45">IF(T47=0,0,X47/T47)</f>
        <v>-1</v>
      </c>
    </row>
    <row r="48" spans="1:26" s="24" customFormat="1" hidden="1" outlineLevel="2" x14ac:dyDescent="0.25">
      <c r="A48" s="25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38"/>
        <v>0</v>
      </c>
      <c r="G48" s="2"/>
      <c r="H48" s="6"/>
      <c r="I48" s="2"/>
      <c r="J48" s="7">
        <f t="shared" si="39"/>
        <v>0</v>
      </c>
      <c r="K48" s="2"/>
      <c r="L48" s="6">
        <f t="shared" si="40"/>
        <v>0</v>
      </c>
      <c r="M48" s="2"/>
      <c r="N48" s="7">
        <f t="shared" si="41"/>
        <v>0</v>
      </c>
      <c r="O48" s="11"/>
      <c r="P48" s="6"/>
      <c r="Q48" s="2"/>
      <c r="R48" s="7">
        <f t="shared" si="42"/>
        <v>0</v>
      </c>
      <c r="S48" s="2"/>
      <c r="T48" s="6">
        <v>74.569999999999993</v>
      </c>
      <c r="U48" s="2"/>
      <c r="V48" s="7">
        <f t="shared" si="43"/>
        <v>1.6489877941512168E-4</v>
      </c>
      <c r="W48" s="2"/>
      <c r="X48" s="6">
        <f t="shared" si="44"/>
        <v>-74.569999999999993</v>
      </c>
      <c r="Y48" s="2"/>
      <c r="Z48" s="7">
        <f t="shared" si="45"/>
        <v>-1</v>
      </c>
    </row>
    <row r="49" spans="1:26" s="26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176.4</v>
      </c>
      <c r="E49" s="1"/>
      <c r="F49" s="5">
        <f t="shared" si="38"/>
        <v>0</v>
      </c>
      <c r="G49" s="1"/>
      <c r="H49" s="1">
        <f>SUM(OSRRefH22_7x_0)</f>
        <v>93</v>
      </c>
      <c r="I49" s="1"/>
      <c r="J49" s="5">
        <f t="shared" si="39"/>
        <v>1.8772417142486886E-3</v>
      </c>
      <c r="K49" s="1"/>
      <c r="L49" s="1">
        <f t="shared" si="40"/>
        <v>83.4</v>
      </c>
      <c r="M49" s="1"/>
      <c r="N49" s="5">
        <f t="shared" si="41"/>
        <v>0.89677419354838717</v>
      </c>
      <c r="O49" s="13"/>
      <c r="P49" s="1">
        <f>SUM(OSRRefP22_7x_0)</f>
        <v>252.55</v>
      </c>
      <c r="Q49" s="1"/>
      <c r="R49" s="5">
        <f t="shared" si="42"/>
        <v>0</v>
      </c>
      <c r="S49" s="1"/>
      <c r="T49" s="1">
        <f>SUM(OSRRefT22_7x_0)</f>
        <v>761.97</v>
      </c>
      <c r="U49" s="1"/>
      <c r="V49" s="5">
        <f t="shared" si="43"/>
        <v>1.6849661117197302E-3</v>
      </c>
      <c r="W49" s="1"/>
      <c r="X49" s="1">
        <f t="shared" si="44"/>
        <v>-509.42</v>
      </c>
      <c r="Y49" s="1"/>
      <c r="Z49" s="5">
        <f t="shared" si="45"/>
        <v>-0.66855650484927232</v>
      </c>
    </row>
    <row r="50" spans="1:26" s="24" customFormat="1" hidden="1" outlineLevel="2" x14ac:dyDescent="0.25">
      <c r="A50" s="25"/>
      <c r="B50" s="11" t="str">
        <f>CONCATENATE("          ", "6351", " - ", "EQUIPMENT RENTAL")</f>
        <v xml:space="preserve">          6351 - EQUIPMENT RENTAL</v>
      </c>
      <c r="C50" s="11"/>
      <c r="D50" s="6">
        <v>176.4</v>
      </c>
      <c r="E50" s="2"/>
      <c r="F50" s="7">
        <f t="shared" si="38"/>
        <v>0</v>
      </c>
      <c r="G50" s="2"/>
      <c r="H50" s="6">
        <v>93</v>
      </c>
      <c r="I50" s="2"/>
      <c r="J50" s="7">
        <f t="shared" si="39"/>
        <v>1.8772417142486886E-3</v>
      </c>
      <c r="K50" s="2"/>
      <c r="L50" s="6">
        <f t="shared" si="40"/>
        <v>83.4</v>
      </c>
      <c r="M50" s="2"/>
      <c r="N50" s="7">
        <f t="shared" si="41"/>
        <v>0.89677419354838717</v>
      </c>
      <c r="O50" s="11"/>
      <c r="P50" s="6">
        <v>252.55</v>
      </c>
      <c r="Q50" s="2"/>
      <c r="R50" s="7">
        <f t="shared" si="42"/>
        <v>0</v>
      </c>
      <c r="S50" s="2"/>
      <c r="T50" s="6">
        <v>761.97</v>
      </c>
      <c r="U50" s="2"/>
      <c r="V50" s="7">
        <f t="shared" si="43"/>
        <v>1.6849661117197302E-3</v>
      </c>
      <c r="W50" s="2"/>
      <c r="X50" s="6">
        <f t="shared" si="44"/>
        <v>-509.42</v>
      </c>
      <c r="Y50" s="2"/>
      <c r="Z50" s="7">
        <f t="shared" si="45"/>
        <v>-0.66855650484927232</v>
      </c>
    </row>
    <row r="51" spans="1:26" s="26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0</v>
      </c>
      <c r="E51" s="1"/>
      <c r="F51" s="5">
        <f t="shared" si="38"/>
        <v>0</v>
      </c>
      <c r="G51" s="1"/>
      <c r="H51" s="1">
        <f>SUM(OSRRefH22_8x_0)</f>
        <v>27</v>
      </c>
      <c r="I51" s="1"/>
      <c r="J51" s="5">
        <f t="shared" si="39"/>
        <v>5.4500565897542576E-4</v>
      </c>
      <c r="K51" s="1"/>
      <c r="L51" s="1">
        <f t="shared" si="40"/>
        <v>-27</v>
      </c>
      <c r="M51" s="1"/>
      <c r="N51" s="5">
        <f t="shared" si="41"/>
        <v>-1</v>
      </c>
      <c r="O51" s="13"/>
      <c r="P51" s="1">
        <f>SUM(OSRRefP22_8x_0)</f>
        <v>914.55</v>
      </c>
      <c r="Q51" s="1"/>
      <c r="R51" s="5">
        <f t="shared" si="42"/>
        <v>0</v>
      </c>
      <c r="S51" s="1"/>
      <c r="T51" s="1">
        <f>SUM(OSRRefT22_8x_0)</f>
        <v>1268.23</v>
      </c>
      <c r="U51" s="1"/>
      <c r="V51" s="5">
        <f t="shared" si="43"/>
        <v>2.8044733675424405E-3</v>
      </c>
      <c r="W51" s="1"/>
      <c r="X51" s="1">
        <f t="shared" si="44"/>
        <v>-353.68000000000006</v>
      </c>
      <c r="Y51" s="1"/>
      <c r="Z51" s="5">
        <f t="shared" si="45"/>
        <v>-0.27887685987557465</v>
      </c>
    </row>
    <row r="52" spans="1:26" s="24" customFormat="1" hidden="1" outlineLevel="2" x14ac:dyDescent="0.25">
      <c r="A52" s="25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38"/>
        <v>0</v>
      </c>
      <c r="G52" s="2"/>
      <c r="H52" s="6">
        <v>27</v>
      </c>
      <c r="I52" s="2"/>
      <c r="J52" s="7">
        <f t="shared" si="39"/>
        <v>5.4500565897542576E-4</v>
      </c>
      <c r="K52" s="2"/>
      <c r="L52" s="6">
        <f t="shared" si="40"/>
        <v>-27</v>
      </c>
      <c r="M52" s="2"/>
      <c r="N52" s="7">
        <f t="shared" si="41"/>
        <v>-1</v>
      </c>
      <c r="O52" s="11"/>
      <c r="P52" s="6">
        <v>914.55</v>
      </c>
      <c r="Q52" s="2"/>
      <c r="R52" s="7">
        <f t="shared" si="42"/>
        <v>0</v>
      </c>
      <c r="S52" s="2"/>
      <c r="T52" s="6">
        <v>1268.23</v>
      </c>
      <c r="U52" s="2"/>
      <c r="V52" s="7">
        <f t="shared" si="43"/>
        <v>2.8044733675424405E-3</v>
      </c>
      <c r="W52" s="2"/>
      <c r="X52" s="6">
        <f t="shared" si="44"/>
        <v>-353.68000000000006</v>
      </c>
      <c r="Y52" s="2"/>
      <c r="Z52" s="7">
        <f t="shared" si="45"/>
        <v>-0.27887685987557465</v>
      </c>
    </row>
    <row r="53" spans="1:26" s="26" customFormat="1" outlineLevel="1" collapsed="1" x14ac:dyDescent="0.25">
      <c r="A53" s="27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SUM(OSRRefD22_9x_0)</f>
        <v>243.54</v>
      </c>
      <c r="E53" s="1"/>
      <c r="F53" s="5">
        <f t="shared" si="38"/>
        <v>0</v>
      </c>
      <c r="G53" s="1"/>
      <c r="H53" s="1">
        <f>SUM(OSRRefH22_9x_0)</f>
        <v>243.54</v>
      </c>
      <c r="I53" s="1"/>
      <c r="J53" s="5">
        <f t="shared" si="39"/>
        <v>4.9159510439583396E-3</v>
      </c>
      <c r="K53" s="1"/>
      <c r="L53" s="1">
        <f t="shared" si="40"/>
        <v>0</v>
      </c>
      <c r="M53" s="1"/>
      <c r="N53" s="5">
        <f t="shared" si="41"/>
        <v>0</v>
      </c>
      <c r="O53" s="13"/>
      <c r="P53" s="1">
        <f>SUM(OSRRefP22_9x_0)</f>
        <v>1704.78</v>
      </c>
      <c r="Q53" s="1"/>
      <c r="R53" s="5">
        <f t="shared" si="42"/>
        <v>0</v>
      </c>
      <c r="S53" s="1"/>
      <c r="T53" s="1">
        <f>SUM(OSRRefT22_9x_0)</f>
        <v>1704.78</v>
      </c>
      <c r="U53" s="1"/>
      <c r="V53" s="5">
        <f t="shared" si="43"/>
        <v>3.7698289013183743E-3</v>
      </c>
      <c r="W53" s="1"/>
      <c r="X53" s="1">
        <f t="shared" si="44"/>
        <v>0</v>
      </c>
      <c r="Y53" s="1"/>
      <c r="Z53" s="5">
        <f t="shared" si="45"/>
        <v>0</v>
      </c>
    </row>
    <row r="54" spans="1:26" s="24" customFormat="1" hidden="1" outlineLevel="2" x14ac:dyDescent="0.25">
      <c r="A54" s="25"/>
      <c r="B54" s="11" t="str">
        <f>CONCATENATE("          ", "6314", " - ", "LIABILITY INSURANCE")</f>
        <v xml:space="preserve">          6314 - LIABILITY INSURANCE</v>
      </c>
      <c r="C54" s="11"/>
      <c r="D54" s="6">
        <v>243.54</v>
      </c>
      <c r="E54" s="2"/>
      <c r="F54" s="7">
        <f t="shared" si="38"/>
        <v>0</v>
      </c>
      <c r="G54" s="2"/>
      <c r="H54" s="6">
        <v>243.54</v>
      </c>
      <c r="I54" s="2"/>
      <c r="J54" s="7">
        <f t="shared" si="39"/>
        <v>4.9159510439583396E-3</v>
      </c>
      <c r="K54" s="2"/>
      <c r="L54" s="6">
        <f t="shared" si="40"/>
        <v>0</v>
      </c>
      <c r="M54" s="2"/>
      <c r="N54" s="7">
        <f t="shared" si="41"/>
        <v>0</v>
      </c>
      <c r="O54" s="11"/>
      <c r="P54" s="6">
        <v>1704.78</v>
      </c>
      <c r="Q54" s="2"/>
      <c r="R54" s="7">
        <f t="shared" si="42"/>
        <v>0</v>
      </c>
      <c r="S54" s="2"/>
      <c r="T54" s="6">
        <v>1704.78</v>
      </c>
      <c r="U54" s="2"/>
      <c r="V54" s="7">
        <f t="shared" si="43"/>
        <v>3.7698289013183743E-3</v>
      </c>
      <c r="W54" s="2"/>
      <c r="X54" s="6">
        <f t="shared" si="44"/>
        <v>0</v>
      </c>
      <c r="Y54" s="2"/>
      <c r="Z54" s="7">
        <f t="shared" si="45"/>
        <v>0</v>
      </c>
    </row>
    <row r="55" spans="1:26" s="26" customFormat="1" outlineLevel="1" collapsed="1" x14ac:dyDescent="0.25">
      <c r="A55" s="27"/>
      <c r="B55" s="13" t="str">
        <f>CONCATENATE("     ","Interest                                          ")</f>
        <v xml:space="preserve">     Interest                                          </v>
      </c>
      <c r="C55" s="13"/>
      <c r="D55" s="1">
        <f>SUM(OSRRefD22_10x_0)</f>
        <v>4044</v>
      </c>
      <c r="E55" s="1"/>
      <c r="F55" s="5">
        <f t="shared" si="38"/>
        <v>0</v>
      </c>
      <c r="G55" s="1"/>
      <c r="H55" s="1">
        <f>SUM(OSRRefH22_10x_0)</f>
        <v>4175</v>
      </c>
      <c r="I55" s="1"/>
      <c r="J55" s="5">
        <f t="shared" si="39"/>
        <v>8.4274023193422309E-2</v>
      </c>
      <c r="K55" s="1"/>
      <c r="L55" s="1">
        <f t="shared" si="40"/>
        <v>-131</v>
      </c>
      <c r="M55" s="1"/>
      <c r="N55" s="5">
        <f t="shared" si="41"/>
        <v>-3.1377245508982035E-2</v>
      </c>
      <c r="O55" s="13"/>
      <c r="P55" s="1">
        <f>SUM(OSRRefP22_10x_0)</f>
        <v>28045.85</v>
      </c>
      <c r="Q55" s="1"/>
      <c r="R55" s="5">
        <f t="shared" si="42"/>
        <v>0</v>
      </c>
      <c r="S55" s="1"/>
      <c r="T55" s="1">
        <f>SUM(OSRRefT22_10x_0)</f>
        <v>29018.95</v>
      </c>
      <c r="U55" s="1"/>
      <c r="V55" s="5">
        <f t="shared" si="43"/>
        <v>6.417043630023396E-2</v>
      </c>
      <c r="W55" s="1"/>
      <c r="X55" s="1">
        <f t="shared" si="44"/>
        <v>-973.10000000000218</v>
      </c>
      <c r="Y55" s="1"/>
      <c r="Z55" s="5">
        <f t="shared" si="45"/>
        <v>-3.353326016275579E-2</v>
      </c>
    </row>
    <row r="56" spans="1:26" s="24" customFormat="1" hidden="1" outlineLevel="2" x14ac:dyDescent="0.25">
      <c r="A56" s="25"/>
      <c r="B56" s="11" t="str">
        <f>CONCATENATE("          ", "6401", " - ", "INTEREST EXPENSE")</f>
        <v xml:space="preserve">          6401 - INTEREST EXPENSE</v>
      </c>
      <c r="C56" s="11"/>
      <c r="D56" s="6">
        <v>4044</v>
      </c>
      <c r="E56" s="2"/>
      <c r="F56" s="7">
        <f t="shared" si="38"/>
        <v>0</v>
      </c>
      <c r="G56" s="2"/>
      <c r="H56" s="6">
        <v>4175</v>
      </c>
      <c r="I56" s="2"/>
      <c r="J56" s="7">
        <f t="shared" si="39"/>
        <v>8.4274023193422309E-2</v>
      </c>
      <c r="K56" s="2"/>
      <c r="L56" s="6">
        <f t="shared" si="40"/>
        <v>-131</v>
      </c>
      <c r="M56" s="2"/>
      <c r="N56" s="7">
        <f t="shared" si="41"/>
        <v>-3.1377245508982035E-2</v>
      </c>
      <c r="O56" s="11"/>
      <c r="P56" s="6">
        <v>28045.85</v>
      </c>
      <c r="Q56" s="2"/>
      <c r="R56" s="7">
        <f t="shared" si="42"/>
        <v>0</v>
      </c>
      <c r="S56" s="2"/>
      <c r="T56" s="6">
        <v>29018.95</v>
      </c>
      <c r="U56" s="2"/>
      <c r="V56" s="7">
        <f t="shared" si="43"/>
        <v>6.417043630023396E-2</v>
      </c>
      <c r="W56" s="2"/>
      <c r="X56" s="6">
        <f t="shared" si="44"/>
        <v>-973.10000000000218</v>
      </c>
      <c r="Y56" s="2"/>
      <c r="Z56" s="7">
        <f t="shared" si="45"/>
        <v>-3.353326016275579E-2</v>
      </c>
    </row>
    <row r="57" spans="1:26" s="26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SUM(OSRRefD22_11x_0)</f>
        <v>0</v>
      </c>
      <c r="E57" s="1"/>
      <c r="F57" s="5">
        <f t="shared" si="38"/>
        <v>0</v>
      </c>
      <c r="G57" s="1"/>
      <c r="H57" s="1">
        <f>SUM(OSRRefH22_11x_0)</f>
        <v>20.68</v>
      </c>
      <c r="I57" s="1"/>
      <c r="J57" s="5">
        <f t="shared" si="39"/>
        <v>4.1743396398562238E-4</v>
      </c>
      <c r="K57" s="1"/>
      <c r="L57" s="1">
        <f t="shared" si="40"/>
        <v>-20.68</v>
      </c>
      <c r="M57" s="1"/>
      <c r="N57" s="5">
        <f t="shared" si="41"/>
        <v>-1</v>
      </c>
      <c r="O57" s="13"/>
      <c r="P57" s="1">
        <f>SUM(OSRRefP22_11x_0)</f>
        <v>295.64</v>
      </c>
      <c r="Q57" s="1"/>
      <c r="R57" s="5">
        <f t="shared" si="42"/>
        <v>0</v>
      </c>
      <c r="S57" s="1"/>
      <c r="T57" s="1">
        <f>SUM(OSRRefT22_11x_0)</f>
        <v>937.67</v>
      </c>
      <c r="U57" s="1"/>
      <c r="V57" s="5">
        <f t="shared" si="43"/>
        <v>2.0734965602008468E-3</v>
      </c>
      <c r="W57" s="1"/>
      <c r="X57" s="1">
        <f t="shared" si="44"/>
        <v>-642.03</v>
      </c>
      <c r="Y57" s="1"/>
      <c r="Z57" s="5">
        <f t="shared" si="45"/>
        <v>-0.68470783964507764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1"/>
      <c r="P58" s="6"/>
      <c r="Q58" s="2"/>
      <c r="R58" s="7">
        <f t="shared" si="42"/>
        <v>0</v>
      </c>
      <c r="S58" s="2"/>
      <c r="T58" s="6">
        <v>437.31</v>
      </c>
      <c r="U58" s="2"/>
      <c r="V58" s="7">
        <f t="shared" si="43"/>
        <v>9.6703614357016054E-4</v>
      </c>
      <c r="W58" s="2"/>
      <c r="X58" s="6">
        <f t="shared" si="44"/>
        <v>-437.31</v>
      </c>
      <c r="Y58" s="2"/>
      <c r="Z58" s="7">
        <f t="shared" si="45"/>
        <v>-1</v>
      </c>
    </row>
    <row r="59" spans="1:26" s="24" customFormat="1" hidden="1" outlineLevel="2" x14ac:dyDescent="0.25">
      <c r="A59" s="25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38"/>
        <v>0</v>
      </c>
      <c r="G59" s="2"/>
      <c r="H59" s="6"/>
      <c r="I59" s="2"/>
      <c r="J59" s="7">
        <f t="shared" si="39"/>
        <v>0</v>
      </c>
      <c r="K59" s="2"/>
      <c r="L59" s="6">
        <f t="shared" si="40"/>
        <v>0</v>
      </c>
      <c r="M59" s="2"/>
      <c r="N59" s="7">
        <f t="shared" si="41"/>
        <v>0</v>
      </c>
      <c r="O59" s="11"/>
      <c r="P59" s="6">
        <v>295.64</v>
      </c>
      <c r="Q59" s="2"/>
      <c r="R59" s="7">
        <f t="shared" si="42"/>
        <v>0</v>
      </c>
      <c r="S59" s="2"/>
      <c r="T59" s="6">
        <v>209.74</v>
      </c>
      <c r="U59" s="2"/>
      <c r="V59" s="7">
        <f t="shared" si="43"/>
        <v>4.6380407663306459E-4</v>
      </c>
      <c r="W59" s="2"/>
      <c r="X59" s="6">
        <f t="shared" si="44"/>
        <v>85.899999999999977</v>
      </c>
      <c r="Y59" s="2"/>
      <c r="Z59" s="7">
        <f t="shared" si="45"/>
        <v>0.40955468675502993</v>
      </c>
    </row>
    <row r="60" spans="1:26" s="24" customFormat="1" hidden="1" outlineLevel="2" x14ac:dyDescent="0.25">
      <c r="A60" s="25"/>
      <c r="B60" s="11" t="str">
        <f>CONCATENATE("          ", "6375", " - ", "OUTSIDE REPAIRS &amp; MAINTENANCE")</f>
        <v xml:space="preserve">          6375 - OUTSIDE REPAIRS &amp; MAINTENANCE</v>
      </c>
      <c r="C60" s="11"/>
      <c r="D60" s="6"/>
      <c r="E60" s="2"/>
      <c r="F60" s="7">
        <f t="shared" si="38"/>
        <v>0</v>
      </c>
      <c r="G60" s="2"/>
      <c r="H60" s="6">
        <v>20.68</v>
      </c>
      <c r="I60" s="2"/>
      <c r="J60" s="7">
        <f t="shared" si="39"/>
        <v>4.1743396398562238E-4</v>
      </c>
      <c r="K60" s="2"/>
      <c r="L60" s="6">
        <f t="shared" si="40"/>
        <v>-20.68</v>
      </c>
      <c r="M60" s="2"/>
      <c r="N60" s="7">
        <f t="shared" si="41"/>
        <v>-1</v>
      </c>
      <c r="O60" s="11"/>
      <c r="P60" s="6"/>
      <c r="Q60" s="2"/>
      <c r="R60" s="7">
        <f t="shared" si="42"/>
        <v>0</v>
      </c>
      <c r="S60" s="2"/>
      <c r="T60" s="6">
        <v>290.62</v>
      </c>
      <c r="U60" s="2"/>
      <c r="V60" s="7">
        <f t="shared" si="43"/>
        <v>6.4265633999762198E-4</v>
      </c>
      <c r="W60" s="2"/>
      <c r="X60" s="6">
        <f t="shared" si="44"/>
        <v>-290.62</v>
      </c>
      <c r="Y60" s="2"/>
      <c r="Z60" s="7">
        <f t="shared" si="45"/>
        <v>-1</v>
      </c>
    </row>
    <row r="61" spans="1:26" s="26" customFormat="1" outlineLevel="1" collapsed="1" x14ac:dyDescent="0.25">
      <c r="A61" s="27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SUM(OSRRefD22_12x_0)</f>
        <v>918.4</v>
      </c>
      <c r="E61" s="1"/>
      <c r="F61" s="5">
        <f t="shared" ref="F61:F64" si="46">IF(D$12=0,0,D61/D$12)</f>
        <v>0</v>
      </c>
      <c r="G61" s="1"/>
      <c r="H61" s="1">
        <f>SUM(OSRRefH22_12x_0)</f>
        <v>425.32</v>
      </c>
      <c r="I61" s="1"/>
      <c r="J61" s="5">
        <f t="shared" ref="J61:J64" si="47">IF(H$12=0,0,H61/H$12)</f>
        <v>8.5852521064973351E-3</v>
      </c>
      <c r="K61" s="1"/>
      <c r="L61" s="1">
        <f t="shared" ref="L61:L64" si="48">+D61-H61</f>
        <v>493.08</v>
      </c>
      <c r="M61" s="1"/>
      <c r="N61" s="5">
        <f t="shared" ref="N61:N64" si="49">IF(H61=0,0,L61/H61)</f>
        <v>1.1593153390388413</v>
      </c>
      <c r="O61" s="13"/>
      <c r="P61" s="1">
        <f>SUM(OSRRefP22_12x_0)</f>
        <v>1496.4</v>
      </c>
      <c r="Q61" s="1"/>
      <c r="R61" s="5">
        <f t="shared" ref="R61:R64" si="50">IF(P$12=0,0,P61/P$12)</f>
        <v>0</v>
      </c>
      <c r="S61" s="1"/>
      <c r="T61" s="1">
        <f>SUM(OSRRefT22_12x_0)</f>
        <v>3844.31</v>
      </c>
      <c r="U61" s="1"/>
      <c r="V61" s="5">
        <f t="shared" ref="V61:V64" si="51">IF(T$12=0,0,T61/T$12)</f>
        <v>8.5010329447947758E-3</v>
      </c>
      <c r="W61" s="1"/>
      <c r="X61" s="1">
        <f t="shared" ref="X61:X64" si="52">+P61-T61</f>
        <v>-2347.91</v>
      </c>
      <c r="Y61" s="1"/>
      <c r="Z61" s="5">
        <f t="shared" ref="Z61:Z64" si="53">IF(T61=0,0,X61/T61)</f>
        <v>-0.61074939325912836</v>
      </c>
    </row>
    <row r="62" spans="1:26" s="24" customFormat="1" hidden="1" outlineLevel="2" x14ac:dyDescent="0.25">
      <c r="A62" s="25"/>
      <c r="B62" s="11" t="str">
        <f>CONCATENATE("          ", "6282", " - ", "JANITORIAL/EXTERMINATOR EXPENS")</f>
        <v xml:space="preserve">          6282 - JANITORIAL/EXTERMINATOR EXPENS</v>
      </c>
      <c r="C62" s="11"/>
      <c r="D62" s="6">
        <v>629.4</v>
      </c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629.4</v>
      </c>
      <c r="M62" s="2"/>
      <c r="N62" s="7">
        <f t="shared" si="49"/>
        <v>0</v>
      </c>
      <c r="O62" s="11"/>
      <c r="P62" s="6">
        <v>629.4</v>
      </c>
      <c r="Q62" s="2"/>
      <c r="R62" s="7">
        <f t="shared" si="50"/>
        <v>0</v>
      </c>
      <c r="S62" s="2"/>
      <c r="T62" s="6">
        <v>1101.45</v>
      </c>
      <c r="U62" s="2"/>
      <c r="V62" s="7">
        <f t="shared" si="51"/>
        <v>2.4356679708567226E-3</v>
      </c>
      <c r="W62" s="2"/>
      <c r="X62" s="6">
        <f t="shared" si="52"/>
        <v>-472.05000000000007</v>
      </c>
      <c r="Y62" s="2"/>
      <c r="Z62" s="7">
        <f t="shared" si="53"/>
        <v>-0.4285714285714286</v>
      </c>
    </row>
    <row r="63" spans="1:26" s="24" customFormat="1" hidden="1" outlineLevel="2" x14ac:dyDescent="0.25">
      <c r="A63" s="25"/>
      <c r="B63" s="11" t="str">
        <f>CONCATENATE("          ", "6284", " - ", "TRASH REMOVAL EXPENSE")</f>
        <v xml:space="preserve">          6284 - TRASH REMOVAL EXPENSE</v>
      </c>
      <c r="C63" s="11"/>
      <c r="D63" s="6">
        <v>289</v>
      </c>
      <c r="E63" s="2"/>
      <c r="F63" s="7">
        <f t="shared" si="46"/>
        <v>0</v>
      </c>
      <c r="G63" s="2"/>
      <c r="H63" s="6">
        <v>289</v>
      </c>
      <c r="I63" s="2"/>
      <c r="J63" s="7">
        <f t="shared" si="47"/>
        <v>5.8335790905147417E-3</v>
      </c>
      <c r="K63" s="2"/>
      <c r="L63" s="6">
        <f t="shared" si="48"/>
        <v>0</v>
      </c>
      <c r="M63" s="2"/>
      <c r="N63" s="7">
        <f t="shared" si="49"/>
        <v>0</v>
      </c>
      <c r="O63" s="11"/>
      <c r="P63" s="6">
        <v>867</v>
      </c>
      <c r="Q63" s="2"/>
      <c r="R63" s="7">
        <f t="shared" si="50"/>
        <v>0</v>
      </c>
      <c r="S63" s="2"/>
      <c r="T63" s="6">
        <v>2022</v>
      </c>
      <c r="U63" s="2"/>
      <c r="V63" s="7">
        <f t="shared" si="51"/>
        <v>4.4713065841139338E-3</v>
      </c>
      <c r="W63" s="2"/>
      <c r="X63" s="6">
        <f t="shared" si="52"/>
        <v>-1155</v>
      </c>
      <c r="Y63" s="2"/>
      <c r="Z63" s="7">
        <f t="shared" si="53"/>
        <v>-0.57121661721068251</v>
      </c>
    </row>
    <row r="64" spans="1:26" s="24" customFormat="1" hidden="1" outlineLevel="2" x14ac:dyDescent="0.25">
      <c r="A64" s="25"/>
      <c r="B64" s="11" t="str">
        <f>CONCATENATE("          ", "6286", " - ", "LAUNDRY EXPENSE")</f>
        <v xml:space="preserve">          6286 - LAUNDRY EXPENSE</v>
      </c>
      <c r="C64" s="11"/>
      <c r="D64" s="6"/>
      <c r="E64" s="2"/>
      <c r="F64" s="7">
        <f t="shared" si="46"/>
        <v>0</v>
      </c>
      <c r="G64" s="2"/>
      <c r="H64" s="6">
        <v>136.32</v>
      </c>
      <c r="I64" s="2"/>
      <c r="J64" s="7">
        <f t="shared" si="47"/>
        <v>2.7516730159825938E-3</v>
      </c>
      <c r="K64" s="2"/>
      <c r="L64" s="6">
        <f t="shared" si="48"/>
        <v>-136.32</v>
      </c>
      <c r="M64" s="2"/>
      <c r="N64" s="7">
        <f t="shared" si="49"/>
        <v>-1</v>
      </c>
      <c r="O64" s="11"/>
      <c r="P64" s="6"/>
      <c r="Q64" s="2"/>
      <c r="R64" s="7">
        <f t="shared" si="50"/>
        <v>0</v>
      </c>
      <c r="S64" s="2"/>
      <c r="T64" s="6">
        <v>720.86</v>
      </c>
      <c r="U64" s="2"/>
      <c r="V64" s="7">
        <f t="shared" si="51"/>
        <v>1.59405838982412E-3</v>
      </c>
      <c r="W64" s="2"/>
      <c r="X64" s="6">
        <f t="shared" si="52"/>
        <v>-720.86</v>
      </c>
      <c r="Y64" s="2"/>
      <c r="Z64" s="7">
        <f t="shared" si="53"/>
        <v>-1</v>
      </c>
    </row>
    <row r="65" spans="1:26" s="26" customFormat="1" outlineLevel="1" collapsed="1" x14ac:dyDescent="0.25">
      <c r="A65" s="27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SUM(OSRRefD22_13x_0)</f>
        <v>0</v>
      </c>
      <c r="E65" s="1"/>
      <c r="F65" s="5">
        <f t="shared" ref="F65:F72" si="54">IF(D$12=0,0,D65/D$12)</f>
        <v>0</v>
      </c>
      <c r="G65" s="1"/>
      <c r="H65" s="1">
        <f>SUM(OSRRefH22_13x_0)</f>
        <v>176.4</v>
      </c>
      <c r="I65" s="1"/>
      <c r="J65" s="5">
        <f t="shared" ref="J65:J72" si="55">IF(H$12=0,0,H65/H$12)</f>
        <v>3.5607036386394483E-3</v>
      </c>
      <c r="K65" s="1"/>
      <c r="L65" s="1">
        <f t="shared" ref="L65:L72" si="56">+D65-H65</f>
        <v>-176.4</v>
      </c>
      <c r="M65" s="1"/>
      <c r="N65" s="5">
        <f t="shared" ref="N65:N72" si="57">IF(H65=0,0,L65/H65)</f>
        <v>-1</v>
      </c>
      <c r="O65" s="13"/>
      <c r="P65" s="1">
        <f>SUM(OSRRefP22_13x_0)</f>
        <v>0</v>
      </c>
      <c r="Q65" s="1"/>
      <c r="R65" s="5">
        <f t="shared" ref="R65:R72" si="58">IF(P$12=0,0,P65/P$12)</f>
        <v>0</v>
      </c>
      <c r="S65" s="1"/>
      <c r="T65" s="1">
        <f>SUM(OSRRefT22_13x_0)</f>
        <v>1234.8</v>
      </c>
      <c r="U65" s="1"/>
      <c r="V65" s="5">
        <f t="shared" ref="V65:V72" si="59">IF(T$12=0,0,T65/T$12)</f>
        <v>2.7305486498832273E-3</v>
      </c>
      <c r="W65" s="1"/>
      <c r="X65" s="1">
        <f t="shared" ref="X65:X72" si="60">+P65-T65</f>
        <v>-1234.8</v>
      </c>
      <c r="Y65" s="1"/>
      <c r="Z65" s="5">
        <f t="shared" ref="Z65:Z72" si="61">IF(T65=0,0,X65/T65)</f>
        <v>-1</v>
      </c>
    </row>
    <row r="66" spans="1:26" s="24" customFormat="1" hidden="1" outlineLevel="2" x14ac:dyDescent="0.25">
      <c r="A66" s="25"/>
      <c r="B66" s="11" t="str">
        <f>CONCATENATE("          ", "6275", " - ", "SUBSCRIPTIONS")</f>
        <v xml:space="preserve">          6275 - SUBSCRIPTIONS</v>
      </c>
      <c r="C66" s="11"/>
      <c r="D66" s="6"/>
      <c r="E66" s="2"/>
      <c r="F66" s="7">
        <f t="shared" si="54"/>
        <v>0</v>
      </c>
      <c r="G66" s="2"/>
      <c r="H66" s="6">
        <v>176.4</v>
      </c>
      <c r="I66" s="2"/>
      <c r="J66" s="7">
        <f t="shared" si="55"/>
        <v>3.5607036386394483E-3</v>
      </c>
      <c r="K66" s="2"/>
      <c r="L66" s="6">
        <f t="shared" si="56"/>
        <v>-176.4</v>
      </c>
      <c r="M66" s="2"/>
      <c r="N66" s="7">
        <f t="shared" si="57"/>
        <v>-1</v>
      </c>
      <c r="O66" s="11"/>
      <c r="P66" s="6"/>
      <c r="Q66" s="2"/>
      <c r="R66" s="7">
        <f t="shared" si="58"/>
        <v>0</v>
      </c>
      <c r="S66" s="2"/>
      <c r="T66" s="6">
        <v>1234.8</v>
      </c>
      <c r="U66" s="2"/>
      <c r="V66" s="7">
        <f t="shared" si="59"/>
        <v>2.7305486498832273E-3</v>
      </c>
      <c r="W66" s="2"/>
      <c r="X66" s="6">
        <f t="shared" si="60"/>
        <v>-1234.8</v>
      </c>
      <c r="Y66" s="2"/>
      <c r="Z66" s="7">
        <f t="shared" si="61"/>
        <v>-1</v>
      </c>
    </row>
    <row r="67" spans="1:26" s="26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SUM(OSRRefD22_14x_0)</f>
        <v>0</v>
      </c>
      <c r="E67" s="1"/>
      <c r="F67" s="5">
        <f t="shared" si="54"/>
        <v>0</v>
      </c>
      <c r="G67" s="1"/>
      <c r="H67" s="1">
        <f>SUM(OSRRefH22_14x_0)</f>
        <v>1032.4099999999999</v>
      </c>
      <c r="I67" s="1"/>
      <c r="J67" s="5">
        <f t="shared" si="55"/>
        <v>2.0839603421585896E-2</v>
      </c>
      <c r="K67" s="1"/>
      <c r="L67" s="1">
        <f t="shared" si="56"/>
        <v>-1032.4099999999999</v>
      </c>
      <c r="M67" s="1"/>
      <c r="N67" s="5">
        <f t="shared" si="57"/>
        <v>-1</v>
      </c>
      <c r="O67" s="13"/>
      <c r="P67" s="1">
        <f>SUM(OSRRefP22_14x_0)</f>
        <v>634.24</v>
      </c>
      <c r="Q67" s="1"/>
      <c r="R67" s="5">
        <f t="shared" si="58"/>
        <v>0</v>
      </c>
      <c r="S67" s="1"/>
      <c r="T67" s="1">
        <f>SUM(OSRRefT22_14x_0)</f>
        <v>9842.9500000000007</v>
      </c>
      <c r="U67" s="1"/>
      <c r="V67" s="5">
        <f t="shared" si="59"/>
        <v>2.1765997597479849E-2</v>
      </c>
      <c r="W67" s="1"/>
      <c r="X67" s="1">
        <f t="shared" si="60"/>
        <v>-9208.7100000000009</v>
      </c>
      <c r="Y67" s="1"/>
      <c r="Z67" s="5">
        <f t="shared" si="61"/>
        <v>-0.9355640331404711</v>
      </c>
    </row>
    <row r="68" spans="1:26" s="24" customFormat="1" hidden="1" outlineLevel="2" x14ac:dyDescent="0.25">
      <c r="A68" s="25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54"/>
        <v>0</v>
      </c>
      <c r="G68" s="2"/>
      <c r="H68" s="6"/>
      <c r="I68" s="2"/>
      <c r="J68" s="7">
        <f t="shared" si="55"/>
        <v>0</v>
      </c>
      <c r="K68" s="2"/>
      <c r="L68" s="6">
        <f t="shared" si="56"/>
        <v>0</v>
      </c>
      <c r="M68" s="2"/>
      <c r="N68" s="7">
        <f t="shared" si="57"/>
        <v>0</v>
      </c>
      <c r="O68" s="11"/>
      <c r="P68" s="6">
        <v>316.67</v>
      </c>
      <c r="Q68" s="2"/>
      <c r="R68" s="7">
        <f t="shared" si="58"/>
        <v>0</v>
      </c>
      <c r="S68" s="2"/>
      <c r="T68" s="6">
        <v>28.22</v>
      </c>
      <c r="U68" s="2"/>
      <c r="V68" s="7">
        <f t="shared" si="59"/>
        <v>6.2403695254053024E-5</v>
      </c>
      <c r="W68" s="2"/>
      <c r="X68" s="6">
        <f t="shared" si="60"/>
        <v>288.45000000000005</v>
      </c>
      <c r="Y68" s="2"/>
      <c r="Z68" s="7">
        <f t="shared" si="61"/>
        <v>10.221474131821406</v>
      </c>
    </row>
    <row r="69" spans="1:26" s="24" customFormat="1" hidden="1" outlineLevel="2" x14ac:dyDescent="0.25">
      <c r="A69" s="25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54"/>
        <v>0</v>
      </c>
      <c r="G69" s="2"/>
      <c r="H69" s="6">
        <v>230.92</v>
      </c>
      <c r="I69" s="2"/>
      <c r="J69" s="7">
        <f t="shared" si="55"/>
        <v>4.6612113618742703E-3</v>
      </c>
      <c r="K69" s="2"/>
      <c r="L69" s="6">
        <f t="shared" si="56"/>
        <v>-230.92</v>
      </c>
      <c r="M69" s="2"/>
      <c r="N69" s="7">
        <f t="shared" si="57"/>
        <v>-1</v>
      </c>
      <c r="O69" s="11"/>
      <c r="P69" s="6">
        <v>317.57</v>
      </c>
      <c r="Q69" s="2"/>
      <c r="R69" s="7">
        <f t="shared" si="58"/>
        <v>0</v>
      </c>
      <c r="S69" s="2"/>
      <c r="T69" s="6">
        <v>920.97</v>
      </c>
      <c r="U69" s="2"/>
      <c r="V69" s="7">
        <f t="shared" si="59"/>
        <v>2.0365673713013898E-3</v>
      </c>
      <c r="W69" s="2"/>
      <c r="X69" s="6">
        <f t="shared" si="60"/>
        <v>-603.40000000000009</v>
      </c>
      <c r="Y69" s="2"/>
      <c r="Z69" s="7">
        <f t="shared" si="61"/>
        <v>-0.65517877889616394</v>
      </c>
    </row>
    <row r="70" spans="1:26" s="24" customFormat="1" hidden="1" outlineLevel="2" x14ac:dyDescent="0.25">
      <c r="A70" s="25"/>
      <c r="B70" s="11" t="str">
        <f>CONCATENATE("          ", "6241", " - ", "OFFICE EXPENSE")</f>
        <v xml:space="preserve">          6241 - OFFICE EXPENSE</v>
      </c>
      <c r="C70" s="11"/>
      <c r="D70" s="6"/>
      <c r="E70" s="2"/>
      <c r="F70" s="7">
        <f t="shared" si="54"/>
        <v>0</v>
      </c>
      <c r="G70" s="2"/>
      <c r="H70" s="6">
        <v>37.96</v>
      </c>
      <c r="I70" s="2"/>
      <c r="J70" s="7">
        <f t="shared" si="55"/>
        <v>7.6623758572989483E-4</v>
      </c>
      <c r="K70" s="2"/>
      <c r="L70" s="6">
        <f t="shared" si="56"/>
        <v>-37.96</v>
      </c>
      <c r="M70" s="2"/>
      <c r="N70" s="7">
        <f t="shared" si="57"/>
        <v>-1</v>
      </c>
      <c r="O70" s="11"/>
      <c r="P70" s="6"/>
      <c r="Q70" s="2"/>
      <c r="R70" s="7">
        <f t="shared" si="58"/>
        <v>0</v>
      </c>
      <c r="S70" s="2"/>
      <c r="T70" s="6">
        <v>484.03</v>
      </c>
      <c r="U70" s="2"/>
      <c r="V70" s="7">
        <f t="shared" si="59"/>
        <v>1.0703494193415764E-3</v>
      </c>
      <c r="W70" s="2"/>
      <c r="X70" s="6">
        <f t="shared" si="60"/>
        <v>-484.03</v>
      </c>
      <c r="Y70" s="2"/>
      <c r="Z70" s="7">
        <f t="shared" si="61"/>
        <v>-1</v>
      </c>
    </row>
    <row r="71" spans="1:26" s="24" customFormat="1" hidden="1" outlineLevel="2" x14ac:dyDescent="0.25">
      <c r="A71" s="25"/>
      <c r="B71" s="11" t="str">
        <f>CONCATENATE("          ", "6243", " - ", "PAPER SUPPLIES")</f>
        <v xml:space="preserve">          6243 - PAPER SUPPLIES</v>
      </c>
      <c r="C71" s="11"/>
      <c r="D71" s="6"/>
      <c r="E71" s="2"/>
      <c r="F71" s="7">
        <f t="shared" si="54"/>
        <v>0</v>
      </c>
      <c r="G71" s="2"/>
      <c r="H71" s="6">
        <v>453.53</v>
      </c>
      <c r="I71" s="2"/>
      <c r="J71" s="7">
        <f t="shared" si="55"/>
        <v>9.154682093152771E-3</v>
      </c>
      <c r="K71" s="2"/>
      <c r="L71" s="6">
        <f t="shared" si="56"/>
        <v>-453.53</v>
      </c>
      <c r="M71" s="2"/>
      <c r="N71" s="7">
        <f t="shared" si="57"/>
        <v>-1</v>
      </c>
      <c r="O71" s="11"/>
      <c r="P71" s="6"/>
      <c r="Q71" s="2"/>
      <c r="R71" s="7">
        <f t="shared" si="58"/>
        <v>0</v>
      </c>
      <c r="S71" s="2"/>
      <c r="T71" s="6">
        <v>1130.08</v>
      </c>
      <c r="U71" s="2"/>
      <c r="V71" s="7">
        <f t="shared" si="59"/>
        <v>2.4989783108681873E-3</v>
      </c>
      <c r="W71" s="2"/>
      <c r="X71" s="6">
        <f t="shared" si="60"/>
        <v>-1130.08</v>
      </c>
      <c r="Y71" s="2"/>
      <c r="Z71" s="7">
        <f t="shared" si="61"/>
        <v>-1</v>
      </c>
    </row>
    <row r="72" spans="1:26" s="24" customFormat="1" hidden="1" outlineLevel="2" x14ac:dyDescent="0.25">
      <c r="A72" s="25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54"/>
        <v>0</v>
      </c>
      <c r="G72" s="2"/>
      <c r="H72" s="6">
        <v>310</v>
      </c>
      <c r="I72" s="2"/>
      <c r="J72" s="7">
        <f t="shared" si="55"/>
        <v>6.2574723808289621E-3</v>
      </c>
      <c r="K72" s="2"/>
      <c r="L72" s="6">
        <f t="shared" si="56"/>
        <v>-310</v>
      </c>
      <c r="M72" s="2"/>
      <c r="N72" s="7">
        <f t="shared" si="57"/>
        <v>-1</v>
      </c>
      <c r="O72" s="11"/>
      <c r="P72" s="6"/>
      <c r="Q72" s="2"/>
      <c r="R72" s="7">
        <f t="shared" si="58"/>
        <v>0</v>
      </c>
      <c r="S72" s="2"/>
      <c r="T72" s="6">
        <v>7279.65</v>
      </c>
      <c r="U72" s="2"/>
      <c r="V72" s="7">
        <f t="shared" si="59"/>
        <v>1.6097698800714638E-2</v>
      </c>
      <c r="W72" s="2"/>
      <c r="X72" s="6">
        <f t="shared" si="60"/>
        <v>-7279.65</v>
      </c>
      <c r="Y72" s="2"/>
      <c r="Z72" s="7">
        <f t="shared" si="61"/>
        <v>-1</v>
      </c>
    </row>
    <row r="73" spans="1:26" s="26" customFormat="1" outlineLevel="1" collapsed="1" x14ac:dyDescent="0.25">
      <c r="A73" s="27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SUM(OSRRefD22_15x_0)</f>
        <v>172</v>
      </c>
      <c r="E73" s="1"/>
      <c r="F73" s="5">
        <f t="shared" ref="F73:F76" si="62">IF(D$12=0,0,D73/D$12)</f>
        <v>0</v>
      </c>
      <c r="G73" s="1"/>
      <c r="H73" s="1">
        <f>SUM(OSRRefH22_15x_0)</f>
        <v>88.65</v>
      </c>
      <c r="I73" s="1"/>
      <c r="J73" s="5">
        <f t="shared" ref="J73:J76" si="63">IF(H$12=0,0,H73/H$12)</f>
        <v>1.7894352469693146E-3</v>
      </c>
      <c r="K73" s="1"/>
      <c r="L73" s="1">
        <f t="shared" ref="L73:L76" si="64">+D73-H73</f>
        <v>83.35</v>
      </c>
      <c r="M73" s="1"/>
      <c r="N73" s="5">
        <f t="shared" ref="N73:N76" si="65">IF(H73=0,0,L73/H73)</f>
        <v>0.94021432600112786</v>
      </c>
      <c r="O73" s="13"/>
      <c r="P73" s="1">
        <f>SUM(OSRRefP22_15x_0)</f>
        <v>1059.8699999999999</v>
      </c>
      <c r="Q73" s="1"/>
      <c r="R73" s="5">
        <f t="shared" ref="R73:R76" si="66">IF(P$12=0,0,P73/P$12)</f>
        <v>0</v>
      </c>
      <c r="S73" s="1"/>
      <c r="T73" s="1">
        <f>SUM(OSRRefT22_15x_0)</f>
        <v>322.25</v>
      </c>
      <c r="U73" s="1"/>
      <c r="V73" s="5">
        <f t="shared" ref="V73:V76" si="67">IF(T$12=0,0,T73/T$12)</f>
        <v>7.1260066603892939E-4</v>
      </c>
      <c r="W73" s="1"/>
      <c r="X73" s="1">
        <f t="shared" ref="X73:X76" si="68">+P73-T73</f>
        <v>737.61999999999989</v>
      </c>
      <c r="Y73" s="1"/>
      <c r="Z73" s="5">
        <f t="shared" ref="Z73:Z76" si="69">IF(T73=0,0,X73/T73)</f>
        <v>2.2889681923972067</v>
      </c>
    </row>
    <row r="74" spans="1:26" s="24" customFormat="1" hidden="1" outlineLevel="2" x14ac:dyDescent="0.25">
      <c r="A74" s="25"/>
      <c r="B74" s="11" t="str">
        <f>CONCATENATE("          ", "6309", " - ", "TELEPHONE")</f>
        <v xml:space="preserve">          6309 - TELEPHONE</v>
      </c>
      <c r="C74" s="11"/>
      <c r="D74" s="6">
        <v>172</v>
      </c>
      <c r="E74" s="2"/>
      <c r="F74" s="7">
        <f t="shared" si="62"/>
        <v>0</v>
      </c>
      <c r="G74" s="2"/>
      <c r="H74" s="6">
        <v>88.65</v>
      </c>
      <c r="I74" s="2"/>
      <c r="J74" s="7">
        <f t="shared" si="63"/>
        <v>1.7894352469693146E-3</v>
      </c>
      <c r="K74" s="2"/>
      <c r="L74" s="6">
        <f t="shared" si="64"/>
        <v>83.35</v>
      </c>
      <c r="M74" s="2"/>
      <c r="N74" s="7">
        <f t="shared" si="65"/>
        <v>0.94021432600112786</v>
      </c>
      <c r="O74" s="11"/>
      <c r="P74" s="6">
        <v>1059.8699999999999</v>
      </c>
      <c r="Q74" s="2"/>
      <c r="R74" s="7">
        <f t="shared" si="66"/>
        <v>0</v>
      </c>
      <c r="S74" s="2"/>
      <c r="T74" s="6">
        <v>322.25</v>
      </c>
      <c r="U74" s="2"/>
      <c r="V74" s="7">
        <f t="shared" si="67"/>
        <v>7.1260066603892939E-4</v>
      </c>
      <c r="W74" s="2"/>
      <c r="X74" s="6">
        <f t="shared" si="68"/>
        <v>737.61999999999989</v>
      </c>
      <c r="Y74" s="2"/>
      <c r="Z74" s="7">
        <f t="shared" si="69"/>
        <v>2.2889681923972067</v>
      </c>
    </row>
    <row r="75" spans="1:26" s="26" customFormat="1" outlineLevel="1" collapsed="1" x14ac:dyDescent="0.25">
      <c r="A75" s="27"/>
      <c r="B75" s="13" t="str">
        <f>CONCATENATE("     ","Utilities                                         ")</f>
        <v xml:space="preserve">     Utilities                                         </v>
      </c>
      <c r="C75" s="13"/>
      <c r="D75" s="1">
        <f>SUM(OSRRefD22_16x_0)</f>
        <v>878</v>
      </c>
      <c r="E75" s="1"/>
      <c r="F75" s="5">
        <f t="shared" si="62"/>
        <v>0</v>
      </c>
      <c r="G75" s="1"/>
      <c r="H75" s="1">
        <f>SUM(OSRRefH22_16x_0)</f>
        <v>878</v>
      </c>
      <c r="I75" s="1"/>
      <c r="J75" s="5">
        <f t="shared" si="63"/>
        <v>1.7722776614089771E-2</v>
      </c>
      <c r="K75" s="1"/>
      <c r="L75" s="1">
        <f t="shared" si="64"/>
        <v>0</v>
      </c>
      <c r="M75" s="1"/>
      <c r="N75" s="5">
        <f t="shared" si="65"/>
        <v>0</v>
      </c>
      <c r="O75" s="13"/>
      <c r="P75" s="1">
        <f>SUM(OSRRefP22_16x_0)</f>
        <v>3512</v>
      </c>
      <c r="Q75" s="1"/>
      <c r="R75" s="5">
        <f t="shared" si="66"/>
        <v>0</v>
      </c>
      <c r="S75" s="1"/>
      <c r="T75" s="1">
        <f>SUM(OSRRefT22_16x_0)</f>
        <v>5894</v>
      </c>
      <c r="U75" s="1"/>
      <c r="V75" s="5">
        <f t="shared" si="67"/>
        <v>1.3033571219964159E-2</v>
      </c>
      <c r="W75" s="1"/>
      <c r="X75" s="1">
        <f t="shared" si="68"/>
        <v>-2382</v>
      </c>
      <c r="Y75" s="1"/>
      <c r="Z75" s="5">
        <f t="shared" si="69"/>
        <v>-0.4041398031896844</v>
      </c>
    </row>
    <row r="76" spans="1:26" s="24" customFormat="1" hidden="1" outlineLevel="2" x14ac:dyDescent="0.25">
      <c r="A76" s="25"/>
      <c r="B76" s="11" t="str">
        <f>CONCATENATE("          ", "6274", " - ", "UTILITIES")</f>
        <v xml:space="preserve">          6274 - UTILITIES</v>
      </c>
      <c r="C76" s="11"/>
      <c r="D76" s="6">
        <v>878</v>
      </c>
      <c r="E76" s="2"/>
      <c r="F76" s="7">
        <f t="shared" si="62"/>
        <v>0</v>
      </c>
      <c r="G76" s="2"/>
      <c r="H76" s="6">
        <v>878</v>
      </c>
      <c r="I76" s="2"/>
      <c r="J76" s="7">
        <f t="shared" si="63"/>
        <v>1.7722776614089771E-2</v>
      </c>
      <c r="K76" s="2"/>
      <c r="L76" s="6">
        <f t="shared" si="64"/>
        <v>0</v>
      </c>
      <c r="M76" s="2"/>
      <c r="N76" s="7">
        <f t="shared" si="65"/>
        <v>0</v>
      </c>
      <c r="O76" s="11"/>
      <c r="P76" s="6">
        <v>3512</v>
      </c>
      <c r="Q76" s="2"/>
      <c r="R76" s="7">
        <f t="shared" si="66"/>
        <v>0</v>
      </c>
      <c r="S76" s="2"/>
      <c r="T76" s="6">
        <v>5894</v>
      </c>
      <c r="U76" s="2"/>
      <c r="V76" s="7">
        <f t="shared" si="67"/>
        <v>1.3033571219964159E-2</v>
      </c>
      <c r="W76" s="2"/>
      <c r="X76" s="6">
        <f t="shared" si="68"/>
        <v>-2382</v>
      </c>
      <c r="Y76" s="2"/>
      <c r="Z76" s="7">
        <f t="shared" si="69"/>
        <v>-0.4041398031896844</v>
      </c>
    </row>
    <row r="77" spans="1:26" s="61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9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3</v>
      </c>
      <c r="C80" s="28"/>
      <c r="D80" s="20">
        <f>+D20-D22+D78</f>
        <v>-11903.55</v>
      </c>
      <c r="E80" s="14"/>
      <c r="F80" s="22">
        <f>IF(D$12=0,0,D80/D$12)</f>
        <v>0</v>
      </c>
      <c r="G80" s="14"/>
      <c r="H80" s="20">
        <f>+H20-H22+H78</f>
        <v>-4485.25</v>
      </c>
      <c r="I80" s="14"/>
      <c r="J80" s="22">
        <f>IF(H$12=0,0,H80/H$12)</f>
        <v>-9.0536541922945496E-2</v>
      </c>
      <c r="K80" s="15"/>
      <c r="L80" s="20">
        <f>+D80-H80</f>
        <v>-7418.2999999999993</v>
      </c>
      <c r="M80" s="15"/>
      <c r="N80" s="22">
        <f>IF(H80=0,0,L80/H80)</f>
        <v>1.6539323337606597</v>
      </c>
      <c r="O80" s="29"/>
      <c r="P80" s="20">
        <f>+P20-P22+P78</f>
        <v>-91074.810000000012</v>
      </c>
      <c r="Q80" s="14"/>
      <c r="R80" s="22">
        <f>IF(P$12=0,0,P80/P$12)</f>
        <v>0</v>
      </c>
      <c r="S80" s="14"/>
      <c r="T80" s="20">
        <f>+T20-T22+T78</f>
        <v>34022.760000000068</v>
      </c>
      <c r="U80" s="14"/>
      <c r="V80" s="22">
        <f>IF(T$12=0,0,T80/T$12)</f>
        <v>7.5235504845563059E-2</v>
      </c>
      <c r="W80" s="15"/>
      <c r="X80" s="20">
        <f>+P80-T80</f>
        <v>-125097.57000000008</v>
      </c>
      <c r="Y80" s="15"/>
      <c r="Z80" s="22">
        <f>IF(T80=0,0,X80/T80)</f>
        <v>-3.6768789480923898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/>
      <c r="E82" s="4"/>
      <c r="F82" s="12">
        <f>IF(D$12=0,0,D82/D$12)</f>
        <v>0</v>
      </c>
      <c r="G82" s="4"/>
      <c r="H82" s="4">
        <v>3667.7</v>
      </c>
      <c r="I82" s="4"/>
      <c r="J82" s="12">
        <f>IF(H$12=0,0,H82/H$12)</f>
        <v>7.4033972423117364E-2</v>
      </c>
      <c r="K82" s="4"/>
      <c r="L82" s="4">
        <f>+D82-H82</f>
        <v>-3667.7</v>
      </c>
      <c r="M82" s="4"/>
      <c r="N82" s="12">
        <f>IF(H82=0,0,L82/H82)</f>
        <v>-1</v>
      </c>
      <c r="O82" s="10"/>
      <c r="P82" s="4"/>
      <c r="Q82" s="4"/>
      <c r="R82" s="12">
        <f>IF(P$12=0,0,P82/P$12)</f>
        <v>0</v>
      </c>
      <c r="S82" s="4"/>
      <c r="T82" s="4">
        <v>47159.81</v>
      </c>
      <c r="U82" s="4"/>
      <c r="V82" s="12">
        <f>IF(T$12=0,0,T82/T$12)</f>
        <v>0.10428584023667761</v>
      </c>
      <c r="W82" s="4"/>
      <c r="X82" s="4">
        <f>+P82-T82</f>
        <v>-47159.81</v>
      </c>
      <c r="Y82" s="4"/>
      <c r="Z82" s="12">
        <f>IF(T82=0,0,X82/T82)</f>
        <v>-1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4</v>
      </c>
      <c r="C84" s="28"/>
      <c r="D84" s="30">
        <f>+D80-D82</f>
        <v>-11903.55</v>
      </c>
      <c r="E84" s="14"/>
      <c r="F84" s="36">
        <f>IF(D$12=0,0,D84/D$12)</f>
        <v>0</v>
      </c>
      <c r="G84" s="14"/>
      <c r="H84" s="30">
        <f>+H80-H82</f>
        <v>-8152.95</v>
      </c>
      <c r="I84" s="14"/>
      <c r="J84" s="36">
        <f>IF(H$12=0,0,H84/H$12)</f>
        <v>-0.16457051434606285</v>
      </c>
      <c r="K84" s="15"/>
      <c r="L84" s="30">
        <f>D84-H84</f>
        <v>-3750.5999999999995</v>
      </c>
      <c r="M84" s="15"/>
      <c r="N84" s="36">
        <f>IF(H84=0,0,L84/H84)</f>
        <v>0.46002980516254849</v>
      </c>
      <c r="O84" s="29"/>
      <c r="P84" s="30">
        <f>+P80-P82</f>
        <v>-91074.810000000012</v>
      </c>
      <c r="Q84" s="14"/>
      <c r="R84" s="36">
        <f>IF(P$12=0,0,P84/P$12)</f>
        <v>0</v>
      </c>
      <c r="S84" s="14"/>
      <c r="T84" s="30">
        <f>+T80-T82</f>
        <v>-13137.04999999993</v>
      </c>
      <c r="U84" s="14"/>
      <c r="V84" s="36">
        <f>IF(T$12=0,0,T84/T$12)</f>
        <v>-2.9050335391114564E-2</v>
      </c>
      <c r="W84" s="15"/>
      <c r="X84" s="30">
        <f>P84-T84</f>
        <v>-77937.760000000082</v>
      </c>
      <c r="Y84" s="15"/>
      <c r="Z84" s="36">
        <f>IF(T84=0,0,X84/T84)</f>
        <v>5.932668293109983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5</v>
      </c>
      <c r="C87" s="28"/>
      <c r="D87" s="32">
        <f>SUM(D84:D86)</f>
        <v>-11903.55</v>
      </c>
      <c r="E87" s="14"/>
      <c r="F87" s="31">
        <f>IF(D$12=0,0,D87/D$12)</f>
        <v>0</v>
      </c>
      <c r="G87" s="14"/>
      <c r="H87" s="32">
        <f>SUM(H84:H86)</f>
        <v>-8152.95</v>
      </c>
      <c r="I87" s="14"/>
      <c r="J87" s="31">
        <f>IF(H$12=0,0,H87/H$12)</f>
        <v>-0.16457051434606285</v>
      </c>
      <c r="K87" s="15"/>
      <c r="L87" s="32">
        <f>+D87-H87</f>
        <v>-3750.5999999999995</v>
      </c>
      <c r="M87" s="15"/>
      <c r="N87" s="31">
        <f>IF(H87=0,0,L87/H87)</f>
        <v>0.46002980516254849</v>
      </c>
      <c r="O87" s="29"/>
      <c r="P87" s="32">
        <f>SUM(P84:P86)</f>
        <v>-91074.810000000012</v>
      </c>
      <c r="Q87" s="14"/>
      <c r="R87" s="31">
        <f>IF(P$12=0,0,P87/P$12)</f>
        <v>0</v>
      </c>
      <c r="S87" s="14"/>
      <c r="T87" s="32">
        <f>SUM(T84:T86)</f>
        <v>-13137.04999999993</v>
      </c>
      <c r="U87" s="14"/>
      <c r="V87" s="31">
        <f>IF(T$12=0,0,T87/T$12)</f>
        <v>-2.9050335391114564E-2</v>
      </c>
      <c r="W87" s="15"/>
      <c r="X87" s="32">
        <f>+P87-T87</f>
        <v>-77937.760000000082</v>
      </c>
      <c r="Y87" s="15"/>
      <c r="Z87" s="31">
        <f>IF(T87=0,0,X87/T87)</f>
        <v>5.932668293109983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62">
        <v>44238.496353437498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9" t="s">
        <v>313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6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","327", " - ", "C-Store Vending Machine(s)")</f>
        <v>Department 327 - C-Store Vending Machine(s)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715</v>
      </c>
      <c r="I12" s="4"/>
      <c r="J12" s="12"/>
      <c r="K12" s="4"/>
      <c r="L12" s="4">
        <f t="shared" ref="L12:L13" si="0">+D12-H12</f>
        <v>-715</v>
      </c>
      <c r="M12" s="4"/>
      <c r="N12" s="12">
        <f t="shared" ref="N12:N13" si="1">IF(H12=0,0,L12/H12)</f>
        <v>-1</v>
      </c>
      <c r="O12" s="10"/>
      <c r="P12" s="4">
        <f>SUM(OSRRefP13x_0)</f>
        <v>110</v>
      </c>
      <c r="Q12" s="4"/>
      <c r="R12" s="12"/>
      <c r="S12" s="4"/>
      <c r="T12" s="4">
        <f>SUM(OSRRefT13x_0)</f>
        <v>10275</v>
      </c>
      <c r="U12" s="4"/>
      <c r="V12" s="12"/>
      <c r="W12" s="4"/>
      <c r="X12" s="4">
        <f t="shared" ref="X12:X13" si="2">+P12-T12</f>
        <v>-10165</v>
      </c>
      <c r="Y12" s="4"/>
      <c r="Z12" s="12">
        <f t="shared" ref="Z12:Z13" si="3">IF(T12=0,0,X12/T12)</f>
        <v>-0.98929440389294399</v>
      </c>
    </row>
    <row r="13" spans="1:26" s="24" customFormat="1" hidden="1" outlineLevel="1" x14ac:dyDescent="0.25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0</f>
        <v>0</v>
      </c>
      <c r="E13" s="2"/>
      <c r="F13" s="19"/>
      <c r="G13" s="2"/>
      <c r="H13" s="2">
        <f>--715</f>
        <v>715</v>
      </c>
      <c r="I13" s="2"/>
      <c r="J13" s="19"/>
      <c r="K13" s="2"/>
      <c r="L13" s="2">
        <f t="shared" si="0"/>
        <v>-715</v>
      </c>
      <c r="M13" s="2"/>
      <c r="N13" s="19">
        <f t="shared" si="1"/>
        <v>-1</v>
      </c>
      <c r="O13" s="11"/>
      <c r="P13" s="2">
        <f>--110</f>
        <v>110</v>
      </c>
      <c r="Q13" s="2"/>
      <c r="R13" s="19"/>
      <c r="S13" s="2"/>
      <c r="T13" s="2">
        <f>--10275</f>
        <v>10275</v>
      </c>
      <c r="U13" s="2"/>
      <c r="V13" s="19"/>
      <c r="W13" s="2"/>
      <c r="X13" s="2">
        <f t="shared" si="2"/>
        <v>-10165</v>
      </c>
      <c r="Y13" s="2"/>
      <c r="Z13" s="19">
        <f t="shared" si="3"/>
        <v>-0.98929440389294399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1074.18</v>
      </c>
      <c r="I15" s="4"/>
      <c r="J15" s="12">
        <f t="shared" ref="J15:J16" si="5">IF(H$12=0,0,H15/H$12)</f>
        <v>1.5023496503496505</v>
      </c>
      <c r="K15" s="4"/>
      <c r="L15" s="4">
        <f t="shared" ref="L15:L16" si="6">+D15-H15</f>
        <v>-1074.18</v>
      </c>
      <c r="M15" s="4"/>
      <c r="N15" s="12">
        <f t="shared" ref="N15:N16" si="7">IF(H15=0,0,L15/H15)</f>
        <v>-1</v>
      </c>
      <c r="O15" s="10"/>
      <c r="P15" s="4">
        <f>SUM(OSRRefP16x_0)</f>
        <v>68.91</v>
      </c>
      <c r="Q15" s="4"/>
      <c r="R15" s="12">
        <f t="shared" ref="R15:R16" si="8">IF(P$12=0,0,P15/P$12)</f>
        <v>0.62645454545454538</v>
      </c>
      <c r="S15" s="4"/>
      <c r="T15" s="4">
        <f>SUM(OSRRefT16x_0)</f>
        <v>1988.12</v>
      </c>
      <c r="U15" s="4"/>
      <c r="V15" s="12">
        <f t="shared" ref="V15:V16" si="9">IF(T$12=0,0,T15/T$12)</f>
        <v>0.19349099756690996</v>
      </c>
      <c r="W15" s="4"/>
      <c r="X15" s="4">
        <f t="shared" ref="X15:X16" si="10">+P15-T15</f>
        <v>-1919.2099999999998</v>
      </c>
      <c r="Y15" s="4"/>
      <c r="Z15" s="12">
        <f t="shared" ref="Z15:Z16" si="11">IF(T15=0,0,X15/T15)</f>
        <v>-0.96533911433917463</v>
      </c>
    </row>
    <row r="16" spans="1:26" s="24" customFormat="1" hidden="1" outlineLevel="1" x14ac:dyDescent="0.25">
      <c r="A16" s="44"/>
      <c r="B16" s="11" t="str">
        <f>CONCATENATE("          ", "5059", " - ", "PURCHASES @ COST-FOOD")</f>
        <v xml:space="preserve">          5059 - PURCHASES @ COST-FOOD</v>
      </c>
      <c r="C16" s="11"/>
      <c r="D16" s="2"/>
      <c r="E16" s="2"/>
      <c r="F16" s="19">
        <f t="shared" si="4"/>
        <v>0</v>
      </c>
      <c r="G16" s="2"/>
      <c r="H16" s="2">
        <v>1074.18</v>
      </c>
      <c r="I16" s="2"/>
      <c r="J16" s="19">
        <f t="shared" si="5"/>
        <v>1.5023496503496505</v>
      </c>
      <c r="K16" s="2"/>
      <c r="L16" s="2">
        <f t="shared" si="6"/>
        <v>-1074.18</v>
      </c>
      <c r="M16" s="2"/>
      <c r="N16" s="19">
        <f t="shared" si="7"/>
        <v>-1</v>
      </c>
      <c r="O16" s="11"/>
      <c r="P16" s="2">
        <v>68.91</v>
      </c>
      <c r="Q16" s="2"/>
      <c r="R16" s="19">
        <f t="shared" si="8"/>
        <v>0.62645454545454538</v>
      </c>
      <c r="S16" s="2"/>
      <c r="T16" s="2">
        <v>1988.12</v>
      </c>
      <c r="U16" s="2"/>
      <c r="V16" s="19">
        <f t="shared" si="9"/>
        <v>0.19349099756690996</v>
      </c>
      <c r="W16" s="2"/>
      <c r="X16" s="2">
        <f t="shared" si="10"/>
        <v>-1919.2099999999998</v>
      </c>
      <c r="Y16" s="2"/>
      <c r="Z16" s="19">
        <f t="shared" si="11"/>
        <v>-0.96533911433917463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>
        <f>D12-D15</f>
        <v>0</v>
      </c>
      <c r="E18" s="14"/>
      <c r="F18" s="22">
        <f>IF(D$12=0,0,D18/D$12)</f>
        <v>0</v>
      </c>
      <c r="G18" s="14"/>
      <c r="H18" s="20">
        <f>H12-H15</f>
        <v>-359.18000000000006</v>
      </c>
      <c r="I18" s="14"/>
      <c r="J18" s="22">
        <f>IF(H$12=0,0,H18/H$12)</f>
        <v>-0.5023496503496504</v>
      </c>
      <c r="K18" s="15"/>
      <c r="L18" s="20">
        <f>+D18-H18</f>
        <v>359.18000000000006</v>
      </c>
      <c r="M18" s="15"/>
      <c r="N18" s="22">
        <f>IF(H18=0,0,L18/H18)</f>
        <v>-1</v>
      </c>
      <c r="O18" s="29"/>
      <c r="P18" s="20">
        <f>P12-P15</f>
        <v>41.09</v>
      </c>
      <c r="Q18" s="14"/>
      <c r="R18" s="22">
        <f>IF(P$12=0,0,P18/P$12)</f>
        <v>0.37354545454545457</v>
      </c>
      <c r="S18" s="14"/>
      <c r="T18" s="20">
        <f>T12-T15</f>
        <v>8286.880000000001</v>
      </c>
      <c r="U18" s="14"/>
      <c r="V18" s="22">
        <f>IF(T$12=0,0,T18/T$12)</f>
        <v>0.80650900243309009</v>
      </c>
      <c r="W18" s="15"/>
      <c r="X18" s="20">
        <f>+P18-T18</f>
        <v>-8245.7900000000009</v>
      </c>
      <c r="Y18" s="15"/>
      <c r="Z18" s="22">
        <f>IF(T18=0,0,X18/T18)</f>
        <v>-0.99504155967022567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>
        <f>SUM(OSRRefD22x_0)</f>
        <v>0</v>
      </c>
      <c r="E20" s="21"/>
      <c r="F20" s="35">
        <f t="shared" ref="F20:F26" si="12">IF(D$12=0,0,D20/D$12)</f>
        <v>0</v>
      </c>
      <c r="G20" s="21"/>
      <c r="H20" s="21">
        <f>SUM(OSRRefH22x_0)</f>
        <v>61.44</v>
      </c>
      <c r="I20" s="21"/>
      <c r="J20" s="35">
        <f t="shared" ref="J20:J26" si="13">IF(H$12=0,0,H20/H$12)</f>
        <v>8.5930069930069922E-2</v>
      </c>
      <c r="K20" s="4"/>
      <c r="L20" s="21">
        <f t="shared" ref="L20:L26" si="14">+D20-H20</f>
        <v>-61.44</v>
      </c>
      <c r="M20" s="4"/>
      <c r="N20" s="35">
        <f t="shared" ref="N20:N26" si="15">IF(H20=0,0,L20/H20)</f>
        <v>-1</v>
      </c>
      <c r="O20" s="10"/>
      <c r="P20" s="21">
        <f>SUM(OSRRefP22x_0)</f>
        <v>0</v>
      </c>
      <c r="Q20" s="21"/>
      <c r="R20" s="35">
        <f t="shared" ref="R20:R26" si="16">IF(P$12=0,0,P20/P$12)</f>
        <v>0</v>
      </c>
      <c r="S20" s="21"/>
      <c r="T20" s="21">
        <f>SUM(OSRRefT22x_0)</f>
        <v>1247.3699999999999</v>
      </c>
      <c r="U20" s="21"/>
      <c r="V20" s="35">
        <f t="shared" ref="V20:V26" si="17">IF(T$12=0,0,T20/T$12)</f>
        <v>0.12139854014598539</v>
      </c>
      <c r="W20" s="4"/>
      <c r="X20" s="21">
        <f t="shared" ref="X20:X26" si="18">+P20-T20</f>
        <v>-1247.3699999999999</v>
      </c>
      <c r="Y20" s="4"/>
      <c r="Z20" s="35">
        <f t="shared" ref="Z20:Z26" si="19">IF(T20=0,0,X20/T20)</f>
        <v>-1</v>
      </c>
    </row>
    <row r="21" spans="1:26" s="26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61.44</v>
      </c>
      <c r="I21" s="1"/>
      <c r="J21" s="5">
        <f t="shared" si="13"/>
        <v>8.5930069930069922E-2</v>
      </c>
      <c r="K21" s="1"/>
      <c r="L21" s="1">
        <f t="shared" si="14"/>
        <v>-61.44</v>
      </c>
      <c r="M21" s="1"/>
      <c r="N21" s="5">
        <f t="shared" si="15"/>
        <v>-1</v>
      </c>
      <c r="O21" s="13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926.92</v>
      </c>
      <c r="U21" s="1"/>
      <c r="V21" s="5">
        <f t="shared" si="17"/>
        <v>9.0211192214111918E-2</v>
      </c>
      <c r="W21" s="1"/>
      <c r="X21" s="1">
        <f t="shared" si="18"/>
        <v>-926.92</v>
      </c>
      <c r="Y21" s="1"/>
      <c r="Z21" s="5">
        <f t="shared" si="19"/>
        <v>-1</v>
      </c>
    </row>
    <row r="22" spans="1:26" s="24" customFormat="1" hidden="1" outlineLevel="2" x14ac:dyDescent="0.25">
      <c r="A22" s="25"/>
      <c r="B22" s="11" t="str">
        <f>CONCATENATE("          ", "6381", " - ", "BANK/CREDIT CARD FEES")</f>
        <v xml:space="preserve">          6381 - BANK/CREDIT CARD FEES</v>
      </c>
      <c r="C22" s="11"/>
      <c r="D22" s="6"/>
      <c r="E22" s="2"/>
      <c r="F22" s="7">
        <f t="shared" si="12"/>
        <v>0</v>
      </c>
      <c r="G22" s="2"/>
      <c r="H22" s="6">
        <v>61.44</v>
      </c>
      <c r="I22" s="2"/>
      <c r="J22" s="7">
        <f t="shared" si="13"/>
        <v>8.5930069930069922E-2</v>
      </c>
      <c r="K22" s="2"/>
      <c r="L22" s="6">
        <f t="shared" si="14"/>
        <v>-61.44</v>
      </c>
      <c r="M22" s="2"/>
      <c r="N22" s="7">
        <f t="shared" si="15"/>
        <v>-1</v>
      </c>
      <c r="O22" s="11"/>
      <c r="P22" s="6"/>
      <c r="Q22" s="2"/>
      <c r="R22" s="7">
        <f t="shared" si="16"/>
        <v>0</v>
      </c>
      <c r="S22" s="2"/>
      <c r="T22" s="6">
        <v>926.92</v>
      </c>
      <c r="U22" s="2"/>
      <c r="V22" s="7">
        <f t="shared" si="17"/>
        <v>9.0211192214111918E-2</v>
      </c>
      <c r="W22" s="2"/>
      <c r="X22" s="6">
        <f t="shared" si="18"/>
        <v>-926.92</v>
      </c>
      <c r="Y22" s="2"/>
      <c r="Z22" s="7">
        <f t="shared" si="19"/>
        <v>-1</v>
      </c>
    </row>
    <row r="23" spans="1:26" s="26" customFormat="1" outlineLevel="1" collapsed="1" x14ac:dyDescent="0.25">
      <c r="A23" s="27"/>
      <c r="B23" s="13" t="str">
        <f>CONCATENATE("     ","General                                           ")</f>
        <v xml:space="preserve">     General                                           </v>
      </c>
      <c r="C23" s="13"/>
      <c r="D23" s="1">
        <f>SUM(OSRRefD22_1x_0)</f>
        <v>0</v>
      </c>
      <c r="E23" s="1"/>
      <c r="F23" s="5">
        <f t="shared" si="12"/>
        <v>0</v>
      </c>
      <c r="G23" s="1"/>
      <c r="H23" s="1">
        <f>SUM(OSRRefH22_1x_0)</f>
        <v>0</v>
      </c>
      <c r="I23" s="1"/>
      <c r="J23" s="5">
        <f t="shared" si="13"/>
        <v>0</v>
      </c>
      <c r="K23" s="1"/>
      <c r="L23" s="1">
        <f t="shared" si="14"/>
        <v>0</v>
      </c>
      <c r="M23" s="1"/>
      <c r="N23" s="5">
        <f t="shared" si="15"/>
        <v>0</v>
      </c>
      <c r="O23" s="13"/>
      <c r="P23" s="1">
        <f>SUM(OSRRefP22_1x_0)</f>
        <v>0</v>
      </c>
      <c r="Q23" s="1"/>
      <c r="R23" s="5">
        <f t="shared" si="16"/>
        <v>0</v>
      </c>
      <c r="S23" s="1"/>
      <c r="T23" s="1">
        <f>SUM(OSRRefT22_1x_0)</f>
        <v>23.45</v>
      </c>
      <c r="U23" s="1"/>
      <c r="V23" s="5">
        <f t="shared" si="17"/>
        <v>2.2822384428223845E-3</v>
      </c>
      <c r="W23" s="1"/>
      <c r="X23" s="1">
        <f t="shared" si="18"/>
        <v>-23.45</v>
      </c>
      <c r="Y23" s="1"/>
      <c r="Z23" s="5">
        <f t="shared" si="19"/>
        <v>-1</v>
      </c>
    </row>
    <row r="24" spans="1:26" s="24" customFormat="1" hidden="1" outlineLevel="2" x14ac:dyDescent="0.25">
      <c r="A24" s="25"/>
      <c r="B24" s="11" t="str">
        <f>CONCATENATE("          ", "6279", " - ", "GENERAL EXPENSE")</f>
        <v xml:space="preserve">          6279 - GENERAL EXPENSE</v>
      </c>
      <c r="C24" s="11"/>
      <c r="D24" s="6"/>
      <c r="E24" s="2"/>
      <c r="F24" s="7">
        <f t="shared" si="12"/>
        <v>0</v>
      </c>
      <c r="G24" s="2"/>
      <c r="H24" s="6"/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23.45</v>
      </c>
      <c r="U24" s="2"/>
      <c r="V24" s="7">
        <f t="shared" si="17"/>
        <v>2.2822384428223845E-3</v>
      </c>
      <c r="W24" s="2"/>
      <c r="X24" s="6">
        <f t="shared" si="18"/>
        <v>-23.45</v>
      </c>
      <c r="Y24" s="2"/>
      <c r="Z24" s="7">
        <f t="shared" si="19"/>
        <v>-1</v>
      </c>
    </row>
    <row r="25" spans="1:26" s="26" customFormat="1" outlineLevel="1" collapsed="1" x14ac:dyDescent="0.25">
      <c r="A25" s="27"/>
      <c r="B25" s="13" t="str">
        <f>CONCATENATE("     ","Supplies                                          ")</f>
        <v xml:space="preserve">     Supplies                                          </v>
      </c>
      <c r="C25" s="13"/>
      <c r="D25" s="1">
        <f>SUM(OSRRefD22_2x_0)</f>
        <v>0</v>
      </c>
      <c r="E25" s="1"/>
      <c r="F25" s="5">
        <f t="shared" si="12"/>
        <v>0</v>
      </c>
      <c r="G25" s="1"/>
      <c r="H25" s="1">
        <f>SUM(OSRRefH22_2x_0)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3"/>
      <c r="P25" s="1">
        <f>SUM(OSRRefP22_2x_0)</f>
        <v>0</v>
      </c>
      <c r="Q25" s="1"/>
      <c r="R25" s="5">
        <f t="shared" si="16"/>
        <v>0</v>
      </c>
      <c r="S25" s="1"/>
      <c r="T25" s="1">
        <f>SUM(OSRRefT22_2x_0)</f>
        <v>297</v>
      </c>
      <c r="U25" s="1"/>
      <c r="V25" s="5">
        <f t="shared" si="17"/>
        <v>2.8905109489051097E-2</v>
      </c>
      <c r="W25" s="1"/>
      <c r="X25" s="1">
        <f t="shared" si="18"/>
        <v>-297</v>
      </c>
      <c r="Y25" s="1"/>
      <c r="Z25" s="5">
        <f t="shared" si="19"/>
        <v>-1</v>
      </c>
    </row>
    <row r="26" spans="1:26" s="24" customFormat="1" hidden="1" outlineLevel="2" x14ac:dyDescent="0.25">
      <c r="A26" s="25"/>
      <c r="B26" s="11" t="str">
        <f>CONCATENATE("          ", "6247", " - ", "STORE SUPPLIES")</f>
        <v xml:space="preserve">          6247 - STORE SUPPLIES</v>
      </c>
      <c r="C26" s="11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/>
      <c r="Q26" s="2"/>
      <c r="R26" s="7">
        <f t="shared" si="16"/>
        <v>0</v>
      </c>
      <c r="S26" s="2"/>
      <c r="T26" s="6">
        <v>297</v>
      </c>
      <c r="U26" s="2"/>
      <c r="V26" s="7">
        <f t="shared" si="17"/>
        <v>2.8905109489051097E-2</v>
      </c>
      <c r="W26" s="2"/>
      <c r="X26" s="6">
        <f t="shared" si="18"/>
        <v>-297</v>
      </c>
      <c r="Y26" s="2"/>
      <c r="Z26" s="7">
        <f t="shared" si="19"/>
        <v>-1</v>
      </c>
    </row>
    <row r="27" spans="1:26" s="61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3</v>
      </c>
      <c r="C30" s="28"/>
      <c r="D30" s="20">
        <f>+D18-D20+D28</f>
        <v>0</v>
      </c>
      <c r="E30" s="14"/>
      <c r="F30" s="22">
        <f>IF(D$12=0,0,D30/D$12)</f>
        <v>0</v>
      </c>
      <c r="G30" s="14"/>
      <c r="H30" s="20">
        <f>+H18-H20+H28</f>
        <v>-420.62000000000006</v>
      </c>
      <c r="I30" s="14"/>
      <c r="J30" s="22">
        <f>IF(H$12=0,0,H30/H$12)</f>
        <v>-0.58827972027972042</v>
      </c>
      <c r="K30" s="15"/>
      <c r="L30" s="20">
        <f>+D30-H30</f>
        <v>420.62000000000006</v>
      </c>
      <c r="M30" s="15"/>
      <c r="N30" s="22">
        <f>IF(H30=0,0,L30/H30)</f>
        <v>-1</v>
      </c>
      <c r="O30" s="29"/>
      <c r="P30" s="20">
        <f>+P18-P20+P28</f>
        <v>41.09</v>
      </c>
      <c r="Q30" s="14"/>
      <c r="R30" s="22">
        <f>IF(P$12=0,0,P30/P$12)</f>
        <v>0.37354545454545457</v>
      </c>
      <c r="S30" s="14"/>
      <c r="T30" s="20">
        <f>+T18-T20+T28</f>
        <v>7039.5100000000011</v>
      </c>
      <c r="U30" s="14"/>
      <c r="V30" s="22">
        <f>IF(T$12=0,0,T30/T$12)</f>
        <v>0.6851104622871047</v>
      </c>
      <c r="W30" s="15"/>
      <c r="X30" s="20">
        <f>+P30-T30</f>
        <v>-6998.420000000001</v>
      </c>
      <c r="Y30" s="15"/>
      <c r="Z30" s="22">
        <f>IF(T30=0,0,X30/T30)</f>
        <v>-0.99416294600050281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13</v>
      </c>
      <c r="C32" s="10"/>
      <c r="D32" s="4">
        <v>-0.38</v>
      </c>
      <c r="E32" s="4"/>
      <c r="F32" s="12">
        <f>IF(D$12=0,0,D32/D$12)</f>
        <v>0</v>
      </c>
      <c r="G32" s="4"/>
      <c r="H32" s="4">
        <v>38.99</v>
      </c>
      <c r="I32" s="4"/>
      <c r="J32" s="12">
        <f>IF(H$12=0,0,H32/H$12)</f>
        <v>5.4531468531468535E-2</v>
      </c>
      <c r="K32" s="4"/>
      <c r="L32" s="4">
        <f>+D32-H32</f>
        <v>-39.370000000000005</v>
      </c>
      <c r="M32" s="4"/>
      <c r="N32" s="12">
        <f>IF(H32=0,0,L32/H32)</f>
        <v>-1.0097460887407028</v>
      </c>
      <c r="O32" s="10"/>
      <c r="P32" s="4">
        <v>19.97</v>
      </c>
      <c r="Q32" s="4"/>
      <c r="R32" s="12">
        <f>IF(P$12=0,0,P32/P$12)</f>
        <v>0.18154545454545454</v>
      </c>
      <c r="S32" s="4"/>
      <c r="T32" s="4">
        <v>1071.54</v>
      </c>
      <c r="U32" s="4"/>
      <c r="V32" s="12">
        <f>IF(T$12=0,0,T32/T$12)</f>
        <v>0.10428613138686131</v>
      </c>
      <c r="W32" s="4"/>
      <c r="X32" s="4">
        <f>+P32-T32</f>
        <v>-1051.57</v>
      </c>
      <c r="Y32" s="4"/>
      <c r="Z32" s="12">
        <f>IF(T32=0,0,X32/T32)</f>
        <v>-0.98136327155309178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8" t="s">
        <v>4</v>
      </c>
      <c r="C34" s="28"/>
      <c r="D34" s="30">
        <f>+D30-D32</f>
        <v>0.38</v>
      </c>
      <c r="E34" s="14"/>
      <c r="F34" s="36">
        <f>IF(D$12=0,0,D34/D$12)</f>
        <v>0</v>
      </c>
      <c r="G34" s="14"/>
      <c r="H34" s="30">
        <f>+H30-H32</f>
        <v>-459.61000000000007</v>
      </c>
      <c r="I34" s="14"/>
      <c r="J34" s="36">
        <f>IF(H$12=0,0,H34/H$12)</f>
        <v>-0.64281118881118893</v>
      </c>
      <c r="K34" s="15"/>
      <c r="L34" s="30">
        <f>D34-H34</f>
        <v>459.99000000000007</v>
      </c>
      <c r="M34" s="15"/>
      <c r="N34" s="36">
        <f>IF(H34=0,0,L34/H34)</f>
        <v>-1.0008267879288961</v>
      </c>
      <c r="O34" s="29"/>
      <c r="P34" s="30">
        <f>+P30-P32</f>
        <v>21.120000000000005</v>
      </c>
      <c r="Q34" s="14"/>
      <c r="R34" s="36">
        <f>IF(P$12=0,0,P34/P$12)</f>
        <v>0.19200000000000003</v>
      </c>
      <c r="S34" s="14"/>
      <c r="T34" s="30">
        <f>+T30-T32</f>
        <v>5967.9700000000012</v>
      </c>
      <c r="U34" s="14"/>
      <c r="V34" s="36">
        <f>IF(T$12=0,0,T34/T$12)</f>
        <v>0.58082433090024344</v>
      </c>
      <c r="W34" s="15"/>
      <c r="X34" s="30">
        <f>P34-T34</f>
        <v>-5946.8500000000013</v>
      </c>
      <c r="Y34" s="15"/>
      <c r="Z34" s="36">
        <f>IF(T34=0,0,X34/T34)</f>
        <v>-0.99646110821602663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5</v>
      </c>
      <c r="C37" s="28"/>
      <c r="D37" s="32">
        <f>SUM(D34:D36)</f>
        <v>0.38</v>
      </c>
      <c r="E37" s="14"/>
      <c r="F37" s="31">
        <f>IF(D$12=0,0,D37/D$12)</f>
        <v>0</v>
      </c>
      <c r="G37" s="14"/>
      <c r="H37" s="32">
        <f>SUM(H34:H36)</f>
        <v>-459.61000000000007</v>
      </c>
      <c r="I37" s="14"/>
      <c r="J37" s="31">
        <f>IF(H$12=0,0,H37/H$12)</f>
        <v>-0.64281118881118893</v>
      </c>
      <c r="K37" s="15"/>
      <c r="L37" s="32">
        <f>+D37-H37</f>
        <v>459.99000000000007</v>
      </c>
      <c r="M37" s="15"/>
      <c r="N37" s="31">
        <f>IF(H37=0,0,L37/H37)</f>
        <v>-1.0008267879288961</v>
      </c>
      <c r="O37" s="29"/>
      <c r="P37" s="32">
        <f>SUM(P34:P36)</f>
        <v>21.120000000000005</v>
      </c>
      <c r="Q37" s="14"/>
      <c r="R37" s="31">
        <f>IF(P$12=0,0,P37/P$12)</f>
        <v>0.19200000000000003</v>
      </c>
      <c r="S37" s="14"/>
      <c r="T37" s="32">
        <f>SUM(T34:T36)</f>
        <v>5967.9700000000012</v>
      </c>
      <c r="U37" s="14"/>
      <c r="V37" s="31">
        <f>IF(T$12=0,0,T37/T$12)</f>
        <v>0.58082433090024344</v>
      </c>
      <c r="W37" s="15"/>
      <c r="X37" s="32">
        <f>+P37-T37</f>
        <v>-5946.8500000000013</v>
      </c>
      <c r="Y37" s="15"/>
      <c r="Z37" s="31">
        <f>IF(T37=0,0,X37/T37)</f>
        <v>-0.99646110821602663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>
        <v>44238.496378275464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9" t="s">
        <v>313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6"/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120324.61</v>
      </c>
      <c r="E12" s="4"/>
      <c r="F12" s="12"/>
      <c r="G12" s="4"/>
      <c r="H12" s="4">
        <f>SUM(OSRRefH13x_0)</f>
        <v>1059277.6599999999</v>
      </c>
      <c r="I12" s="4"/>
      <c r="J12" s="12"/>
      <c r="K12" s="4"/>
      <c r="L12" s="4">
        <f t="shared" ref="L12:L22" si="0">+D12-H12</f>
        <v>-938953.04999999993</v>
      </c>
      <c r="M12" s="4"/>
      <c r="N12" s="12">
        <f t="shared" ref="N12:N22" si="1">IF(H12=0,0,L12/H12)</f>
        <v>-0.88640880994318338</v>
      </c>
      <c r="O12" s="10"/>
      <c r="P12" s="4">
        <f>SUM(OSRRefP13x_0)</f>
        <v>951038.47000000009</v>
      </c>
      <c r="Q12" s="4"/>
      <c r="R12" s="12"/>
      <c r="S12" s="4"/>
      <c r="T12" s="4">
        <f>SUM(OSRRefT13x_0)</f>
        <v>10244948.84</v>
      </c>
      <c r="U12" s="4"/>
      <c r="V12" s="12"/>
      <c r="W12" s="4"/>
      <c r="X12" s="4">
        <f t="shared" ref="X12:X22" si="2">+P12-T12</f>
        <v>-9293910.3699999992</v>
      </c>
      <c r="Y12" s="4"/>
      <c r="Z12" s="12">
        <f t="shared" ref="Z12:Z22" si="3">IF(T12=0,0,X12/T12)</f>
        <v>-0.90717001276894604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0</f>
        <v>0</v>
      </c>
      <c r="E13" s="2"/>
      <c r="F13" s="19"/>
      <c r="G13" s="2"/>
      <c r="H13" s="2">
        <f>--34536.57</f>
        <v>34536.57</v>
      </c>
      <c r="I13" s="2"/>
      <c r="J13" s="19"/>
      <c r="K13" s="2"/>
      <c r="L13" s="2">
        <f t="shared" si="0"/>
        <v>-34536.57</v>
      </c>
      <c r="M13" s="2"/>
      <c r="N13" s="19">
        <f t="shared" si="1"/>
        <v>-1</v>
      </c>
      <c r="O13" s="11"/>
      <c r="P13" s="2">
        <f>--22964.48</f>
        <v>22964.48</v>
      </c>
      <c r="Q13" s="2"/>
      <c r="R13" s="19"/>
      <c r="S13" s="2"/>
      <c r="T13" s="2">
        <f>--358262.16</f>
        <v>358262.16</v>
      </c>
      <c r="U13" s="2"/>
      <c r="V13" s="19"/>
      <c r="W13" s="2"/>
      <c r="X13" s="2">
        <f t="shared" si="2"/>
        <v>-335297.68</v>
      </c>
      <c r="Y13" s="2"/>
      <c r="Z13" s="19">
        <f t="shared" si="3"/>
        <v>-0.93590034738806915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--82073.46</f>
        <v>82073.460000000006</v>
      </c>
      <c r="E14" s="2"/>
      <c r="F14" s="19"/>
      <c r="G14" s="2"/>
      <c r="H14" s="2">
        <f>--120705.79</f>
        <v>120705.79</v>
      </c>
      <c r="I14" s="2"/>
      <c r="J14" s="19"/>
      <c r="K14" s="2"/>
      <c r="L14" s="2">
        <f t="shared" si="0"/>
        <v>-38632.329999999987</v>
      </c>
      <c r="M14" s="2"/>
      <c r="N14" s="19">
        <f t="shared" si="1"/>
        <v>-0.32005366105470162</v>
      </c>
      <c r="O14" s="11"/>
      <c r="P14" s="2">
        <f>--230176.85</f>
        <v>230176.85</v>
      </c>
      <c r="Q14" s="2"/>
      <c r="R14" s="19"/>
      <c r="S14" s="2"/>
      <c r="T14" s="2">
        <f>--657002.44</f>
        <v>657002.43999999994</v>
      </c>
      <c r="U14" s="2"/>
      <c r="V14" s="19"/>
      <c r="W14" s="2"/>
      <c r="X14" s="2">
        <f t="shared" si="2"/>
        <v>-426825.58999999997</v>
      </c>
      <c r="Y14" s="2"/>
      <c r="Z14" s="19">
        <f t="shared" si="3"/>
        <v>-0.64965601954233232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--46.44</f>
        <v>46.44</v>
      </c>
      <c r="E15" s="2"/>
      <c r="F15" s="19"/>
      <c r="G15" s="2"/>
      <c r="H15" s="2">
        <f>--9828.09</f>
        <v>9828.09</v>
      </c>
      <c r="I15" s="2"/>
      <c r="J15" s="19"/>
      <c r="K15" s="2"/>
      <c r="L15" s="2">
        <f t="shared" si="0"/>
        <v>-9781.65</v>
      </c>
      <c r="M15" s="2"/>
      <c r="N15" s="19">
        <f t="shared" si="1"/>
        <v>-0.99527476854607555</v>
      </c>
      <c r="O15" s="11"/>
      <c r="P15" s="2">
        <f>--579.52</f>
        <v>579.52</v>
      </c>
      <c r="Q15" s="2"/>
      <c r="R15" s="19"/>
      <c r="S15" s="2"/>
      <c r="T15" s="2">
        <f>--116598.92</f>
        <v>116598.92</v>
      </c>
      <c r="U15" s="2"/>
      <c r="V15" s="19"/>
      <c r="W15" s="2"/>
      <c r="X15" s="2">
        <f t="shared" si="2"/>
        <v>-116019.4</v>
      </c>
      <c r="Y15" s="2"/>
      <c r="Z15" s="19">
        <f t="shared" si="3"/>
        <v>-0.99502979958991045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ref="D16:D17" si="4">0</f>
        <v>0</v>
      </c>
      <c r="E16" s="2"/>
      <c r="F16" s="19"/>
      <c r="G16" s="2"/>
      <c r="H16" s="2">
        <f>--31360</f>
        <v>31360</v>
      </c>
      <c r="I16" s="2"/>
      <c r="J16" s="19"/>
      <c r="K16" s="2"/>
      <c r="L16" s="2">
        <f t="shared" si="0"/>
        <v>-31360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--304187.44</f>
        <v>304187.44</v>
      </c>
      <c r="U16" s="2"/>
      <c r="V16" s="19"/>
      <c r="W16" s="2"/>
      <c r="X16" s="2">
        <f t="shared" si="2"/>
        <v>-304187.44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si="4"/>
        <v>0</v>
      </c>
      <c r="E17" s="2"/>
      <c r="F17" s="19"/>
      <c r="G17" s="2"/>
      <c r="H17" s="2">
        <f>--7736.89</f>
        <v>7736.89</v>
      </c>
      <c r="I17" s="2"/>
      <c r="J17" s="19"/>
      <c r="K17" s="2"/>
      <c r="L17" s="2">
        <f t="shared" si="0"/>
        <v>-7736.89</v>
      </c>
      <c r="M17" s="2"/>
      <c r="N17" s="19">
        <f t="shared" si="1"/>
        <v>-1</v>
      </c>
      <c r="O17" s="11"/>
      <c r="P17" s="2">
        <f>--974.91</f>
        <v>974.91</v>
      </c>
      <c r="Q17" s="2"/>
      <c r="R17" s="19"/>
      <c r="S17" s="2"/>
      <c r="T17" s="2">
        <f>--95636.1</f>
        <v>95636.1</v>
      </c>
      <c r="U17" s="2"/>
      <c r="V17" s="19"/>
      <c r="W17" s="2"/>
      <c r="X17" s="2">
        <f t="shared" si="2"/>
        <v>-94661.19</v>
      </c>
      <c r="Y17" s="2"/>
      <c r="Z17" s="19">
        <f t="shared" si="3"/>
        <v>-0.98980604604328282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>--35996.95</f>
        <v>35996.949999999997</v>
      </c>
      <c r="E18" s="2"/>
      <c r="F18" s="19"/>
      <c r="G18" s="2"/>
      <c r="H18" s="2">
        <f>--703446.55</f>
        <v>703446.55</v>
      </c>
      <c r="I18" s="2"/>
      <c r="J18" s="19"/>
      <c r="K18" s="2"/>
      <c r="L18" s="2">
        <f t="shared" si="0"/>
        <v>-667449.60000000009</v>
      </c>
      <c r="M18" s="2"/>
      <c r="N18" s="19">
        <f t="shared" si="1"/>
        <v>-0.94882773964844958</v>
      </c>
      <c r="O18" s="11"/>
      <c r="P18" s="2">
        <f>--664373.55</f>
        <v>664373.55000000005</v>
      </c>
      <c r="Q18" s="2"/>
      <c r="R18" s="19"/>
      <c r="S18" s="2"/>
      <c r="T18" s="2">
        <f>--7497136.38</f>
        <v>7497136.3799999999</v>
      </c>
      <c r="U18" s="2"/>
      <c r="V18" s="19"/>
      <c r="W18" s="2"/>
      <c r="X18" s="2">
        <f t="shared" si="2"/>
        <v>-6832762.8300000001</v>
      </c>
      <c r="Y18" s="2"/>
      <c r="Z18" s="19">
        <f t="shared" si="3"/>
        <v>-0.91138302462092868</v>
      </c>
    </row>
    <row r="19" spans="1:26" s="24" customFormat="1" hidden="1" outlineLevel="1" x14ac:dyDescent="0.25">
      <c r="A19" s="44"/>
      <c r="B19" s="11" t="str">
        <f>CONCATENATE("          ", "4152", " - ", "NON-TAXABLE SALES-FOOD")</f>
        <v xml:space="preserve">          4152 - NON-TAXABLE SALES-FOOD</v>
      </c>
      <c r="C19" s="11"/>
      <c r="D19" s="2">
        <f>0</f>
        <v>0</v>
      </c>
      <c r="E19" s="2"/>
      <c r="F19" s="19"/>
      <c r="G19" s="2"/>
      <c r="H19" s="2">
        <f>--4794.1</f>
        <v>4794.1000000000004</v>
      </c>
      <c r="I19" s="2"/>
      <c r="J19" s="19"/>
      <c r="K19" s="2"/>
      <c r="L19" s="2">
        <f t="shared" si="0"/>
        <v>-4794.1000000000004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f>--39428.9</f>
        <v>39428.9</v>
      </c>
      <c r="U19" s="2"/>
      <c r="V19" s="19"/>
      <c r="W19" s="2"/>
      <c r="X19" s="2">
        <f t="shared" si="2"/>
        <v>-39428.9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--2207.76</f>
        <v>2207.7600000000002</v>
      </c>
      <c r="E20" s="2"/>
      <c r="F20" s="19"/>
      <c r="G20" s="2"/>
      <c r="H20" s="2">
        <f>--43908.25</f>
        <v>43908.25</v>
      </c>
      <c r="I20" s="2"/>
      <c r="J20" s="19"/>
      <c r="K20" s="2"/>
      <c r="L20" s="2">
        <f t="shared" si="0"/>
        <v>-41700.49</v>
      </c>
      <c r="M20" s="2"/>
      <c r="N20" s="19">
        <f t="shared" si="1"/>
        <v>-0.94971878861034087</v>
      </c>
      <c r="O20" s="11"/>
      <c r="P20" s="2">
        <f>--31969.16</f>
        <v>31969.16</v>
      </c>
      <c r="Q20" s="2"/>
      <c r="R20" s="19"/>
      <c r="S20" s="2"/>
      <c r="T20" s="2">
        <f>--266664.79</f>
        <v>266664.78999999998</v>
      </c>
      <c r="U20" s="2"/>
      <c r="V20" s="19"/>
      <c r="W20" s="2"/>
      <c r="X20" s="2">
        <f t="shared" si="2"/>
        <v>-234695.62999999998</v>
      </c>
      <c r="Y20" s="2"/>
      <c r="Z20" s="19">
        <f t="shared" si="3"/>
        <v>-0.88011480630794936</v>
      </c>
    </row>
    <row r="21" spans="1:26" s="24" customFormat="1" hidden="1" outlineLevel="1" x14ac:dyDescent="0.25">
      <c r="A21" s="44"/>
      <c r="B21" s="11" t="str">
        <f>CONCATENATE("          ", "4155", " - ", "NON-TAXABLE SALES-FOOD")</f>
        <v xml:space="preserve">          4155 - NON-TAXABLE SALES-FOOD</v>
      </c>
      <c r="C21" s="11"/>
      <c r="D21" s="2">
        <f t="shared" ref="D21:D22" si="5">0</f>
        <v>0</v>
      </c>
      <c r="E21" s="2"/>
      <c r="F21" s="19"/>
      <c r="G21" s="2"/>
      <c r="H21" s="2">
        <f>--58440.71</f>
        <v>58440.71</v>
      </c>
      <c r="I21" s="2"/>
      <c r="J21" s="19"/>
      <c r="K21" s="2"/>
      <c r="L21" s="2">
        <f t="shared" si="0"/>
        <v>-58440.71</v>
      </c>
      <c r="M21" s="2"/>
      <c r="N21" s="19">
        <f t="shared" si="1"/>
        <v>-1</v>
      </c>
      <c r="O21" s="11"/>
      <c r="P21" s="2">
        <f t="shared" ref="P21:P22" si="6">0</f>
        <v>0</v>
      </c>
      <c r="Q21" s="2"/>
      <c r="R21" s="19"/>
      <c r="S21" s="2"/>
      <c r="T21" s="2">
        <f>--546895.06</f>
        <v>546895.06000000006</v>
      </c>
      <c r="U21" s="2"/>
      <c r="V21" s="19"/>
      <c r="W21" s="2"/>
      <c r="X21" s="2">
        <f t="shared" si="2"/>
        <v>-546895.06000000006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"4158", " - ", "NON-TAXABLE SALES-FOOD")</f>
        <v xml:space="preserve">          4158 - NON-TAXABLE SALES-FOOD</v>
      </c>
      <c r="C22" s="11"/>
      <c r="D22" s="2">
        <f t="shared" si="5"/>
        <v>0</v>
      </c>
      <c r="E22" s="2"/>
      <c r="F22" s="19"/>
      <c r="G22" s="2"/>
      <c r="H22" s="2">
        <f>--44520.71</f>
        <v>44520.71</v>
      </c>
      <c r="I22" s="2"/>
      <c r="J22" s="19"/>
      <c r="K22" s="2"/>
      <c r="L22" s="2">
        <f t="shared" si="0"/>
        <v>-44520.71</v>
      </c>
      <c r="M22" s="2"/>
      <c r="N22" s="19">
        <f t="shared" si="1"/>
        <v>-1</v>
      </c>
      <c r="O22" s="11"/>
      <c r="P22" s="2">
        <f t="shared" si="6"/>
        <v>0</v>
      </c>
      <c r="Q22" s="2"/>
      <c r="R22" s="19"/>
      <c r="S22" s="2"/>
      <c r="T22" s="2">
        <f>--363136.65</f>
        <v>363136.65</v>
      </c>
      <c r="U22" s="2"/>
      <c r="V22" s="19"/>
      <c r="W22" s="2"/>
      <c r="X22" s="2">
        <f t="shared" si="2"/>
        <v>-363136.65</v>
      </c>
      <c r="Y22" s="2"/>
      <c r="Z22" s="19">
        <f t="shared" si="3"/>
        <v>-1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9" t="s">
        <v>8</v>
      </c>
      <c r="C24" s="10"/>
      <c r="D24" s="4">
        <f>SUM(OSRRefD16x_0)</f>
        <v>33302.44</v>
      </c>
      <c r="E24" s="4"/>
      <c r="F24" s="12">
        <f t="shared" ref="F24:F26" si="7">IF(D$12=0,0,D24/D$12)</f>
        <v>0.27677164297478296</v>
      </c>
      <c r="G24" s="4"/>
      <c r="H24" s="4">
        <f>SUM(OSRRefH16x_0)</f>
        <v>314791.57</v>
      </c>
      <c r="I24" s="4"/>
      <c r="J24" s="12">
        <f t="shared" ref="J24:J26" si="8">IF(H$12=0,0,H24/H$12)</f>
        <v>0.29717569046061071</v>
      </c>
      <c r="K24" s="4"/>
      <c r="L24" s="4">
        <f t="shared" ref="L24:L26" si="9">+D24-H24</f>
        <v>-281489.13</v>
      </c>
      <c r="M24" s="4"/>
      <c r="N24" s="12">
        <f t="shared" ref="N24:N26" si="10">IF(H24=0,0,L24/H24)</f>
        <v>-0.89420796751323428</v>
      </c>
      <c r="O24" s="10"/>
      <c r="P24" s="4">
        <f>SUM(OSRRefP16x_0)</f>
        <v>303020.73</v>
      </c>
      <c r="Q24" s="4"/>
      <c r="R24" s="12">
        <f t="shared" ref="R24:R26" si="11">IF(P$12=0,0,P24/P$12)</f>
        <v>0.3186208965868646</v>
      </c>
      <c r="S24" s="4"/>
      <c r="T24" s="4">
        <f>SUM(OSRRefT16x_0)</f>
        <v>2794861.21</v>
      </c>
      <c r="U24" s="4"/>
      <c r="V24" s="12">
        <f t="shared" ref="V24:V26" si="12">IF(T$12=0,0,T24/T$12)</f>
        <v>0.27280382300083794</v>
      </c>
      <c r="W24" s="4"/>
      <c r="X24" s="4">
        <f t="shared" ref="X24:X26" si="13">+P24-T24</f>
        <v>-2491840.48</v>
      </c>
      <c r="Y24" s="4"/>
      <c r="Z24" s="12">
        <f t="shared" ref="Z24:Z26" si="14">IF(T24=0,0,X24/T24)</f>
        <v>-0.89157932819139885</v>
      </c>
    </row>
    <row r="25" spans="1:26" s="24" customFormat="1" hidden="1" outlineLevel="1" x14ac:dyDescent="0.25">
      <c r="A25" s="44"/>
      <c r="B25" s="11" t="str">
        <f>CONCATENATE("          ", "5053", " - ", "PURCHASES @ COST-FOOD")</f>
        <v xml:space="preserve">          5053 - PURCHASES @ COST-FOOD</v>
      </c>
      <c r="C25" s="11"/>
      <c r="D25" s="2">
        <v>30885.439999999999</v>
      </c>
      <c r="E25" s="2"/>
      <c r="F25" s="19">
        <f t="shared" si="7"/>
        <v>0.25668431420637888</v>
      </c>
      <c r="G25" s="2"/>
      <c r="H25" s="2">
        <v>359241.99</v>
      </c>
      <c r="I25" s="2"/>
      <c r="J25" s="19">
        <f t="shared" si="8"/>
        <v>0.33913864472512334</v>
      </c>
      <c r="K25" s="2"/>
      <c r="L25" s="2">
        <f t="shared" si="9"/>
        <v>-328356.55</v>
      </c>
      <c r="M25" s="2"/>
      <c r="N25" s="19">
        <f t="shared" si="10"/>
        <v>-0.91402608587041845</v>
      </c>
      <c r="O25" s="11"/>
      <c r="P25" s="2">
        <v>300523.34999999998</v>
      </c>
      <c r="Q25" s="2"/>
      <c r="R25" s="19">
        <f t="shared" si="11"/>
        <v>0.31599494602989081</v>
      </c>
      <c r="S25" s="2"/>
      <c r="T25" s="2">
        <v>2865842.46</v>
      </c>
      <c r="U25" s="2"/>
      <c r="V25" s="19">
        <f t="shared" si="12"/>
        <v>0.27973223729636504</v>
      </c>
      <c r="W25" s="2"/>
      <c r="X25" s="2">
        <f t="shared" si="13"/>
        <v>-2565319.11</v>
      </c>
      <c r="Y25" s="2"/>
      <c r="Z25" s="19">
        <f t="shared" si="14"/>
        <v>-0.89513612342808258</v>
      </c>
    </row>
    <row r="26" spans="1:26" s="24" customFormat="1" hidden="1" outlineLevel="1" x14ac:dyDescent="0.25">
      <c r="A26" s="44"/>
      <c r="B26" s="11" t="str">
        <f>CONCATENATE("          ", "5059", " - ", "PURCHASES @ COST-FOOD")</f>
        <v xml:space="preserve">          5059 - PURCHASES @ COST-FOOD</v>
      </c>
      <c r="C26" s="11"/>
      <c r="D26" s="2">
        <v>2417</v>
      </c>
      <c r="E26" s="2"/>
      <c r="F26" s="19">
        <f t="shared" si="7"/>
        <v>2.0087328768404071E-2</v>
      </c>
      <c r="G26" s="2"/>
      <c r="H26" s="2">
        <v>-44450.42</v>
      </c>
      <c r="I26" s="2"/>
      <c r="J26" s="19">
        <f t="shared" si="8"/>
        <v>-4.1962954264512672E-2</v>
      </c>
      <c r="K26" s="2"/>
      <c r="L26" s="2">
        <f t="shared" si="9"/>
        <v>46867.42</v>
      </c>
      <c r="M26" s="2"/>
      <c r="N26" s="19">
        <f t="shared" si="10"/>
        <v>-1.0543751892558046</v>
      </c>
      <c r="O26" s="11"/>
      <c r="P26" s="2">
        <v>2497.38</v>
      </c>
      <c r="Q26" s="2"/>
      <c r="R26" s="19">
        <f t="shared" si="11"/>
        <v>2.6259505569737889E-3</v>
      </c>
      <c r="S26" s="2"/>
      <c r="T26" s="2">
        <v>-70981.25</v>
      </c>
      <c r="U26" s="2"/>
      <c r="V26" s="19">
        <f t="shared" si="12"/>
        <v>-6.9284142955271218E-3</v>
      </c>
      <c r="W26" s="2"/>
      <c r="X26" s="2">
        <f t="shared" si="13"/>
        <v>73478.63</v>
      </c>
      <c r="Y26" s="2"/>
      <c r="Z26" s="19">
        <f t="shared" si="14"/>
        <v>-1.0351836576560711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6</v>
      </c>
      <c r="C28" s="28"/>
      <c r="D28" s="20">
        <f>D12-D24</f>
        <v>87022.17</v>
      </c>
      <c r="E28" s="14"/>
      <c r="F28" s="22">
        <f>IF(D$12=0,0,D28/D$12)</f>
        <v>0.72322835702521704</v>
      </c>
      <c r="G28" s="14"/>
      <c r="H28" s="20">
        <f>H12-H24</f>
        <v>744486.08999999985</v>
      </c>
      <c r="I28" s="14"/>
      <c r="J28" s="22">
        <f>IF(H$12=0,0,H28/H$12)</f>
        <v>0.70282430953938924</v>
      </c>
      <c r="K28" s="15"/>
      <c r="L28" s="20">
        <f>+D28-H28</f>
        <v>-657463.91999999981</v>
      </c>
      <c r="M28" s="15"/>
      <c r="N28" s="22">
        <f>IF(H28=0,0,L28/H28)</f>
        <v>-0.88311108673635519</v>
      </c>
      <c r="O28" s="29"/>
      <c r="P28" s="20">
        <f>P12-P24</f>
        <v>648017.74000000011</v>
      </c>
      <c r="Q28" s="14"/>
      <c r="R28" s="22">
        <f>IF(P$12=0,0,P28/P$12)</f>
        <v>0.68137910341313535</v>
      </c>
      <c r="S28" s="14"/>
      <c r="T28" s="20">
        <f>T12-T24</f>
        <v>7450087.6299999999</v>
      </c>
      <c r="U28" s="14"/>
      <c r="V28" s="22">
        <f>IF(T$12=0,0,T28/T$12)</f>
        <v>0.72719617699916206</v>
      </c>
      <c r="W28" s="15"/>
      <c r="X28" s="20">
        <f>+P28-T28</f>
        <v>-6802069.8899999997</v>
      </c>
      <c r="Y28" s="15"/>
      <c r="Z28" s="22">
        <f>IF(T28=0,0,X28/T28)</f>
        <v>-0.9130187761294829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9</v>
      </c>
      <c r="C30" s="10"/>
      <c r="D30" s="21">
        <f>SUM(OSRRefD22x_0)</f>
        <v>293889.24000000011</v>
      </c>
      <c r="E30" s="21"/>
      <c r="F30" s="35">
        <f t="shared" ref="F30:F40" si="15">IF(D$12=0,0,D30/D$12)</f>
        <v>2.442469915339847</v>
      </c>
      <c r="G30" s="21"/>
      <c r="H30" s="21">
        <f>SUM(OSRRefH22x_0)</f>
        <v>911522.66000000015</v>
      </c>
      <c r="I30" s="21"/>
      <c r="J30" s="35">
        <f t="shared" ref="J30:J40" si="16">IF(H$12=0,0,H30/H$12)</f>
        <v>0.86051343705294436</v>
      </c>
      <c r="K30" s="4"/>
      <c r="L30" s="21">
        <f t="shared" ref="L30:L40" si="17">+D30-H30</f>
        <v>-617633.42000000004</v>
      </c>
      <c r="M30" s="4"/>
      <c r="N30" s="35">
        <f t="shared" ref="N30:N40" si="18">IF(H30=0,0,L30/H30)</f>
        <v>-0.6775842742077306</v>
      </c>
      <c r="O30" s="10"/>
      <c r="P30" s="21">
        <f>SUM(OSRRefP22x_0)</f>
        <v>2372199.2099999995</v>
      </c>
      <c r="Q30" s="21"/>
      <c r="R30" s="35">
        <f t="shared" ref="R30:R40" si="19">IF(P$12=0,0,P30/P$12)</f>
        <v>2.4943251874974095</v>
      </c>
      <c r="S30" s="21"/>
      <c r="T30" s="21">
        <f>SUM(OSRRefT22x_0)</f>
        <v>6726180.4599999981</v>
      </c>
      <c r="U30" s="21"/>
      <c r="V30" s="35">
        <f t="shared" ref="V30:V40" si="20">IF(T$12=0,0,T30/T$12)</f>
        <v>0.65653626631482509</v>
      </c>
      <c r="W30" s="4"/>
      <c r="X30" s="21">
        <f t="shared" ref="X30:X40" si="21">+P30-T30</f>
        <v>-4353981.2499999981</v>
      </c>
      <c r="Y30" s="4"/>
      <c r="Z30" s="35">
        <f t="shared" ref="Z30:Z40" si="22">IF(T30=0,0,X30/T30)</f>
        <v>-0.64731853031490016</v>
      </c>
    </row>
    <row r="31" spans="1:26" s="26" customFormat="1" outlineLevel="1" collapsed="1" x14ac:dyDescent="0.25">
      <c r="A31" s="27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91885.720000000016</v>
      </c>
      <c r="E31" s="1"/>
      <c r="F31" s="5">
        <f t="shared" si="15"/>
        <v>0.76364860023232173</v>
      </c>
      <c r="G31" s="1"/>
      <c r="H31" s="1">
        <f>SUM(OSRRefH22_0x_0)</f>
        <v>163712.13</v>
      </c>
      <c r="I31" s="1"/>
      <c r="J31" s="5">
        <f t="shared" si="16"/>
        <v>0.15455072468912448</v>
      </c>
      <c r="K31" s="1"/>
      <c r="L31" s="1">
        <f t="shared" si="17"/>
        <v>-71826.409999999989</v>
      </c>
      <c r="M31" s="1"/>
      <c r="N31" s="5">
        <f t="shared" si="18"/>
        <v>-0.43873603012800572</v>
      </c>
      <c r="O31" s="13"/>
      <c r="P31" s="1">
        <f>SUM(OSRRefP22_0x_0)</f>
        <v>689763.04</v>
      </c>
      <c r="Q31" s="1"/>
      <c r="R31" s="5">
        <f t="shared" si="19"/>
        <v>0.72527354229950336</v>
      </c>
      <c r="S31" s="1"/>
      <c r="T31" s="1">
        <f>SUM(OSRRefT22_0x_0)</f>
        <v>1140080.1399999999</v>
      </c>
      <c r="U31" s="1"/>
      <c r="V31" s="5">
        <f t="shared" si="20"/>
        <v>0.11128217015088578</v>
      </c>
      <c r="W31" s="1"/>
      <c r="X31" s="1">
        <f t="shared" si="21"/>
        <v>-450317.09999999986</v>
      </c>
      <c r="Y31" s="1"/>
      <c r="Z31" s="5">
        <f t="shared" si="22"/>
        <v>-0.39498723309047373</v>
      </c>
    </row>
    <row r="32" spans="1:26" s="24" customFormat="1" hidden="1" outlineLevel="2" x14ac:dyDescent="0.25">
      <c r="A32" s="25"/>
      <c r="B32" s="11" t="str">
        <f>CONCATENATE("          ", "6111", " - ", "F.I.C.A.")</f>
        <v xml:space="preserve">          6111 - F.I.C.A.</v>
      </c>
      <c r="C32" s="11"/>
      <c r="D32" s="6">
        <v>9304.4500000000007</v>
      </c>
      <c r="E32" s="2"/>
      <c r="F32" s="7">
        <f t="shared" si="15"/>
        <v>7.7327904906568989E-2</v>
      </c>
      <c r="G32" s="2"/>
      <c r="H32" s="6">
        <v>20743.14</v>
      </c>
      <c r="I32" s="2"/>
      <c r="J32" s="7">
        <f t="shared" si="16"/>
        <v>1.9582344444043123E-2</v>
      </c>
      <c r="K32" s="2"/>
      <c r="L32" s="6">
        <f t="shared" si="17"/>
        <v>-11438.689999999999</v>
      </c>
      <c r="M32" s="2"/>
      <c r="N32" s="7">
        <f t="shared" si="18"/>
        <v>-0.55144447754775794</v>
      </c>
      <c r="O32" s="11"/>
      <c r="P32" s="6">
        <v>74055.27</v>
      </c>
      <c r="Q32" s="2"/>
      <c r="R32" s="7">
        <f t="shared" si="19"/>
        <v>7.7867796452019439E-2</v>
      </c>
      <c r="S32" s="2"/>
      <c r="T32" s="6">
        <v>186956.21</v>
      </c>
      <c r="U32" s="2"/>
      <c r="V32" s="7">
        <f t="shared" si="20"/>
        <v>1.8248623094149097E-2</v>
      </c>
      <c r="W32" s="2"/>
      <c r="X32" s="6">
        <f t="shared" si="21"/>
        <v>-112900.93999999999</v>
      </c>
      <c r="Y32" s="2"/>
      <c r="Z32" s="7">
        <f t="shared" si="22"/>
        <v>-0.6038897557882672</v>
      </c>
    </row>
    <row r="33" spans="1:26" s="24" customFormat="1" hidden="1" outlineLevel="2" x14ac:dyDescent="0.25">
      <c r="A33" s="25"/>
      <c r="B33" s="11" t="str">
        <f>CONCATENATE("          ", "6112", " - ", "COMPENSATION INSURANCE")</f>
        <v xml:space="preserve">          6112 - COMPENSATION INSURANCE</v>
      </c>
      <c r="C33" s="11"/>
      <c r="D33" s="6">
        <v>1086.93</v>
      </c>
      <c r="E33" s="2"/>
      <c r="F33" s="7">
        <f t="shared" si="15"/>
        <v>9.0333141324954232E-3</v>
      </c>
      <c r="G33" s="2"/>
      <c r="H33" s="6">
        <v>12928.81</v>
      </c>
      <c r="I33" s="2"/>
      <c r="J33" s="7">
        <f t="shared" si="16"/>
        <v>1.2205307907654731E-2</v>
      </c>
      <c r="K33" s="2"/>
      <c r="L33" s="6">
        <f t="shared" si="17"/>
        <v>-11841.88</v>
      </c>
      <c r="M33" s="2"/>
      <c r="N33" s="7">
        <f t="shared" si="18"/>
        <v>-0.91592961765235936</v>
      </c>
      <c r="O33" s="11"/>
      <c r="P33" s="6">
        <v>40151</v>
      </c>
      <c r="Q33" s="2"/>
      <c r="R33" s="7">
        <f t="shared" si="19"/>
        <v>4.2218060852995773E-2</v>
      </c>
      <c r="S33" s="2"/>
      <c r="T33" s="6">
        <v>99165.28</v>
      </c>
      <c r="U33" s="2"/>
      <c r="V33" s="7">
        <f t="shared" si="20"/>
        <v>9.6794314494595361E-3</v>
      </c>
      <c r="W33" s="2"/>
      <c r="X33" s="6">
        <f t="shared" si="21"/>
        <v>-59014.28</v>
      </c>
      <c r="Y33" s="2"/>
      <c r="Z33" s="7">
        <f t="shared" si="22"/>
        <v>-0.59511030473568971</v>
      </c>
    </row>
    <row r="34" spans="1:26" s="24" customFormat="1" hidden="1" outlineLevel="2" x14ac:dyDescent="0.25">
      <c r="A34" s="25"/>
      <c r="B34" s="11" t="str">
        <f>CONCATENATE("          ", "6113", " - ", "GROUP INSURANCE")</f>
        <v xml:space="preserve">          6113 - GROUP INSURANCE</v>
      </c>
      <c r="C34" s="11"/>
      <c r="D34" s="6">
        <v>53968.590000000004</v>
      </c>
      <c r="E34" s="2"/>
      <c r="F34" s="7">
        <f t="shared" si="15"/>
        <v>0.44852495262606712</v>
      </c>
      <c r="G34" s="2"/>
      <c r="H34" s="6">
        <v>77055.58</v>
      </c>
      <c r="I34" s="2"/>
      <c r="J34" s="7">
        <f t="shared" si="16"/>
        <v>7.2743514670176285E-2</v>
      </c>
      <c r="K34" s="2"/>
      <c r="L34" s="6">
        <f t="shared" si="17"/>
        <v>-23086.989999999998</v>
      </c>
      <c r="M34" s="2"/>
      <c r="N34" s="7">
        <f t="shared" si="18"/>
        <v>-0.29961477157137739</v>
      </c>
      <c r="O34" s="11"/>
      <c r="P34" s="6">
        <v>382492.37</v>
      </c>
      <c r="Q34" s="2"/>
      <c r="R34" s="7">
        <f t="shared" si="19"/>
        <v>0.4021839095531014</v>
      </c>
      <c r="S34" s="2"/>
      <c r="T34" s="6">
        <v>484005.18</v>
      </c>
      <c r="U34" s="2"/>
      <c r="V34" s="7">
        <f t="shared" si="20"/>
        <v>4.724329887429677E-2</v>
      </c>
      <c r="W34" s="2"/>
      <c r="X34" s="6">
        <f t="shared" si="21"/>
        <v>-101512.81</v>
      </c>
      <c r="Y34" s="2"/>
      <c r="Z34" s="7">
        <f t="shared" si="22"/>
        <v>-0.20973496605966077</v>
      </c>
    </row>
    <row r="35" spans="1:26" s="24" customFormat="1" hidden="1" outlineLevel="2" x14ac:dyDescent="0.25">
      <c r="A35" s="25"/>
      <c r="B35" s="11" t="str">
        <f>CONCATENATE("          ", "6114", " - ", "STATE UNEMPLOYMENT INSURANCE")</f>
        <v xml:space="preserve">          6114 - STATE UNEMPLOYMENT INSURANCE</v>
      </c>
      <c r="C35" s="11"/>
      <c r="D35" s="6">
        <v>720.37</v>
      </c>
      <c r="E35" s="2"/>
      <c r="F35" s="7">
        <f t="shared" si="15"/>
        <v>5.9868883015702272E-3</v>
      </c>
      <c r="G35" s="2"/>
      <c r="H35" s="6">
        <v>909.65</v>
      </c>
      <c r="I35" s="2"/>
      <c r="J35" s="7">
        <f t="shared" si="16"/>
        <v>8.5874557195891399E-4</v>
      </c>
      <c r="K35" s="2"/>
      <c r="L35" s="6">
        <f t="shared" si="17"/>
        <v>-189.27999999999997</v>
      </c>
      <c r="M35" s="2"/>
      <c r="N35" s="7">
        <f t="shared" si="18"/>
        <v>-0.20808003078106962</v>
      </c>
      <c r="O35" s="11"/>
      <c r="P35" s="6">
        <v>2874.5</v>
      </c>
      <c r="Q35" s="2"/>
      <c r="R35" s="7">
        <f t="shared" si="19"/>
        <v>3.0224855152284217E-3</v>
      </c>
      <c r="S35" s="2"/>
      <c r="T35" s="6">
        <v>8813.17</v>
      </c>
      <c r="U35" s="2"/>
      <c r="V35" s="7">
        <f t="shared" si="20"/>
        <v>8.602453889852709E-4</v>
      </c>
      <c r="W35" s="2"/>
      <c r="X35" s="6">
        <f t="shared" si="21"/>
        <v>-5938.67</v>
      </c>
      <c r="Y35" s="2"/>
      <c r="Z35" s="7">
        <f t="shared" si="22"/>
        <v>-0.67384040021921743</v>
      </c>
    </row>
    <row r="36" spans="1:26" s="24" customFormat="1" hidden="1" outlineLevel="2" x14ac:dyDescent="0.25">
      <c r="A36" s="25"/>
      <c r="B36" s="11" t="str">
        <f>CONCATENATE("          ", "6115", " - ", "P.E.R.S.")</f>
        <v xml:space="preserve">          6115 - P.E.R.S.</v>
      </c>
      <c r="C36" s="11"/>
      <c r="D36" s="6">
        <v>9264.23</v>
      </c>
      <c r="E36" s="2"/>
      <c r="F36" s="7">
        <f t="shared" si="15"/>
        <v>7.6993642447708746E-2</v>
      </c>
      <c r="G36" s="2"/>
      <c r="H36" s="6">
        <v>16322.64</v>
      </c>
      <c r="I36" s="2"/>
      <c r="J36" s="7">
        <f t="shared" si="16"/>
        <v>1.540921763610119E-2</v>
      </c>
      <c r="K36" s="2"/>
      <c r="L36" s="6">
        <f t="shared" si="17"/>
        <v>-7058.41</v>
      </c>
      <c r="M36" s="2"/>
      <c r="N36" s="7">
        <f t="shared" si="18"/>
        <v>-0.43243066072645114</v>
      </c>
      <c r="O36" s="11"/>
      <c r="P36" s="6">
        <v>53178.89</v>
      </c>
      <c r="Q36" s="2"/>
      <c r="R36" s="7">
        <f t="shared" si="19"/>
        <v>5.591665498031851E-2</v>
      </c>
      <c r="S36" s="2"/>
      <c r="T36" s="6">
        <v>84538.06</v>
      </c>
      <c r="U36" s="2"/>
      <c r="V36" s="7">
        <f t="shared" si="20"/>
        <v>8.251682006447188E-3</v>
      </c>
      <c r="W36" s="2"/>
      <c r="X36" s="6">
        <f t="shared" si="21"/>
        <v>-31359.17</v>
      </c>
      <c r="Y36" s="2"/>
      <c r="Z36" s="7">
        <f t="shared" si="22"/>
        <v>-0.37094735791192746</v>
      </c>
    </row>
    <row r="37" spans="1:26" s="24" customFormat="1" hidden="1" outlineLevel="2" x14ac:dyDescent="0.25">
      <c r="A37" s="25"/>
      <c r="B37" s="11" t="str">
        <f>CONCATENATE("          ", "6117", " - ", "RETIREMENT STAFF HOURLY")</f>
        <v xml:space="preserve">          6117 - RETIREMENT STAFF HOURLY</v>
      </c>
      <c r="C37" s="11"/>
      <c r="D37" s="6">
        <v>1440.43</v>
      </c>
      <c r="E37" s="2"/>
      <c r="F37" s="7">
        <f t="shared" si="15"/>
        <v>1.1971200239086585E-2</v>
      </c>
      <c r="G37" s="2"/>
      <c r="H37" s="6">
        <v>2458.2800000000002</v>
      </c>
      <c r="I37" s="2"/>
      <c r="J37" s="7">
        <f t="shared" si="16"/>
        <v>2.3207135322763253E-3</v>
      </c>
      <c r="K37" s="2"/>
      <c r="L37" s="6">
        <f t="shared" si="17"/>
        <v>-1017.8500000000001</v>
      </c>
      <c r="M37" s="2"/>
      <c r="N37" s="7">
        <f t="shared" si="18"/>
        <v>-0.41404966073840249</v>
      </c>
      <c r="O37" s="11"/>
      <c r="P37" s="6">
        <v>10473.23</v>
      </c>
      <c r="Q37" s="2"/>
      <c r="R37" s="7">
        <f t="shared" si="19"/>
        <v>1.101241467130136E-2</v>
      </c>
      <c r="S37" s="2"/>
      <c r="T37" s="6">
        <v>13290.29</v>
      </c>
      <c r="U37" s="2"/>
      <c r="V37" s="7">
        <f t="shared" si="20"/>
        <v>1.2972529397228304E-3</v>
      </c>
      <c r="W37" s="2"/>
      <c r="X37" s="6">
        <f t="shared" si="21"/>
        <v>-2817.0600000000013</v>
      </c>
      <c r="Y37" s="2"/>
      <c r="Z37" s="7">
        <f t="shared" si="22"/>
        <v>-0.21196377204711117</v>
      </c>
    </row>
    <row r="38" spans="1:26" s="24" customFormat="1" hidden="1" outlineLevel="2" x14ac:dyDescent="0.25">
      <c r="A38" s="25"/>
      <c r="B38" s="11" t="str">
        <f>CONCATENATE("          ", "6118", " - ", "VACATION")</f>
        <v xml:space="preserve">          6118 - VACATION</v>
      </c>
      <c r="C38" s="11"/>
      <c r="D38" s="6">
        <v>8969.57</v>
      </c>
      <c r="E38" s="2"/>
      <c r="F38" s="7">
        <f t="shared" si="15"/>
        <v>7.454476686024579E-2</v>
      </c>
      <c r="G38" s="2"/>
      <c r="H38" s="6">
        <v>14434.08</v>
      </c>
      <c r="I38" s="2"/>
      <c r="J38" s="7">
        <f t="shared" si="16"/>
        <v>1.362634231330811E-2</v>
      </c>
      <c r="K38" s="2"/>
      <c r="L38" s="6">
        <f t="shared" si="17"/>
        <v>-5464.51</v>
      </c>
      <c r="M38" s="2"/>
      <c r="N38" s="7">
        <f t="shared" si="18"/>
        <v>-0.37858387926352077</v>
      </c>
      <c r="O38" s="11"/>
      <c r="P38" s="6">
        <v>65122.87</v>
      </c>
      <c r="Q38" s="2"/>
      <c r="R38" s="7">
        <f t="shared" si="19"/>
        <v>6.8475537062133773E-2</v>
      </c>
      <c r="S38" s="2"/>
      <c r="T38" s="6">
        <v>113161.73000000001</v>
      </c>
      <c r="U38" s="2"/>
      <c r="V38" s="7">
        <f t="shared" si="20"/>
        <v>1.1045612014983964E-2</v>
      </c>
      <c r="W38" s="2"/>
      <c r="X38" s="6">
        <f t="shared" si="21"/>
        <v>-48038.860000000008</v>
      </c>
      <c r="Y38" s="2"/>
      <c r="Z38" s="7">
        <f t="shared" si="22"/>
        <v>-0.4245150723658962</v>
      </c>
    </row>
    <row r="39" spans="1:26" s="24" customFormat="1" hidden="1" outlineLevel="2" x14ac:dyDescent="0.25">
      <c r="A39" s="25"/>
      <c r="B39" s="11" t="str">
        <f>CONCATENATE("          ", "6119", " - ", "SICK LEAVE")</f>
        <v xml:space="preserve">          6119 - SICK LEAVE</v>
      </c>
      <c r="C39" s="11"/>
      <c r="D39" s="6">
        <v>5594.46</v>
      </c>
      <c r="E39" s="2"/>
      <c r="F39" s="7">
        <f t="shared" si="15"/>
        <v>4.649472788650634E-2</v>
      </c>
      <c r="G39" s="2"/>
      <c r="H39" s="6">
        <v>10352.26</v>
      </c>
      <c r="I39" s="2"/>
      <c r="J39" s="7">
        <f t="shared" si="16"/>
        <v>9.7729428184108041E-3</v>
      </c>
      <c r="K39" s="2"/>
      <c r="L39" s="6">
        <f t="shared" si="17"/>
        <v>-4757.8</v>
      </c>
      <c r="M39" s="2"/>
      <c r="N39" s="7">
        <f t="shared" si="18"/>
        <v>-0.45959046623635808</v>
      </c>
      <c r="O39" s="11"/>
      <c r="P39" s="6">
        <v>41618.25</v>
      </c>
      <c r="Q39" s="2"/>
      <c r="R39" s="7">
        <f t="shared" si="19"/>
        <v>4.376084807589329E-2</v>
      </c>
      <c r="S39" s="2"/>
      <c r="T39" s="6">
        <v>104442.58</v>
      </c>
      <c r="U39" s="2"/>
      <c r="V39" s="7">
        <f t="shared" si="20"/>
        <v>1.0194543831416537E-2</v>
      </c>
      <c r="W39" s="2"/>
      <c r="X39" s="6">
        <f t="shared" si="21"/>
        <v>-62824.33</v>
      </c>
      <c r="Y39" s="2"/>
      <c r="Z39" s="7">
        <f t="shared" si="22"/>
        <v>-0.60152028033011062</v>
      </c>
    </row>
    <row r="40" spans="1:26" s="24" customFormat="1" hidden="1" outlineLevel="2" x14ac:dyDescent="0.25">
      <c r="A40" s="25"/>
      <c r="B40" s="11" t="str">
        <f>CONCATENATE("          ", "6156", " - ", "EMPLOYEE MEALS")</f>
        <v xml:space="preserve">          6156 - EMPLOYEE MEALS</v>
      </c>
      <c r="C40" s="11"/>
      <c r="D40" s="6">
        <v>1536.69</v>
      </c>
      <c r="E40" s="2"/>
      <c r="F40" s="7">
        <f t="shared" si="15"/>
        <v>1.2771202832072342E-2</v>
      </c>
      <c r="G40" s="2"/>
      <c r="H40" s="6">
        <v>8507.69</v>
      </c>
      <c r="I40" s="2"/>
      <c r="J40" s="7">
        <f t="shared" si="16"/>
        <v>8.0315957951950026E-3</v>
      </c>
      <c r="K40" s="2"/>
      <c r="L40" s="6">
        <f t="shared" si="17"/>
        <v>-6971</v>
      </c>
      <c r="M40" s="2"/>
      <c r="N40" s="7">
        <f t="shared" si="18"/>
        <v>-0.81937635245289842</v>
      </c>
      <c r="O40" s="11"/>
      <c r="P40" s="6">
        <v>19796.66</v>
      </c>
      <c r="Q40" s="2"/>
      <c r="R40" s="7">
        <f t="shared" si="19"/>
        <v>2.0815835136511352E-2</v>
      </c>
      <c r="S40" s="2"/>
      <c r="T40" s="6">
        <v>45707.64</v>
      </c>
      <c r="U40" s="2"/>
      <c r="V40" s="7">
        <f t="shared" si="20"/>
        <v>4.4614805514245981E-3</v>
      </c>
      <c r="W40" s="2"/>
      <c r="X40" s="6">
        <f t="shared" si="21"/>
        <v>-25910.98</v>
      </c>
      <c r="Y40" s="2"/>
      <c r="Z40" s="7">
        <f t="shared" si="22"/>
        <v>-0.56688509842118295</v>
      </c>
    </row>
    <row r="41" spans="1:26" s="26" customFormat="1" outlineLevel="1" collapsed="1" x14ac:dyDescent="0.25">
      <c r="A41" s="27"/>
      <c r="B41" s="13" t="str">
        <f>CONCATENATE("     ","*Payroll                                          ")</f>
        <v xml:space="preserve">     *Payroll                                          </v>
      </c>
      <c r="C41" s="13"/>
      <c r="D41" s="1">
        <f>SUM(OSRRefD22_1x_0)</f>
        <v>136745.51999999999</v>
      </c>
      <c r="E41" s="1"/>
      <c r="F41" s="5">
        <f t="shared" ref="F41:F48" si="23">IF(D$12=0,0,D41/D$12)</f>
        <v>1.1364717492124012</v>
      </c>
      <c r="G41" s="1"/>
      <c r="H41" s="1">
        <f>SUM(OSRRefH22_1x_0)</f>
        <v>449160.99</v>
      </c>
      <c r="I41" s="1"/>
      <c r="J41" s="5">
        <f t="shared" ref="J41:J48" si="24">IF(H$12=0,0,H41/H$12)</f>
        <v>0.42402573655711762</v>
      </c>
      <c r="K41" s="1"/>
      <c r="L41" s="1">
        <f t="shared" ref="L41:L48" si="25">+D41-H41</f>
        <v>-312415.46999999997</v>
      </c>
      <c r="M41" s="1"/>
      <c r="N41" s="5">
        <f t="shared" ref="N41:N48" si="26">IF(H41=0,0,L41/H41)</f>
        <v>-0.69555343619667409</v>
      </c>
      <c r="O41" s="13"/>
      <c r="P41" s="1">
        <f>SUM(OSRRefP22_1x_0)</f>
        <v>956193.19</v>
      </c>
      <c r="Q41" s="1"/>
      <c r="R41" s="5">
        <f t="shared" ref="R41:R48" si="27">IF(P$12=0,0,P41/P$12)</f>
        <v>1.0054200962028379</v>
      </c>
      <c r="S41" s="1"/>
      <c r="T41" s="1">
        <f>SUM(OSRRefT22_1x_0)</f>
        <v>3262893.81</v>
      </c>
      <c r="U41" s="1"/>
      <c r="V41" s="5">
        <f t="shared" ref="V41:V48" si="28">IF(T$12=0,0,T41/T$12)</f>
        <v>0.31848805308431388</v>
      </c>
      <c r="W41" s="1"/>
      <c r="X41" s="1">
        <f t="shared" ref="X41:X48" si="29">+P41-T41</f>
        <v>-2306700.62</v>
      </c>
      <c r="Y41" s="1"/>
      <c r="Z41" s="5">
        <f t="shared" ref="Z41:Z48" si="30">IF(T41=0,0,X41/T41)</f>
        <v>-0.7069493383237011</v>
      </c>
    </row>
    <row r="42" spans="1:26" s="24" customFormat="1" hidden="1" outlineLevel="2" x14ac:dyDescent="0.25">
      <c r="A42" s="25"/>
      <c r="B42" s="11" t="str">
        <f>CONCATENATE("          ", "6001", " - ", "ADMINISTRATIVE SALARIES")</f>
        <v xml:space="preserve">          6001 - ADMINISTRATIVE SALARIES</v>
      </c>
      <c r="C42" s="11"/>
      <c r="D42" s="6">
        <v>24737.84</v>
      </c>
      <c r="E42" s="2"/>
      <c r="F42" s="7">
        <f t="shared" si="23"/>
        <v>0.20559252176258871</v>
      </c>
      <c r="G42" s="2"/>
      <c r="H42" s="6">
        <v>29316.37</v>
      </c>
      <c r="I42" s="2"/>
      <c r="J42" s="7">
        <f t="shared" si="24"/>
        <v>2.7675812591006592E-2</v>
      </c>
      <c r="K42" s="2"/>
      <c r="L42" s="6">
        <f t="shared" si="25"/>
        <v>-4578.5299999999988</v>
      </c>
      <c r="M42" s="2"/>
      <c r="N42" s="7">
        <f t="shared" si="26"/>
        <v>-0.15617656619833897</v>
      </c>
      <c r="O42" s="11"/>
      <c r="P42" s="6">
        <v>140726.9</v>
      </c>
      <c r="Q42" s="2"/>
      <c r="R42" s="7">
        <f t="shared" si="27"/>
        <v>0.14797182704922546</v>
      </c>
      <c r="S42" s="2"/>
      <c r="T42" s="6">
        <v>179163.02</v>
      </c>
      <c r="U42" s="2"/>
      <c r="V42" s="7">
        <f t="shared" si="28"/>
        <v>1.7487937011503904E-2</v>
      </c>
      <c r="W42" s="2"/>
      <c r="X42" s="6">
        <f t="shared" si="29"/>
        <v>-38436.119999999995</v>
      </c>
      <c r="Y42" s="2"/>
      <c r="Z42" s="7">
        <f t="shared" si="30"/>
        <v>-0.21453154786071366</v>
      </c>
    </row>
    <row r="43" spans="1:26" s="24" customFormat="1" hidden="1" outlineLevel="2" x14ac:dyDescent="0.25">
      <c r="A43" s="25"/>
      <c r="B43" s="11" t="str">
        <f>CONCATENATE("          ", "6002", " - ", "STAFF SALARIES")</f>
        <v xml:space="preserve">          6002 - STAFF SALARIES</v>
      </c>
      <c r="C43" s="11"/>
      <c r="D43" s="6">
        <v>46627.77</v>
      </c>
      <c r="E43" s="2"/>
      <c r="F43" s="7">
        <f t="shared" si="23"/>
        <v>0.38751648561337532</v>
      </c>
      <c r="G43" s="2"/>
      <c r="H43" s="6">
        <v>122853.01999999999</v>
      </c>
      <c r="I43" s="2"/>
      <c r="J43" s="7">
        <f t="shared" si="24"/>
        <v>0.11597810908237223</v>
      </c>
      <c r="K43" s="2"/>
      <c r="L43" s="6">
        <f t="shared" si="25"/>
        <v>-76225.25</v>
      </c>
      <c r="M43" s="2"/>
      <c r="N43" s="7">
        <f t="shared" si="26"/>
        <v>-0.62045890284178606</v>
      </c>
      <c r="O43" s="11"/>
      <c r="P43" s="6">
        <v>309506.52999999997</v>
      </c>
      <c r="Q43" s="2"/>
      <c r="R43" s="7">
        <f t="shared" si="27"/>
        <v>0.32544059968467937</v>
      </c>
      <c r="S43" s="2"/>
      <c r="T43" s="6">
        <v>719259</v>
      </c>
      <c r="U43" s="2"/>
      <c r="V43" s="7">
        <f t="shared" si="28"/>
        <v>7.020620710098148E-2</v>
      </c>
      <c r="W43" s="2"/>
      <c r="X43" s="6">
        <f t="shared" si="29"/>
        <v>-409752.47000000003</v>
      </c>
      <c r="Y43" s="2"/>
      <c r="Z43" s="7">
        <f t="shared" si="30"/>
        <v>-0.56968695560291915</v>
      </c>
    </row>
    <row r="44" spans="1:26" s="24" customFormat="1" hidden="1" outlineLevel="2" x14ac:dyDescent="0.25">
      <c r="A44" s="25"/>
      <c r="B44" s="11" t="str">
        <f>CONCATENATE("          ", "6004", " - ", "STAFF HOURLY")</f>
        <v xml:space="preserve">          6004 - STAFF HOURLY</v>
      </c>
      <c r="C44" s="11"/>
      <c r="D44" s="6">
        <v>38541.379999999997</v>
      </c>
      <c r="E44" s="2"/>
      <c r="F44" s="7">
        <f t="shared" si="23"/>
        <v>0.32031169683408905</v>
      </c>
      <c r="G44" s="2"/>
      <c r="H44" s="6">
        <v>72554.41</v>
      </c>
      <c r="I44" s="2"/>
      <c r="J44" s="7">
        <f t="shared" si="24"/>
        <v>6.8494232192152532E-2</v>
      </c>
      <c r="K44" s="2"/>
      <c r="L44" s="6">
        <f t="shared" si="25"/>
        <v>-34013.030000000006</v>
      </c>
      <c r="M44" s="2"/>
      <c r="N44" s="7">
        <f t="shared" si="26"/>
        <v>-0.46879342000024538</v>
      </c>
      <c r="O44" s="11"/>
      <c r="P44" s="6">
        <v>334382.76999999996</v>
      </c>
      <c r="Q44" s="2"/>
      <c r="R44" s="7">
        <f t="shared" si="27"/>
        <v>0.35159752265331595</v>
      </c>
      <c r="S44" s="2"/>
      <c r="T44" s="6">
        <v>557919.66</v>
      </c>
      <c r="U44" s="2"/>
      <c r="V44" s="7">
        <f t="shared" si="28"/>
        <v>5.4458023042699748E-2</v>
      </c>
      <c r="W44" s="2"/>
      <c r="X44" s="6">
        <f t="shared" si="29"/>
        <v>-223536.89000000007</v>
      </c>
      <c r="Y44" s="2"/>
      <c r="Z44" s="7">
        <f t="shared" si="30"/>
        <v>-0.40066143214956801</v>
      </c>
    </row>
    <row r="45" spans="1:26" s="24" customFormat="1" hidden="1" outlineLevel="2" x14ac:dyDescent="0.25">
      <c r="A45" s="25"/>
      <c r="B45" s="11" t="str">
        <f>CONCATENATE("          ", "6005", " - ", "TEMPORARY WAGES-HOURLY")</f>
        <v xml:space="preserve">          6005 - TEMPORARY WAGES-HOURLY</v>
      </c>
      <c r="C45" s="11"/>
      <c r="D45" s="6">
        <v>8579.9500000000007</v>
      </c>
      <c r="E45" s="2"/>
      <c r="F45" s="7">
        <f t="shared" si="23"/>
        <v>7.1306692787119777E-2</v>
      </c>
      <c r="G45" s="2"/>
      <c r="H45" s="6">
        <v>47246.8</v>
      </c>
      <c r="I45" s="2"/>
      <c r="J45" s="7">
        <f t="shared" si="24"/>
        <v>4.460284756689762E-2</v>
      </c>
      <c r="K45" s="2"/>
      <c r="L45" s="6">
        <f t="shared" si="25"/>
        <v>-38666.850000000006</v>
      </c>
      <c r="M45" s="2"/>
      <c r="N45" s="7">
        <f t="shared" si="26"/>
        <v>-0.81840145787651231</v>
      </c>
      <c r="O45" s="11"/>
      <c r="P45" s="6">
        <v>73480.39</v>
      </c>
      <c r="Q45" s="2"/>
      <c r="R45" s="7">
        <f t="shared" si="27"/>
        <v>7.7263320378617273E-2</v>
      </c>
      <c r="S45" s="2"/>
      <c r="T45" s="6">
        <v>598295.11</v>
      </c>
      <c r="U45" s="2"/>
      <c r="V45" s="7">
        <f t="shared" si="28"/>
        <v>5.8399033449931803E-2</v>
      </c>
      <c r="W45" s="2"/>
      <c r="X45" s="6">
        <f t="shared" si="29"/>
        <v>-524814.72</v>
      </c>
      <c r="Y45" s="2"/>
      <c r="Z45" s="7">
        <f t="shared" si="30"/>
        <v>-0.87718370287198233</v>
      </c>
    </row>
    <row r="46" spans="1:26" s="24" customFormat="1" hidden="1" outlineLevel="2" x14ac:dyDescent="0.25">
      <c r="A46" s="25"/>
      <c r="B46" s="11" t="str">
        <f>CONCATENATE("          ", "6006", " - ", "TEMPORARY PART TIME")</f>
        <v xml:space="preserve">          6006 - TEMPORARY PART TIME</v>
      </c>
      <c r="C46" s="11"/>
      <c r="D46" s="6"/>
      <c r="E46" s="2"/>
      <c r="F46" s="7">
        <f t="shared" si="23"/>
        <v>0</v>
      </c>
      <c r="G46" s="2"/>
      <c r="H46" s="6">
        <v>393.25</v>
      </c>
      <c r="I46" s="2"/>
      <c r="J46" s="7">
        <f t="shared" si="24"/>
        <v>3.7124355100625841E-4</v>
      </c>
      <c r="K46" s="2"/>
      <c r="L46" s="6">
        <f t="shared" si="25"/>
        <v>-393.25</v>
      </c>
      <c r="M46" s="2"/>
      <c r="N46" s="7">
        <f t="shared" si="26"/>
        <v>-1</v>
      </c>
      <c r="O46" s="11"/>
      <c r="P46" s="6"/>
      <c r="Q46" s="2"/>
      <c r="R46" s="7">
        <f t="shared" si="27"/>
        <v>0</v>
      </c>
      <c r="S46" s="2"/>
      <c r="T46" s="6">
        <v>40581.5</v>
      </c>
      <c r="U46" s="2"/>
      <c r="V46" s="7">
        <f t="shared" si="28"/>
        <v>3.961122757544195E-3</v>
      </c>
      <c r="W46" s="2"/>
      <c r="X46" s="6">
        <f t="shared" si="29"/>
        <v>-40581.5</v>
      </c>
      <c r="Y46" s="2"/>
      <c r="Z46" s="7">
        <f t="shared" si="30"/>
        <v>-1</v>
      </c>
    </row>
    <row r="47" spans="1:26" s="24" customFormat="1" hidden="1" outlineLevel="2" x14ac:dyDescent="0.25">
      <c r="A47" s="25"/>
      <c r="B47" s="11" t="str">
        <f>CONCATENATE("          ", "6007", " - ", "STUDENT HOURLY")</f>
        <v xml:space="preserve">          6007 - STUDENT HOURLY</v>
      </c>
      <c r="C47" s="11"/>
      <c r="D47" s="6">
        <v>18258.580000000002</v>
      </c>
      <c r="E47" s="2"/>
      <c r="F47" s="7">
        <f t="shared" si="23"/>
        <v>0.15174435221522847</v>
      </c>
      <c r="G47" s="2"/>
      <c r="H47" s="6">
        <v>171242.89</v>
      </c>
      <c r="I47" s="2"/>
      <c r="J47" s="7">
        <f t="shared" si="24"/>
        <v>0.16166005993178412</v>
      </c>
      <c r="K47" s="2"/>
      <c r="L47" s="6">
        <f t="shared" si="25"/>
        <v>-152984.31</v>
      </c>
      <c r="M47" s="2"/>
      <c r="N47" s="7">
        <f t="shared" si="26"/>
        <v>-0.89337612790814258</v>
      </c>
      <c r="O47" s="11"/>
      <c r="P47" s="6">
        <v>87465.72</v>
      </c>
      <c r="Q47" s="2"/>
      <c r="R47" s="7">
        <f t="shared" si="27"/>
        <v>9.1968645600634849E-2</v>
      </c>
      <c r="S47" s="2"/>
      <c r="T47" s="6">
        <v>1025427.1000000001</v>
      </c>
      <c r="U47" s="2"/>
      <c r="V47" s="7">
        <f t="shared" si="28"/>
        <v>0.10009099274330785</v>
      </c>
      <c r="W47" s="2"/>
      <c r="X47" s="6">
        <f t="shared" si="29"/>
        <v>-937961.38000000012</v>
      </c>
      <c r="Y47" s="2"/>
      <c r="Z47" s="7">
        <f t="shared" si="30"/>
        <v>-0.91470313199251319</v>
      </c>
    </row>
    <row r="48" spans="1:26" s="24" customFormat="1" hidden="1" outlineLevel="2" x14ac:dyDescent="0.25">
      <c r="A48" s="25"/>
      <c r="B48" s="11" t="str">
        <f>CONCATENATE("          ", "6008", " - ", "STUDENT HOURLY-FICA EXEMPT")</f>
        <v xml:space="preserve">          6008 - STUDENT HOURLY-FICA EXEMPT</v>
      </c>
      <c r="C48" s="11"/>
      <c r="D48" s="6"/>
      <c r="E48" s="2"/>
      <c r="F48" s="7">
        <f t="shared" si="23"/>
        <v>0</v>
      </c>
      <c r="G48" s="2"/>
      <c r="H48" s="6">
        <v>5554.25</v>
      </c>
      <c r="I48" s="2"/>
      <c r="J48" s="7">
        <f t="shared" si="24"/>
        <v>5.2434316418983103E-3</v>
      </c>
      <c r="K48" s="2"/>
      <c r="L48" s="6">
        <f t="shared" si="25"/>
        <v>-5554.25</v>
      </c>
      <c r="M48" s="2"/>
      <c r="N48" s="7">
        <f t="shared" si="26"/>
        <v>-1</v>
      </c>
      <c r="O48" s="11"/>
      <c r="P48" s="6">
        <v>10630.88</v>
      </c>
      <c r="Q48" s="2"/>
      <c r="R48" s="7">
        <f t="shared" si="27"/>
        <v>1.1178180836365114E-2</v>
      </c>
      <c r="S48" s="2"/>
      <c r="T48" s="6">
        <v>142248.42000000001</v>
      </c>
      <c r="U48" s="2"/>
      <c r="V48" s="7">
        <f t="shared" si="28"/>
        <v>1.3884736978344931E-2</v>
      </c>
      <c r="W48" s="2"/>
      <c r="X48" s="6">
        <f t="shared" si="29"/>
        <v>-131617.54</v>
      </c>
      <c r="Y48" s="2"/>
      <c r="Z48" s="7">
        <f t="shared" si="30"/>
        <v>-0.9252653913484592</v>
      </c>
    </row>
    <row r="49" spans="1:26" s="26" customFormat="1" outlineLevel="1" collapsed="1" x14ac:dyDescent="0.25">
      <c r="A49" s="27"/>
      <c r="B49" s="13" t="str">
        <f>CONCATENATE("     ","Advertising/Promo                                 ")</f>
        <v xml:space="preserve">     Advertising/Promo                                 </v>
      </c>
      <c r="C49" s="13"/>
      <c r="D49" s="1">
        <f>SUM(OSRRefD22_2x_0)</f>
        <v>21.57</v>
      </c>
      <c r="E49" s="1"/>
      <c r="F49" s="5">
        <f t="shared" ref="F49:F58" si="31">IF(D$12=0,0,D49/D$12)</f>
        <v>1.792650730386743E-4</v>
      </c>
      <c r="G49" s="1"/>
      <c r="H49" s="1">
        <f>SUM(OSRRefH22_2x_0)</f>
        <v>4459.08</v>
      </c>
      <c r="I49" s="1"/>
      <c r="J49" s="5">
        <f t="shared" ref="J49:J58" si="32">IF(H$12=0,0,H49/H$12)</f>
        <v>4.2095478535816569E-3</v>
      </c>
      <c r="K49" s="1"/>
      <c r="L49" s="1">
        <f t="shared" ref="L49:L58" si="33">+D49-H49</f>
        <v>-4437.51</v>
      </c>
      <c r="M49" s="1"/>
      <c r="N49" s="5">
        <f t="shared" ref="N49:N58" si="34">IF(H49=0,0,L49/H49)</f>
        <v>-0.9951626792970748</v>
      </c>
      <c r="O49" s="13"/>
      <c r="P49" s="1">
        <f>SUM(OSRRefP22_2x_0)</f>
        <v>1584.52</v>
      </c>
      <c r="Q49" s="1"/>
      <c r="R49" s="5">
        <f t="shared" ref="R49:R58" si="35">IF(P$12=0,0,P49/P$12)</f>
        <v>1.666094537689942E-3</v>
      </c>
      <c r="S49" s="1"/>
      <c r="T49" s="1">
        <f>SUM(OSRRefT22_2x_0)</f>
        <v>32029.31</v>
      </c>
      <c r="U49" s="1"/>
      <c r="V49" s="5">
        <f t="shared" ref="V49:V58" si="36">IF(T$12=0,0,T49/T$12)</f>
        <v>3.1263513854696812E-3</v>
      </c>
      <c r="W49" s="1"/>
      <c r="X49" s="1">
        <f t="shared" ref="X49:X58" si="37">+P49-T49</f>
        <v>-30444.79</v>
      </c>
      <c r="Y49" s="1"/>
      <c r="Z49" s="5">
        <f t="shared" ref="Z49:Z58" si="38">IF(T49=0,0,X49/T49)</f>
        <v>-0.95052906228701151</v>
      </c>
    </row>
    <row r="50" spans="1:26" s="24" customFormat="1" hidden="1" outlineLevel="2" x14ac:dyDescent="0.25">
      <c r="A50" s="25"/>
      <c r="B50" s="11" t="str">
        <f>CONCATENATE("          ", "6362", " - ", "ADVERTISING EXPENSE")</f>
        <v xml:space="preserve">          6362 - ADVERTISING EXPENSE</v>
      </c>
      <c r="C50" s="11"/>
      <c r="D50" s="6">
        <v>21.57</v>
      </c>
      <c r="E50" s="2"/>
      <c r="F50" s="7">
        <f t="shared" si="31"/>
        <v>1.792650730386743E-4</v>
      </c>
      <c r="G50" s="2"/>
      <c r="H50" s="6">
        <v>4459.08</v>
      </c>
      <c r="I50" s="2"/>
      <c r="J50" s="7">
        <f t="shared" si="32"/>
        <v>4.2095478535816569E-3</v>
      </c>
      <c r="K50" s="2"/>
      <c r="L50" s="6">
        <f t="shared" si="33"/>
        <v>-4437.51</v>
      </c>
      <c r="M50" s="2"/>
      <c r="N50" s="7">
        <f t="shared" si="34"/>
        <v>-0.9951626792970748</v>
      </c>
      <c r="O50" s="11"/>
      <c r="P50" s="6">
        <v>1584.52</v>
      </c>
      <c r="Q50" s="2"/>
      <c r="R50" s="7">
        <f t="shared" si="35"/>
        <v>1.666094537689942E-3</v>
      </c>
      <c r="S50" s="2"/>
      <c r="T50" s="6">
        <v>32029.31</v>
      </c>
      <c r="U50" s="2"/>
      <c r="V50" s="7">
        <f t="shared" si="36"/>
        <v>3.1263513854696812E-3</v>
      </c>
      <c r="W50" s="2"/>
      <c r="X50" s="6">
        <f t="shared" si="37"/>
        <v>-30444.79</v>
      </c>
      <c r="Y50" s="2"/>
      <c r="Z50" s="7">
        <f t="shared" si="38"/>
        <v>-0.95052906228701151</v>
      </c>
    </row>
    <row r="51" spans="1:26" s="26" customFormat="1" outlineLevel="1" collapsed="1" x14ac:dyDescent="0.25">
      <c r="A51" s="27"/>
      <c r="B51" s="13" t="str">
        <f>CONCATENATE("     ","Bad Debts/Over/Short                              ")</f>
        <v xml:space="preserve">     Bad Debts/Over/Short                              </v>
      </c>
      <c r="C51" s="13"/>
      <c r="D51" s="1">
        <f>SUM(OSRRefD22_3x_0)</f>
        <v>0</v>
      </c>
      <c r="E51" s="1"/>
      <c r="F51" s="5">
        <f t="shared" si="31"/>
        <v>0</v>
      </c>
      <c r="G51" s="1"/>
      <c r="H51" s="1">
        <f>SUM(OSRRefH22_3x_0)</f>
        <v>-412.43</v>
      </c>
      <c r="I51" s="1"/>
      <c r="J51" s="5">
        <f t="shared" si="32"/>
        <v>-3.8935022947618854E-4</v>
      </c>
      <c r="K51" s="1"/>
      <c r="L51" s="1">
        <f t="shared" si="33"/>
        <v>412.43</v>
      </c>
      <c r="M51" s="1"/>
      <c r="N51" s="5">
        <f t="shared" si="34"/>
        <v>-1</v>
      </c>
      <c r="O51" s="13"/>
      <c r="P51" s="1">
        <f>SUM(OSRRefP22_3x_0)</f>
        <v>78.53</v>
      </c>
      <c r="Q51" s="1"/>
      <c r="R51" s="5">
        <f t="shared" si="35"/>
        <v>8.2572895289924494E-5</v>
      </c>
      <c r="S51" s="1"/>
      <c r="T51" s="1">
        <f>SUM(OSRRefT22_3x_0)</f>
        <v>-475.42</v>
      </c>
      <c r="U51" s="1"/>
      <c r="V51" s="5">
        <f t="shared" si="36"/>
        <v>-4.6405307378772622E-5</v>
      </c>
      <c r="W51" s="1"/>
      <c r="X51" s="1">
        <f t="shared" si="37"/>
        <v>553.95000000000005</v>
      </c>
      <c r="Y51" s="1"/>
      <c r="Z51" s="5">
        <f t="shared" si="38"/>
        <v>-1.1651802616633713</v>
      </c>
    </row>
    <row r="52" spans="1:26" s="24" customFormat="1" hidden="1" outlineLevel="2" x14ac:dyDescent="0.25">
      <c r="A52" s="25"/>
      <c r="B52" s="11" t="str">
        <f>CONCATENATE("          ", "6272", " - ", "CASH (OVER/SHORT)")</f>
        <v xml:space="preserve">          6272 - CASH (OVER/SHORT)</v>
      </c>
      <c r="C52" s="11"/>
      <c r="D52" s="6"/>
      <c r="E52" s="2"/>
      <c r="F52" s="7">
        <f t="shared" si="31"/>
        <v>0</v>
      </c>
      <c r="G52" s="2"/>
      <c r="H52" s="6">
        <v>-412.43</v>
      </c>
      <c r="I52" s="2"/>
      <c r="J52" s="7">
        <f t="shared" si="32"/>
        <v>-3.8935022947618854E-4</v>
      </c>
      <c r="K52" s="2"/>
      <c r="L52" s="6">
        <f t="shared" si="33"/>
        <v>412.43</v>
      </c>
      <c r="M52" s="2"/>
      <c r="N52" s="7">
        <f t="shared" si="34"/>
        <v>-1</v>
      </c>
      <c r="O52" s="11"/>
      <c r="P52" s="6">
        <v>78.53</v>
      </c>
      <c r="Q52" s="2"/>
      <c r="R52" s="7">
        <f t="shared" si="35"/>
        <v>8.2572895289924494E-5</v>
      </c>
      <c r="S52" s="2"/>
      <c r="T52" s="6">
        <v>-475.42</v>
      </c>
      <c r="U52" s="2"/>
      <c r="V52" s="7">
        <f t="shared" si="36"/>
        <v>-4.6405307378772622E-5</v>
      </c>
      <c r="W52" s="2"/>
      <c r="X52" s="6">
        <f t="shared" si="37"/>
        <v>553.95000000000005</v>
      </c>
      <c r="Y52" s="2"/>
      <c r="Z52" s="7">
        <f t="shared" si="38"/>
        <v>-1.1651802616633713</v>
      </c>
    </row>
    <row r="53" spans="1:26" s="26" customFormat="1" outlineLevel="1" collapsed="1" x14ac:dyDescent="0.25">
      <c r="A53" s="27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747.89</v>
      </c>
      <c r="E53" s="1"/>
      <c r="F53" s="5">
        <f t="shared" si="31"/>
        <v>6.2156029427396439E-3</v>
      </c>
      <c r="G53" s="1"/>
      <c r="H53" s="1">
        <f>SUM(OSRRefH22_4x_0)</f>
        <v>11063.48</v>
      </c>
      <c r="I53" s="1"/>
      <c r="J53" s="5">
        <f t="shared" si="32"/>
        <v>1.0444362623488161E-2</v>
      </c>
      <c r="K53" s="1"/>
      <c r="L53" s="1">
        <f t="shared" si="33"/>
        <v>-10315.59</v>
      </c>
      <c r="M53" s="1"/>
      <c r="N53" s="5">
        <f t="shared" si="34"/>
        <v>-0.93240011280356638</v>
      </c>
      <c r="O53" s="13"/>
      <c r="P53" s="1">
        <f>SUM(OSRRefP22_4x_0)</f>
        <v>4037.85</v>
      </c>
      <c r="Q53" s="1"/>
      <c r="R53" s="5">
        <f t="shared" si="35"/>
        <v>4.2457273048060818E-3</v>
      </c>
      <c r="S53" s="1"/>
      <c r="T53" s="1">
        <f>SUM(OSRRefT22_4x_0)</f>
        <v>117102.29000000001</v>
      </c>
      <c r="U53" s="1"/>
      <c r="V53" s="5">
        <f t="shared" si="36"/>
        <v>1.1430246439376072E-2</v>
      </c>
      <c r="W53" s="1"/>
      <c r="X53" s="1">
        <f t="shared" si="37"/>
        <v>-113064.44</v>
      </c>
      <c r="Y53" s="1"/>
      <c r="Z53" s="5">
        <f t="shared" si="38"/>
        <v>-0.96551860770613451</v>
      </c>
    </row>
    <row r="54" spans="1:26" s="24" customFormat="1" hidden="1" outlineLevel="2" x14ac:dyDescent="0.25">
      <c r="A54" s="25"/>
      <c r="B54" s="11" t="str">
        <f>CONCATENATE("          ", "6381", " - ", "BANK/CREDIT CARD FEES")</f>
        <v xml:space="preserve">          6381 - BANK/CREDIT CARD FEES</v>
      </c>
      <c r="C54" s="11"/>
      <c r="D54" s="6">
        <v>747.89</v>
      </c>
      <c r="E54" s="2"/>
      <c r="F54" s="7">
        <f t="shared" si="31"/>
        <v>6.2156029427396439E-3</v>
      </c>
      <c r="G54" s="2"/>
      <c r="H54" s="6">
        <v>11063.48</v>
      </c>
      <c r="I54" s="2"/>
      <c r="J54" s="7">
        <f t="shared" si="32"/>
        <v>1.0444362623488161E-2</v>
      </c>
      <c r="K54" s="2"/>
      <c r="L54" s="6">
        <f t="shared" si="33"/>
        <v>-10315.59</v>
      </c>
      <c r="M54" s="2"/>
      <c r="N54" s="7">
        <f t="shared" si="34"/>
        <v>-0.93240011280356638</v>
      </c>
      <c r="O54" s="11"/>
      <c r="P54" s="6">
        <v>4037.85</v>
      </c>
      <c r="Q54" s="2"/>
      <c r="R54" s="7">
        <f t="shared" si="35"/>
        <v>4.2457273048060818E-3</v>
      </c>
      <c r="S54" s="2"/>
      <c r="T54" s="6">
        <v>117102.29000000001</v>
      </c>
      <c r="U54" s="2"/>
      <c r="V54" s="7">
        <f t="shared" si="36"/>
        <v>1.1430246439376072E-2</v>
      </c>
      <c r="W54" s="2"/>
      <c r="X54" s="6">
        <f t="shared" si="37"/>
        <v>-113064.44</v>
      </c>
      <c r="Y54" s="2"/>
      <c r="Z54" s="7">
        <f t="shared" si="38"/>
        <v>-0.96551860770613451</v>
      </c>
    </row>
    <row r="55" spans="1:26" s="26" customFormat="1" outlineLevel="1" collapsed="1" x14ac:dyDescent="0.25">
      <c r="A55" s="27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SUM(OSRRefD22_5x_0)</f>
        <v>37479.259999999995</v>
      </c>
      <c r="E55" s="1"/>
      <c r="F55" s="5">
        <f t="shared" si="31"/>
        <v>0.31148457493442111</v>
      </c>
      <c r="G55" s="1"/>
      <c r="H55" s="1">
        <f>SUM(OSRRefH22_5x_0)</f>
        <v>40745.619999999995</v>
      </c>
      <c r="I55" s="1"/>
      <c r="J55" s="5">
        <f t="shared" si="32"/>
        <v>3.8465476558808949E-2</v>
      </c>
      <c r="K55" s="1"/>
      <c r="L55" s="1">
        <f t="shared" si="33"/>
        <v>-3266.3600000000006</v>
      </c>
      <c r="M55" s="1"/>
      <c r="N55" s="5">
        <f t="shared" si="34"/>
        <v>-8.0164690094297275E-2</v>
      </c>
      <c r="O55" s="13"/>
      <c r="P55" s="1">
        <f>SUM(OSRRefP22_5x_0)</f>
        <v>264649.90000000002</v>
      </c>
      <c r="Q55" s="1"/>
      <c r="R55" s="5">
        <f t="shared" si="35"/>
        <v>0.27827465275931479</v>
      </c>
      <c r="S55" s="1"/>
      <c r="T55" s="1">
        <f>SUM(OSRRefT22_5x_0)</f>
        <v>279346.49</v>
      </c>
      <c r="U55" s="1"/>
      <c r="V55" s="5">
        <f t="shared" si="36"/>
        <v>2.7266753047055722E-2</v>
      </c>
      <c r="W55" s="1"/>
      <c r="X55" s="1">
        <f t="shared" si="37"/>
        <v>-14696.589999999967</v>
      </c>
      <c r="Y55" s="1"/>
      <c r="Z55" s="5">
        <f t="shared" si="38"/>
        <v>-5.2610612719708662E-2</v>
      </c>
    </row>
    <row r="56" spans="1:26" s="24" customFormat="1" hidden="1" outlineLevel="2" x14ac:dyDescent="0.25">
      <c r="A56" s="25"/>
      <c r="B56" s="11" t="str">
        <f>CONCATENATE("          ", "6321", " - ", "BUILDING DEPRECIATION")</f>
        <v xml:space="preserve">          6321 - BUILDING DEPRECIATION</v>
      </c>
      <c r="C56" s="11"/>
      <c r="D56" s="6">
        <v>23583.489999999998</v>
      </c>
      <c r="E56" s="2"/>
      <c r="F56" s="7">
        <f t="shared" si="31"/>
        <v>0.19599889000263535</v>
      </c>
      <c r="G56" s="2"/>
      <c r="H56" s="6">
        <v>24042.959999999999</v>
      </c>
      <c r="I56" s="2"/>
      <c r="J56" s="7">
        <f t="shared" si="32"/>
        <v>2.269750501487967E-2</v>
      </c>
      <c r="K56" s="2"/>
      <c r="L56" s="6">
        <f t="shared" si="33"/>
        <v>-459.47000000000116</v>
      </c>
      <c r="M56" s="2"/>
      <c r="N56" s="7">
        <f t="shared" si="34"/>
        <v>-1.9110375760721689E-2</v>
      </c>
      <c r="O56" s="11"/>
      <c r="P56" s="6">
        <v>165868.62</v>
      </c>
      <c r="Q56" s="2"/>
      <c r="R56" s="7">
        <f t="shared" si="35"/>
        <v>0.17440789750597574</v>
      </c>
      <c r="S56" s="2"/>
      <c r="T56" s="6">
        <v>168300.72</v>
      </c>
      <c r="U56" s="2"/>
      <c r="V56" s="7">
        <f t="shared" si="36"/>
        <v>1.642767793460255E-2</v>
      </c>
      <c r="W56" s="2"/>
      <c r="X56" s="6">
        <f t="shared" si="37"/>
        <v>-2432.1000000000058</v>
      </c>
      <c r="Y56" s="2"/>
      <c r="Z56" s="7">
        <f t="shared" si="38"/>
        <v>-1.4450918570045367E-2</v>
      </c>
    </row>
    <row r="57" spans="1:26" s="24" customFormat="1" hidden="1" outlineLevel="2" x14ac:dyDescent="0.25">
      <c r="A57" s="25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13895.77</v>
      </c>
      <c r="E57" s="2"/>
      <c r="F57" s="7">
        <f t="shared" si="31"/>
        <v>0.11548568493178578</v>
      </c>
      <c r="G57" s="2"/>
      <c r="H57" s="6">
        <v>16278.409999999998</v>
      </c>
      <c r="I57" s="2"/>
      <c r="J57" s="7">
        <f t="shared" si="32"/>
        <v>1.5367462767033149E-2</v>
      </c>
      <c r="K57" s="2"/>
      <c r="L57" s="6">
        <f t="shared" si="33"/>
        <v>-2382.6399999999976</v>
      </c>
      <c r="M57" s="2"/>
      <c r="N57" s="7">
        <f t="shared" si="34"/>
        <v>-0.14636810351870963</v>
      </c>
      <c r="O57" s="11"/>
      <c r="P57" s="6">
        <v>98781.28</v>
      </c>
      <c r="Q57" s="2"/>
      <c r="R57" s="7">
        <f t="shared" si="35"/>
        <v>0.10386675525333901</v>
      </c>
      <c r="S57" s="2"/>
      <c r="T57" s="6">
        <v>108076.01999999999</v>
      </c>
      <c r="U57" s="2"/>
      <c r="V57" s="7">
        <f t="shared" si="36"/>
        <v>1.0549200556085939E-2</v>
      </c>
      <c r="W57" s="2"/>
      <c r="X57" s="6">
        <f t="shared" si="37"/>
        <v>-9294.7399999999907</v>
      </c>
      <c r="Y57" s="2"/>
      <c r="Z57" s="7">
        <f t="shared" si="38"/>
        <v>-8.6001871645532385E-2</v>
      </c>
    </row>
    <row r="58" spans="1:26" s="24" customFormat="1" hidden="1" outlineLevel="2" x14ac:dyDescent="0.25">
      <c r="A58" s="25"/>
      <c r="B58" s="11" t="str">
        <f>CONCATENATE("          ", "6326", " - ", "VEHICLES DEPRECIATION EXPENSE")</f>
        <v xml:space="preserve">          6326 - VEHICLES DEPRECIATION EXPENSE</v>
      </c>
      <c r="C58" s="11"/>
      <c r="D58" s="6"/>
      <c r="E58" s="2"/>
      <c r="F58" s="7">
        <f t="shared" si="31"/>
        <v>0</v>
      </c>
      <c r="G58" s="2"/>
      <c r="H58" s="6">
        <v>424.25</v>
      </c>
      <c r="I58" s="2"/>
      <c r="J58" s="7">
        <f t="shared" si="32"/>
        <v>4.0050877689613509E-4</v>
      </c>
      <c r="K58" s="2"/>
      <c r="L58" s="6">
        <f t="shared" si="33"/>
        <v>-424.25</v>
      </c>
      <c r="M58" s="2"/>
      <c r="N58" s="7">
        <f t="shared" si="34"/>
        <v>-1</v>
      </c>
      <c r="O58" s="11"/>
      <c r="P58" s="6"/>
      <c r="Q58" s="2"/>
      <c r="R58" s="7">
        <f t="shared" si="35"/>
        <v>0</v>
      </c>
      <c r="S58" s="2"/>
      <c r="T58" s="6">
        <v>2969.75</v>
      </c>
      <c r="U58" s="2"/>
      <c r="V58" s="7">
        <f t="shared" si="36"/>
        <v>2.8987455636723318E-4</v>
      </c>
      <c r="W58" s="2"/>
      <c r="X58" s="6">
        <f t="shared" si="37"/>
        <v>-2969.75</v>
      </c>
      <c r="Y58" s="2"/>
      <c r="Z58" s="7">
        <f t="shared" si="38"/>
        <v>-1</v>
      </c>
    </row>
    <row r="59" spans="1:26" s="26" customFormat="1" outlineLevel="1" collapsed="1" x14ac:dyDescent="0.25">
      <c r="A59" s="27"/>
      <c r="B59" s="13" t="str">
        <f>CONCATENATE("     ","Discounts and Markdowns                           ")</f>
        <v xml:space="preserve">     Discounts and Markdowns                           </v>
      </c>
      <c r="C59" s="13"/>
      <c r="D59" s="1">
        <f>SUM(OSRRefD22_6x_0)</f>
        <v>0</v>
      </c>
      <c r="E59" s="1"/>
      <c r="F59" s="5">
        <f t="shared" ref="F59:F71" si="39">IF(D$12=0,0,D59/D$12)</f>
        <v>0</v>
      </c>
      <c r="G59" s="1"/>
      <c r="H59" s="1">
        <f>SUM(OSRRefH22_6x_0)</f>
        <v>0.09</v>
      </c>
      <c r="I59" s="1"/>
      <c r="J59" s="5">
        <f t="shared" ref="J59:J71" si="40">IF(H$12=0,0,H59/H$12)</f>
        <v>8.4963559035125881E-8</v>
      </c>
      <c r="K59" s="1"/>
      <c r="L59" s="1">
        <f t="shared" ref="L59:L71" si="41">+D59-H59</f>
        <v>-0.09</v>
      </c>
      <c r="M59" s="1"/>
      <c r="N59" s="5">
        <f t="shared" ref="N59:N71" si="42">IF(H59=0,0,L59/H59)</f>
        <v>-1</v>
      </c>
      <c r="O59" s="13"/>
      <c r="P59" s="1">
        <f>SUM(OSRRefP22_6x_0)</f>
        <v>0</v>
      </c>
      <c r="Q59" s="1"/>
      <c r="R59" s="5">
        <f t="shared" ref="R59:R71" si="43">IF(P$12=0,0,P59/P$12)</f>
        <v>0</v>
      </c>
      <c r="S59" s="1"/>
      <c r="T59" s="1">
        <f>SUM(OSRRefT22_6x_0)</f>
        <v>0.09</v>
      </c>
      <c r="U59" s="1"/>
      <c r="V59" s="5">
        <f t="shared" ref="V59:V71" si="44">IF(T$12=0,0,T59/T$12)</f>
        <v>8.7848169283781416E-9</v>
      </c>
      <c r="W59" s="1"/>
      <c r="X59" s="1">
        <f t="shared" ref="X59:X71" si="45">+P59-T59</f>
        <v>-0.09</v>
      </c>
      <c r="Y59" s="1"/>
      <c r="Z59" s="5">
        <f t="shared" ref="Z59:Z71" si="46">IF(T59=0,0,X59/T59)</f>
        <v>-1</v>
      </c>
    </row>
    <row r="60" spans="1:26" s="24" customFormat="1" hidden="1" outlineLevel="2" x14ac:dyDescent="0.25">
      <c r="A60" s="25"/>
      <c r="B60" s="11" t="str">
        <f>CONCATENATE("          ", "6382", " - ", "DISCOUNTS/MARK DOWNS")</f>
        <v xml:space="preserve">          6382 - DISCOUNTS/MARK DOWNS</v>
      </c>
      <c r="C60" s="11"/>
      <c r="D60" s="6"/>
      <c r="E60" s="2"/>
      <c r="F60" s="7">
        <f t="shared" si="39"/>
        <v>0</v>
      </c>
      <c r="G60" s="2"/>
      <c r="H60" s="6">
        <v>0.09</v>
      </c>
      <c r="I60" s="2"/>
      <c r="J60" s="7">
        <f t="shared" si="40"/>
        <v>8.4963559035125881E-8</v>
      </c>
      <c r="K60" s="2"/>
      <c r="L60" s="6">
        <f t="shared" si="41"/>
        <v>-0.09</v>
      </c>
      <c r="M60" s="2"/>
      <c r="N60" s="7">
        <f t="shared" si="42"/>
        <v>-1</v>
      </c>
      <c r="O60" s="11"/>
      <c r="P60" s="6"/>
      <c r="Q60" s="2"/>
      <c r="R60" s="7">
        <f t="shared" si="43"/>
        <v>0</v>
      </c>
      <c r="S60" s="2"/>
      <c r="T60" s="6">
        <v>0.09</v>
      </c>
      <c r="U60" s="2"/>
      <c r="V60" s="7">
        <f t="shared" si="44"/>
        <v>8.7848169283781416E-9</v>
      </c>
      <c r="W60" s="2"/>
      <c r="X60" s="6">
        <f t="shared" si="45"/>
        <v>-0.09</v>
      </c>
      <c r="Y60" s="2"/>
      <c r="Z60" s="7">
        <f t="shared" si="46"/>
        <v>-1</v>
      </c>
    </row>
    <row r="61" spans="1:26" s="26" customFormat="1" outlineLevel="1" collapsed="1" x14ac:dyDescent="0.25">
      <c r="A61" s="27"/>
      <c r="B61" s="13" t="str">
        <f>CONCATENATE("     ","Donations                                         ")</f>
        <v xml:space="preserve">     Donations                                         </v>
      </c>
      <c r="C61" s="13"/>
      <c r="D61" s="1">
        <f>SUM(OSRRefD22_7x_0)</f>
        <v>1459.14</v>
      </c>
      <c r="E61" s="1"/>
      <c r="F61" s="5">
        <f t="shared" si="39"/>
        <v>1.2126696276015356E-2</v>
      </c>
      <c r="G61" s="1"/>
      <c r="H61" s="1">
        <f>SUM(OSRRefH22_7x_0)</f>
        <v>9545.3799999999992</v>
      </c>
      <c r="I61" s="1"/>
      <c r="J61" s="5">
        <f t="shared" si="40"/>
        <v>9.0112161904745535E-3</v>
      </c>
      <c r="K61" s="1"/>
      <c r="L61" s="1">
        <f t="shared" si="41"/>
        <v>-8086.2399999999989</v>
      </c>
      <c r="M61" s="1"/>
      <c r="N61" s="5">
        <f t="shared" si="42"/>
        <v>-0.84713652049473143</v>
      </c>
      <c r="O61" s="13"/>
      <c r="P61" s="1">
        <f>SUM(OSRRefP22_7x_0)</f>
        <v>38281.15</v>
      </c>
      <c r="Q61" s="1"/>
      <c r="R61" s="5">
        <f t="shared" si="43"/>
        <v>4.0251946905996344E-2</v>
      </c>
      <c r="S61" s="1"/>
      <c r="T61" s="1">
        <f>SUM(OSRRefT22_7x_0)</f>
        <v>87155.89</v>
      </c>
      <c r="U61" s="1"/>
      <c r="V61" s="5">
        <f t="shared" si="44"/>
        <v>8.5072059764429234E-3</v>
      </c>
      <c r="W61" s="1"/>
      <c r="X61" s="1">
        <f t="shared" si="45"/>
        <v>-48874.74</v>
      </c>
      <c r="Y61" s="1"/>
      <c r="Z61" s="5">
        <f t="shared" si="46"/>
        <v>-0.56077380427186274</v>
      </c>
    </row>
    <row r="62" spans="1:26" s="24" customFormat="1" hidden="1" outlineLevel="2" x14ac:dyDescent="0.25">
      <c r="A62" s="25"/>
      <c r="B62" s="11" t="str">
        <f>CONCATENATE("          ", "6399", " - ", "DONATION-ON CAMPUS")</f>
        <v xml:space="preserve">          6399 - DONATION-ON CAMPUS</v>
      </c>
      <c r="C62" s="11"/>
      <c r="D62" s="6">
        <v>1459.14</v>
      </c>
      <c r="E62" s="2"/>
      <c r="F62" s="7">
        <f t="shared" si="39"/>
        <v>1.2126696276015356E-2</v>
      </c>
      <c r="G62" s="2"/>
      <c r="H62" s="6">
        <v>9545.3799999999992</v>
      </c>
      <c r="I62" s="2"/>
      <c r="J62" s="7">
        <f t="shared" si="40"/>
        <v>9.0112161904745535E-3</v>
      </c>
      <c r="K62" s="2"/>
      <c r="L62" s="6">
        <f t="shared" si="41"/>
        <v>-8086.2399999999989</v>
      </c>
      <c r="M62" s="2"/>
      <c r="N62" s="7">
        <f t="shared" si="42"/>
        <v>-0.84713652049473143</v>
      </c>
      <c r="O62" s="11"/>
      <c r="P62" s="6">
        <v>38281.15</v>
      </c>
      <c r="Q62" s="2"/>
      <c r="R62" s="7">
        <f t="shared" si="43"/>
        <v>4.0251946905996344E-2</v>
      </c>
      <c r="S62" s="2"/>
      <c r="T62" s="6">
        <v>87155.89</v>
      </c>
      <c r="U62" s="2"/>
      <c r="V62" s="7">
        <f t="shared" si="44"/>
        <v>8.5072059764429234E-3</v>
      </c>
      <c r="W62" s="2"/>
      <c r="X62" s="6">
        <f t="shared" si="45"/>
        <v>-48874.74</v>
      </c>
      <c r="Y62" s="2"/>
      <c r="Z62" s="7">
        <f t="shared" si="46"/>
        <v>-0.56077380427186274</v>
      </c>
    </row>
    <row r="63" spans="1:26" s="26" customFormat="1" outlineLevel="1" collapsed="1" x14ac:dyDescent="0.25">
      <c r="A63" s="27"/>
      <c r="B63" s="13" t="str">
        <f>CONCATENATE("     ","Employees' Appreciation                           ")</f>
        <v xml:space="preserve">     Employees' Appreciation                           </v>
      </c>
      <c r="C63" s="13"/>
      <c r="D63" s="1">
        <f>SUM(OSRRefD22_8x_0)</f>
        <v>0</v>
      </c>
      <c r="E63" s="1"/>
      <c r="F63" s="5">
        <f t="shared" si="39"/>
        <v>0</v>
      </c>
      <c r="G63" s="1"/>
      <c r="H63" s="1">
        <f>SUM(OSRRefH22_8x_0)</f>
        <v>777.53</v>
      </c>
      <c r="I63" s="1"/>
      <c r="J63" s="5">
        <f t="shared" si="40"/>
        <v>7.3401906729534923E-4</v>
      </c>
      <c r="K63" s="1"/>
      <c r="L63" s="1">
        <f t="shared" si="41"/>
        <v>-777.53</v>
      </c>
      <c r="M63" s="1"/>
      <c r="N63" s="5">
        <f t="shared" si="42"/>
        <v>-1</v>
      </c>
      <c r="O63" s="13"/>
      <c r="P63" s="1">
        <f>SUM(OSRRefP22_8x_0)</f>
        <v>10</v>
      </c>
      <c r="Q63" s="1"/>
      <c r="R63" s="5">
        <f t="shared" si="43"/>
        <v>1.0514821761100788E-5</v>
      </c>
      <c r="S63" s="1"/>
      <c r="T63" s="1">
        <f>SUM(OSRRefT22_8x_0)</f>
        <v>3171.08</v>
      </c>
      <c r="U63" s="1"/>
      <c r="V63" s="5">
        <f t="shared" si="44"/>
        <v>3.0952619183601508E-4</v>
      </c>
      <c r="W63" s="1"/>
      <c r="X63" s="1">
        <f t="shared" si="45"/>
        <v>-3161.08</v>
      </c>
      <c r="Y63" s="1"/>
      <c r="Z63" s="5">
        <f t="shared" si="46"/>
        <v>-0.99684650024597299</v>
      </c>
    </row>
    <row r="64" spans="1:26" s="24" customFormat="1" hidden="1" outlineLevel="2" x14ac:dyDescent="0.25">
      <c r="A64" s="25"/>
      <c r="B64" s="11" t="str">
        <f>CONCATENATE("          ", "6277", " - ", "EMPLOYEE APPRECIATION")</f>
        <v xml:space="preserve">          6277 - EMPLOYEE APPRECIATION</v>
      </c>
      <c r="C64" s="11"/>
      <c r="D64" s="6"/>
      <c r="E64" s="2"/>
      <c r="F64" s="7">
        <f t="shared" si="39"/>
        <v>0</v>
      </c>
      <c r="G64" s="2"/>
      <c r="H64" s="6">
        <v>777.53</v>
      </c>
      <c r="I64" s="2"/>
      <c r="J64" s="7">
        <f t="shared" si="40"/>
        <v>7.3401906729534923E-4</v>
      </c>
      <c r="K64" s="2"/>
      <c r="L64" s="6">
        <f t="shared" si="41"/>
        <v>-777.53</v>
      </c>
      <c r="M64" s="2"/>
      <c r="N64" s="7">
        <f t="shared" si="42"/>
        <v>-1</v>
      </c>
      <c r="O64" s="11"/>
      <c r="P64" s="6">
        <v>10</v>
      </c>
      <c r="Q64" s="2"/>
      <c r="R64" s="7">
        <f t="shared" si="43"/>
        <v>1.0514821761100788E-5</v>
      </c>
      <c r="S64" s="2"/>
      <c r="T64" s="6">
        <v>3171.08</v>
      </c>
      <c r="U64" s="2"/>
      <c r="V64" s="7">
        <f t="shared" si="44"/>
        <v>3.0952619183601508E-4</v>
      </c>
      <c r="W64" s="2"/>
      <c r="X64" s="6">
        <f t="shared" si="45"/>
        <v>-3161.08</v>
      </c>
      <c r="Y64" s="2"/>
      <c r="Z64" s="7">
        <f t="shared" si="46"/>
        <v>-0.99684650024597299</v>
      </c>
    </row>
    <row r="65" spans="1:26" s="26" customFormat="1" outlineLevel="1" collapsed="1" x14ac:dyDescent="0.25">
      <c r="A65" s="27"/>
      <c r="B65" s="13" t="str">
        <f>CONCATENATE("     ","Equipment Rental                                  ")</f>
        <v xml:space="preserve">     Equipment Rental                                  </v>
      </c>
      <c r="C65" s="13"/>
      <c r="D65" s="1">
        <f>SUM(OSRRefD22_9x_0)</f>
        <v>444.75</v>
      </c>
      <c r="E65" s="1"/>
      <c r="F65" s="5">
        <f t="shared" si="39"/>
        <v>3.6962513321256558E-3</v>
      </c>
      <c r="G65" s="1"/>
      <c r="H65" s="1">
        <f>SUM(OSRRefH22_9x_0)</f>
        <v>5791.56</v>
      </c>
      <c r="I65" s="1"/>
      <c r="J65" s="5">
        <f t="shared" si="40"/>
        <v>5.4674616662830416E-3</v>
      </c>
      <c r="K65" s="1"/>
      <c r="L65" s="1">
        <f t="shared" si="41"/>
        <v>-5346.81</v>
      </c>
      <c r="M65" s="1"/>
      <c r="N65" s="5">
        <f t="shared" si="42"/>
        <v>-0.92320721878043221</v>
      </c>
      <c r="O65" s="13"/>
      <c r="P65" s="1">
        <f>SUM(OSRRefP22_9x_0)</f>
        <v>7745.9</v>
      </c>
      <c r="Q65" s="1"/>
      <c r="R65" s="5">
        <f t="shared" si="43"/>
        <v>8.1446757879310595E-3</v>
      </c>
      <c r="S65" s="1"/>
      <c r="T65" s="1">
        <f>SUM(OSRRefT22_9x_0)</f>
        <v>23457.190000000002</v>
      </c>
      <c r="U65" s="1"/>
      <c r="V65" s="5">
        <f t="shared" si="44"/>
        <v>2.2896346644909163E-3</v>
      </c>
      <c r="W65" s="1"/>
      <c r="X65" s="1">
        <f t="shared" si="45"/>
        <v>-15711.290000000003</v>
      </c>
      <c r="Y65" s="1"/>
      <c r="Z65" s="5">
        <f t="shared" si="46"/>
        <v>-0.66978568191671728</v>
      </c>
    </row>
    <row r="66" spans="1:26" s="24" customFormat="1" hidden="1" outlineLevel="2" x14ac:dyDescent="0.25">
      <c r="A66" s="25"/>
      <c r="B66" s="11" t="str">
        <f>CONCATENATE("          ", "6351", " - ", "EQUIPMENT RENTAL")</f>
        <v xml:space="preserve">          6351 - EQUIPMENT RENTAL</v>
      </c>
      <c r="C66" s="11"/>
      <c r="D66" s="6">
        <v>444.75</v>
      </c>
      <c r="E66" s="2"/>
      <c r="F66" s="7">
        <f t="shared" si="39"/>
        <v>3.6962513321256558E-3</v>
      </c>
      <c r="G66" s="2"/>
      <c r="H66" s="6">
        <v>5791.56</v>
      </c>
      <c r="I66" s="2"/>
      <c r="J66" s="7">
        <f t="shared" si="40"/>
        <v>5.4674616662830416E-3</v>
      </c>
      <c r="K66" s="2"/>
      <c r="L66" s="6">
        <f t="shared" si="41"/>
        <v>-5346.81</v>
      </c>
      <c r="M66" s="2"/>
      <c r="N66" s="7">
        <f t="shared" si="42"/>
        <v>-0.92320721878043221</v>
      </c>
      <c r="O66" s="11"/>
      <c r="P66" s="6">
        <v>7745.9</v>
      </c>
      <c r="Q66" s="2"/>
      <c r="R66" s="7">
        <f t="shared" si="43"/>
        <v>8.1446757879310595E-3</v>
      </c>
      <c r="S66" s="2"/>
      <c r="T66" s="6">
        <v>23457.190000000002</v>
      </c>
      <c r="U66" s="2"/>
      <c r="V66" s="7">
        <f t="shared" si="44"/>
        <v>2.2896346644909163E-3</v>
      </c>
      <c r="W66" s="2"/>
      <c r="X66" s="6">
        <f t="shared" si="45"/>
        <v>-15711.290000000003</v>
      </c>
      <c r="Y66" s="2"/>
      <c r="Z66" s="7">
        <f t="shared" si="46"/>
        <v>-0.66978568191671728</v>
      </c>
    </row>
    <row r="67" spans="1:26" s="26" customFormat="1" outlineLevel="1" collapsed="1" x14ac:dyDescent="0.25">
      <c r="A67" s="27"/>
      <c r="B67" s="13" t="str">
        <f>CONCATENATE("     ","Freight out/Postage                               ")</f>
        <v xml:space="preserve">     Freight out/Postage                               </v>
      </c>
      <c r="C67" s="13"/>
      <c r="D67" s="1">
        <f>SUM(OSRRefD22_10x_0)</f>
        <v>0</v>
      </c>
      <c r="E67" s="1"/>
      <c r="F67" s="5">
        <f t="shared" si="39"/>
        <v>0</v>
      </c>
      <c r="G67" s="1"/>
      <c r="H67" s="1">
        <f>SUM(OSRRefH22_10x_0)</f>
        <v>0</v>
      </c>
      <c r="I67" s="1"/>
      <c r="J67" s="5">
        <f t="shared" si="40"/>
        <v>0</v>
      </c>
      <c r="K67" s="1"/>
      <c r="L67" s="1">
        <f t="shared" si="41"/>
        <v>0</v>
      </c>
      <c r="M67" s="1"/>
      <c r="N67" s="5">
        <f t="shared" si="42"/>
        <v>0</v>
      </c>
      <c r="O67" s="13"/>
      <c r="P67" s="1">
        <f>SUM(OSRRefP22_10x_0)</f>
        <v>-5.41</v>
      </c>
      <c r="Q67" s="1"/>
      <c r="R67" s="5">
        <f t="shared" si="43"/>
        <v>-5.6885185727555261E-6</v>
      </c>
      <c r="S67" s="1"/>
      <c r="T67" s="1">
        <f>SUM(OSRRefT22_10x_0)</f>
        <v>0</v>
      </c>
      <c r="U67" s="1"/>
      <c r="V67" s="5">
        <f t="shared" si="44"/>
        <v>0</v>
      </c>
      <c r="W67" s="1"/>
      <c r="X67" s="1">
        <f t="shared" si="45"/>
        <v>-5.41</v>
      </c>
      <c r="Y67" s="1"/>
      <c r="Z67" s="5">
        <f t="shared" si="46"/>
        <v>0</v>
      </c>
    </row>
    <row r="68" spans="1:26" s="24" customFormat="1" hidden="1" outlineLevel="2" x14ac:dyDescent="0.25">
      <c r="A68" s="25"/>
      <c r="B68" s="11" t="str">
        <f>CONCATENATE("          ", "6307", " - ", "POSTAGE")</f>
        <v xml:space="preserve">          6307 - POSTAGE</v>
      </c>
      <c r="C68" s="11"/>
      <c r="D68" s="6"/>
      <c r="E68" s="2"/>
      <c r="F68" s="7">
        <f t="shared" si="39"/>
        <v>0</v>
      </c>
      <c r="G68" s="2"/>
      <c r="H68" s="6"/>
      <c r="I68" s="2"/>
      <c r="J68" s="7">
        <f t="shared" si="40"/>
        <v>0</v>
      </c>
      <c r="K68" s="2"/>
      <c r="L68" s="6">
        <f t="shared" si="41"/>
        <v>0</v>
      </c>
      <c r="M68" s="2"/>
      <c r="N68" s="7">
        <f t="shared" si="42"/>
        <v>0</v>
      </c>
      <c r="O68" s="11"/>
      <c r="P68" s="6">
        <v>-5.41</v>
      </c>
      <c r="Q68" s="2"/>
      <c r="R68" s="7">
        <f t="shared" si="43"/>
        <v>-5.6885185727555261E-6</v>
      </c>
      <c r="S68" s="2"/>
      <c r="T68" s="6"/>
      <c r="U68" s="2"/>
      <c r="V68" s="7">
        <f t="shared" si="44"/>
        <v>0</v>
      </c>
      <c r="W68" s="2"/>
      <c r="X68" s="6">
        <f t="shared" si="45"/>
        <v>-5.41</v>
      </c>
      <c r="Y68" s="2"/>
      <c r="Z68" s="7">
        <f t="shared" si="46"/>
        <v>0</v>
      </c>
    </row>
    <row r="69" spans="1:26" s="26" customFormat="1" outlineLevel="1" collapsed="1" x14ac:dyDescent="0.25">
      <c r="A69" s="27"/>
      <c r="B69" s="13" t="str">
        <f>CONCATENATE("     ","General                                           ")</f>
        <v xml:space="preserve">     General                                           </v>
      </c>
      <c r="C69" s="13"/>
      <c r="D69" s="1">
        <f>SUM(OSRRefD22_11x_0)</f>
        <v>397</v>
      </c>
      <c r="E69" s="1"/>
      <c r="F69" s="5">
        <f t="shared" si="39"/>
        <v>3.2994081593117151E-3</v>
      </c>
      <c r="G69" s="1"/>
      <c r="H69" s="1">
        <f>SUM(OSRRefH22_11x_0)</f>
        <v>10376.799999999999</v>
      </c>
      <c r="I69" s="1"/>
      <c r="J69" s="5">
        <f t="shared" si="40"/>
        <v>9.7961095488410463E-3</v>
      </c>
      <c r="K69" s="1"/>
      <c r="L69" s="1">
        <f t="shared" si="41"/>
        <v>-9979.7999999999993</v>
      </c>
      <c r="M69" s="1"/>
      <c r="N69" s="5">
        <f t="shared" si="42"/>
        <v>-0.96174157736489085</v>
      </c>
      <c r="O69" s="13"/>
      <c r="P69" s="1">
        <f>SUM(OSRRefP22_11x_0)</f>
        <v>12235.88</v>
      </c>
      <c r="Q69" s="1"/>
      <c r="R69" s="5">
        <f t="shared" si="43"/>
        <v>1.286580972902179E-2</v>
      </c>
      <c r="S69" s="1"/>
      <c r="T69" s="1">
        <f>SUM(OSRRefT22_11x_0)</f>
        <v>83358.12000000001</v>
      </c>
      <c r="U69" s="1"/>
      <c r="V69" s="5">
        <f t="shared" si="44"/>
        <v>8.1365091521530732E-3</v>
      </c>
      <c r="W69" s="1"/>
      <c r="X69" s="1">
        <f t="shared" si="45"/>
        <v>-71122.240000000005</v>
      </c>
      <c r="Y69" s="1"/>
      <c r="Z69" s="5">
        <f t="shared" si="46"/>
        <v>-0.85321310029544806</v>
      </c>
    </row>
    <row r="70" spans="1:26" s="24" customFormat="1" hidden="1" outlineLevel="2" x14ac:dyDescent="0.25">
      <c r="A70" s="25"/>
      <c r="B70" s="11" t="str">
        <f>CONCATENATE("          ", "6269", " - ", "ENTERTAINMENT")</f>
        <v xml:space="preserve">          6269 - ENTERTAINMENT</v>
      </c>
      <c r="C70" s="11"/>
      <c r="D70" s="6"/>
      <c r="E70" s="2"/>
      <c r="F70" s="7">
        <f t="shared" si="39"/>
        <v>0</v>
      </c>
      <c r="G70" s="2"/>
      <c r="H70" s="6"/>
      <c r="I70" s="2"/>
      <c r="J70" s="7">
        <f t="shared" si="40"/>
        <v>0</v>
      </c>
      <c r="K70" s="2"/>
      <c r="L70" s="6">
        <f t="shared" si="41"/>
        <v>0</v>
      </c>
      <c r="M70" s="2"/>
      <c r="N70" s="7">
        <f t="shared" si="42"/>
        <v>0</v>
      </c>
      <c r="O70" s="11"/>
      <c r="P70" s="6"/>
      <c r="Q70" s="2"/>
      <c r="R70" s="7">
        <f t="shared" si="43"/>
        <v>0</v>
      </c>
      <c r="S70" s="2"/>
      <c r="T70" s="6">
        <v>7350</v>
      </c>
      <c r="U70" s="2"/>
      <c r="V70" s="7">
        <f t="shared" si="44"/>
        <v>7.1742671581754821E-4</v>
      </c>
      <c r="W70" s="2"/>
      <c r="X70" s="6">
        <f t="shared" si="45"/>
        <v>-7350</v>
      </c>
      <c r="Y70" s="2"/>
      <c r="Z70" s="7">
        <f t="shared" si="46"/>
        <v>-1</v>
      </c>
    </row>
    <row r="71" spans="1:26" s="24" customFormat="1" hidden="1" outlineLevel="2" x14ac:dyDescent="0.25">
      <c r="A71" s="25"/>
      <c r="B71" s="11" t="str">
        <f>CONCATENATE("          ", "6279", " - ", "GENERAL EXPENSE")</f>
        <v xml:space="preserve">          6279 - GENERAL EXPENSE</v>
      </c>
      <c r="C71" s="11"/>
      <c r="D71" s="6">
        <v>397</v>
      </c>
      <c r="E71" s="2"/>
      <c r="F71" s="7">
        <f t="shared" si="39"/>
        <v>3.2994081593117151E-3</v>
      </c>
      <c r="G71" s="2"/>
      <c r="H71" s="6">
        <v>10376.799999999999</v>
      </c>
      <c r="I71" s="2"/>
      <c r="J71" s="7">
        <f t="shared" si="40"/>
        <v>9.7961095488410463E-3</v>
      </c>
      <c r="K71" s="2"/>
      <c r="L71" s="6">
        <f t="shared" si="41"/>
        <v>-9979.7999999999993</v>
      </c>
      <c r="M71" s="2"/>
      <c r="N71" s="7">
        <f t="shared" si="42"/>
        <v>-0.96174157736489085</v>
      </c>
      <c r="O71" s="11"/>
      <c r="P71" s="6">
        <v>12235.88</v>
      </c>
      <c r="Q71" s="2"/>
      <c r="R71" s="7">
        <f t="shared" si="43"/>
        <v>1.286580972902179E-2</v>
      </c>
      <c r="S71" s="2"/>
      <c r="T71" s="6">
        <v>76008.12000000001</v>
      </c>
      <c r="U71" s="2"/>
      <c r="V71" s="7">
        <f t="shared" si="44"/>
        <v>7.4190824363355255E-3</v>
      </c>
      <c r="W71" s="2"/>
      <c r="X71" s="6">
        <f t="shared" si="45"/>
        <v>-63772.240000000013</v>
      </c>
      <c r="Y71" s="2"/>
      <c r="Z71" s="7">
        <f t="shared" si="46"/>
        <v>-0.83901877851997919</v>
      </c>
    </row>
    <row r="72" spans="1:26" s="26" customFormat="1" outlineLevel="1" collapsed="1" x14ac:dyDescent="0.25">
      <c r="A72" s="27"/>
      <c r="B72" s="13" t="str">
        <f>CONCATENATE("     ","Insurance                                         ")</f>
        <v xml:space="preserve">     Insurance                                         </v>
      </c>
      <c r="C72" s="13"/>
      <c r="D72" s="1">
        <f>SUM(OSRRefD22_12x_0)</f>
        <v>4246.03</v>
      </c>
      <c r="E72" s="1"/>
      <c r="F72" s="5">
        <f t="shared" ref="F72:F86" si="47">IF(D$12=0,0,D72/D$12)</f>
        <v>3.5288126011794263E-2</v>
      </c>
      <c r="G72" s="1"/>
      <c r="H72" s="1">
        <f>SUM(OSRRefH22_12x_0)</f>
        <v>4246.03</v>
      </c>
      <c r="I72" s="1"/>
      <c r="J72" s="5">
        <f t="shared" ref="J72:J86" si="48">IF(H$12=0,0,H72/H$12)</f>
        <v>4.0084202285546175E-3</v>
      </c>
      <c r="K72" s="1"/>
      <c r="L72" s="1">
        <f t="shared" ref="L72:L86" si="49">+D72-H72</f>
        <v>0</v>
      </c>
      <c r="M72" s="1"/>
      <c r="N72" s="5">
        <f t="shared" ref="N72:N86" si="50">IF(H72=0,0,L72/H72)</f>
        <v>0</v>
      </c>
      <c r="O72" s="13"/>
      <c r="P72" s="1">
        <f>SUM(OSRRefP22_12x_0)</f>
        <v>35834.21</v>
      </c>
      <c r="Q72" s="1"/>
      <c r="R72" s="5">
        <f t="shared" ref="R72:R86" si="51">IF(P$12=0,0,P72/P$12)</f>
        <v>3.7679033109985549E-2</v>
      </c>
      <c r="S72" s="1"/>
      <c r="T72" s="1">
        <f>SUM(OSRRefT22_12x_0)</f>
        <v>29722.21</v>
      </c>
      <c r="U72" s="1"/>
      <c r="V72" s="5">
        <f t="shared" ref="V72:V86" si="52">IF(T$12=0,0,T72/T$12)</f>
        <v>2.9011574839645565E-3</v>
      </c>
      <c r="W72" s="1"/>
      <c r="X72" s="1">
        <f t="shared" ref="X72:X86" si="53">+P72-T72</f>
        <v>6112</v>
      </c>
      <c r="Y72" s="1"/>
      <c r="Z72" s="5">
        <f t="shared" ref="Z72:Z86" si="54">IF(T72=0,0,X72/T72)</f>
        <v>0.20563746773877178</v>
      </c>
    </row>
    <row r="73" spans="1:26" s="24" customFormat="1" hidden="1" outlineLevel="2" x14ac:dyDescent="0.25">
      <c r="A73" s="25"/>
      <c r="B73" s="11" t="str">
        <f>CONCATENATE("          ", "6314", " - ", "LIABILITY INSURANCE")</f>
        <v xml:space="preserve">          6314 - LIABILITY INSURANCE</v>
      </c>
      <c r="C73" s="11"/>
      <c r="D73" s="6">
        <v>4246.03</v>
      </c>
      <c r="E73" s="2"/>
      <c r="F73" s="7">
        <f t="shared" si="47"/>
        <v>3.5288126011794263E-2</v>
      </c>
      <c r="G73" s="2"/>
      <c r="H73" s="6">
        <v>4246.03</v>
      </c>
      <c r="I73" s="2"/>
      <c r="J73" s="7">
        <f t="shared" si="48"/>
        <v>4.0084202285546175E-3</v>
      </c>
      <c r="K73" s="2"/>
      <c r="L73" s="6">
        <f t="shared" si="49"/>
        <v>0</v>
      </c>
      <c r="M73" s="2"/>
      <c r="N73" s="7">
        <f t="shared" si="50"/>
        <v>0</v>
      </c>
      <c r="O73" s="11"/>
      <c r="P73" s="6">
        <v>35834.21</v>
      </c>
      <c r="Q73" s="2"/>
      <c r="R73" s="7">
        <f t="shared" si="51"/>
        <v>3.7679033109985549E-2</v>
      </c>
      <c r="S73" s="2"/>
      <c r="T73" s="6">
        <v>29722.21</v>
      </c>
      <c r="U73" s="2"/>
      <c r="V73" s="7">
        <f t="shared" si="52"/>
        <v>2.9011574839645565E-3</v>
      </c>
      <c r="W73" s="2"/>
      <c r="X73" s="6">
        <f t="shared" si="53"/>
        <v>6112</v>
      </c>
      <c r="Y73" s="2"/>
      <c r="Z73" s="7">
        <f t="shared" si="54"/>
        <v>0.20563746773877178</v>
      </c>
    </row>
    <row r="74" spans="1:26" s="26" customFormat="1" outlineLevel="1" collapsed="1" x14ac:dyDescent="0.25">
      <c r="A74" s="27"/>
      <c r="B74" s="13" t="str">
        <f>CONCATENATE("     ","Interest                                          ")</f>
        <v xml:space="preserve">     Interest                                          </v>
      </c>
      <c r="C74" s="13"/>
      <c r="D74" s="1">
        <f>SUM(OSRRefD22_13x_0)</f>
        <v>7510</v>
      </c>
      <c r="E74" s="1"/>
      <c r="F74" s="5">
        <f t="shared" si="47"/>
        <v>6.2414496917962171E-2</v>
      </c>
      <c r="G74" s="1"/>
      <c r="H74" s="1">
        <f>SUM(OSRRefH22_13x_0)</f>
        <v>7754</v>
      </c>
      <c r="I74" s="1"/>
      <c r="J74" s="5">
        <f t="shared" si="48"/>
        <v>7.3200826306485129E-3</v>
      </c>
      <c r="K74" s="1"/>
      <c r="L74" s="1">
        <f t="shared" si="49"/>
        <v>-244</v>
      </c>
      <c r="M74" s="1"/>
      <c r="N74" s="5">
        <f t="shared" si="50"/>
        <v>-3.1467629610523601E-2</v>
      </c>
      <c r="O74" s="13"/>
      <c r="P74" s="1">
        <f>SUM(OSRRefP22_13x_0)</f>
        <v>52083.15</v>
      </c>
      <c r="Q74" s="1"/>
      <c r="R74" s="5">
        <f t="shared" si="51"/>
        <v>5.4764503900667651E-2</v>
      </c>
      <c r="S74" s="1"/>
      <c r="T74" s="1">
        <f>SUM(OSRRefT22_13x_0)</f>
        <v>53885.049999999996</v>
      </c>
      <c r="U74" s="1"/>
      <c r="V74" s="5">
        <f t="shared" si="52"/>
        <v>5.2596699936278057E-3</v>
      </c>
      <c r="W74" s="1"/>
      <c r="X74" s="1">
        <f t="shared" si="53"/>
        <v>-1801.8999999999942</v>
      </c>
      <c r="Y74" s="1"/>
      <c r="Z74" s="5">
        <f t="shared" si="54"/>
        <v>-3.3439701735453423E-2</v>
      </c>
    </row>
    <row r="75" spans="1:26" s="24" customFormat="1" hidden="1" outlineLevel="2" x14ac:dyDescent="0.25">
      <c r="A75" s="25"/>
      <c r="B75" s="11" t="str">
        <f>CONCATENATE("          ", "6401", " - ", "INTEREST EXPENSE")</f>
        <v xml:space="preserve">          6401 - INTEREST EXPENSE</v>
      </c>
      <c r="C75" s="11"/>
      <c r="D75" s="6">
        <v>7510</v>
      </c>
      <c r="E75" s="2"/>
      <c r="F75" s="7">
        <f t="shared" si="47"/>
        <v>6.2414496917962171E-2</v>
      </c>
      <c r="G75" s="2"/>
      <c r="H75" s="6">
        <v>7754</v>
      </c>
      <c r="I75" s="2"/>
      <c r="J75" s="7">
        <f t="shared" si="48"/>
        <v>7.3200826306485129E-3</v>
      </c>
      <c r="K75" s="2"/>
      <c r="L75" s="6">
        <f t="shared" si="49"/>
        <v>-244</v>
      </c>
      <c r="M75" s="2"/>
      <c r="N75" s="7">
        <f t="shared" si="50"/>
        <v>-3.1467629610523601E-2</v>
      </c>
      <c r="O75" s="11"/>
      <c r="P75" s="6">
        <v>52083.15</v>
      </c>
      <c r="Q75" s="2"/>
      <c r="R75" s="7">
        <f t="shared" si="51"/>
        <v>5.4764503900667651E-2</v>
      </c>
      <c r="S75" s="2"/>
      <c r="T75" s="6">
        <v>53885.049999999996</v>
      </c>
      <c r="U75" s="2"/>
      <c r="V75" s="7">
        <f t="shared" si="52"/>
        <v>5.2596699936278057E-3</v>
      </c>
      <c r="W75" s="2"/>
      <c r="X75" s="6">
        <f t="shared" si="53"/>
        <v>-1801.8999999999942</v>
      </c>
      <c r="Y75" s="2"/>
      <c r="Z75" s="7">
        <f t="shared" si="54"/>
        <v>-3.3439701735453423E-2</v>
      </c>
    </row>
    <row r="76" spans="1:26" s="26" customFormat="1" outlineLevel="1" collapsed="1" x14ac:dyDescent="0.25">
      <c r="A76" s="27"/>
      <c r="B76" s="13" t="str">
        <f>CONCATENATE("     ","Professional Services                             ")</f>
        <v xml:space="preserve">     Professional Services                             </v>
      </c>
      <c r="C76" s="13"/>
      <c r="D76" s="1">
        <f>SUM(OSRRefD22_14x_0)</f>
        <v>0</v>
      </c>
      <c r="E76" s="1"/>
      <c r="F76" s="5">
        <f t="shared" si="47"/>
        <v>0</v>
      </c>
      <c r="G76" s="1"/>
      <c r="H76" s="1">
        <f>SUM(OSRRefH22_14x_0)</f>
        <v>0</v>
      </c>
      <c r="I76" s="1"/>
      <c r="J76" s="5">
        <f t="shared" si="48"/>
        <v>0</v>
      </c>
      <c r="K76" s="1"/>
      <c r="L76" s="1">
        <f t="shared" si="49"/>
        <v>0</v>
      </c>
      <c r="M76" s="1"/>
      <c r="N76" s="5">
        <f t="shared" si="50"/>
        <v>0</v>
      </c>
      <c r="O76" s="13"/>
      <c r="P76" s="1">
        <f>SUM(OSRRefP22_14x_0)</f>
        <v>0</v>
      </c>
      <c r="Q76" s="1"/>
      <c r="R76" s="5">
        <f t="shared" si="51"/>
        <v>0</v>
      </c>
      <c r="S76" s="1"/>
      <c r="T76" s="1">
        <f>SUM(OSRRefT22_14x_0)</f>
        <v>125</v>
      </c>
      <c r="U76" s="1"/>
      <c r="V76" s="5">
        <f t="shared" si="52"/>
        <v>1.2201134622747419E-5</v>
      </c>
      <c r="W76" s="1"/>
      <c r="X76" s="1">
        <f t="shared" si="53"/>
        <v>-125</v>
      </c>
      <c r="Y76" s="1"/>
      <c r="Z76" s="5">
        <f t="shared" si="54"/>
        <v>-1</v>
      </c>
    </row>
    <row r="77" spans="1:26" s="24" customFormat="1" hidden="1" outlineLevel="2" x14ac:dyDescent="0.25">
      <c r="A77" s="25"/>
      <c r="B77" s="11" t="str">
        <f>CONCATENATE("          ", "6336", " - ", "PROFESSIONAL SERVICES")</f>
        <v xml:space="preserve">          6336 - PROFESSIONAL SERVICES</v>
      </c>
      <c r="C77" s="11"/>
      <c r="D77" s="6"/>
      <c r="E77" s="2"/>
      <c r="F77" s="7">
        <f t="shared" si="47"/>
        <v>0</v>
      </c>
      <c r="G77" s="2"/>
      <c r="H77" s="6"/>
      <c r="I77" s="2"/>
      <c r="J77" s="7">
        <f t="shared" si="48"/>
        <v>0</v>
      </c>
      <c r="K77" s="2"/>
      <c r="L77" s="6">
        <f t="shared" si="49"/>
        <v>0</v>
      </c>
      <c r="M77" s="2"/>
      <c r="N77" s="7">
        <f t="shared" si="50"/>
        <v>0</v>
      </c>
      <c r="O77" s="11"/>
      <c r="P77" s="6"/>
      <c r="Q77" s="2"/>
      <c r="R77" s="7">
        <f t="shared" si="51"/>
        <v>0</v>
      </c>
      <c r="S77" s="2"/>
      <c r="T77" s="6">
        <v>125</v>
      </c>
      <c r="U77" s="2"/>
      <c r="V77" s="7">
        <f t="shared" si="52"/>
        <v>1.2201134622747419E-5</v>
      </c>
      <c r="W77" s="2"/>
      <c r="X77" s="6">
        <f t="shared" si="53"/>
        <v>-125</v>
      </c>
      <c r="Y77" s="2"/>
      <c r="Z77" s="7">
        <f t="shared" si="54"/>
        <v>-1</v>
      </c>
    </row>
    <row r="78" spans="1:26" s="26" customFormat="1" outlineLevel="1" collapsed="1" x14ac:dyDescent="0.25">
      <c r="A78" s="27"/>
      <c r="B78" s="13" t="str">
        <f>CONCATENATE("     ","R/H Commissions                                   ")</f>
        <v xml:space="preserve">     R/H Commissions                                   </v>
      </c>
      <c r="C78" s="13"/>
      <c r="D78" s="1">
        <f>SUM(OSRRefD22_15x_0)</f>
        <v>-29103.129999999997</v>
      </c>
      <c r="E78" s="1"/>
      <c r="F78" s="5">
        <f t="shared" si="47"/>
        <v>-0.24187179995846234</v>
      </c>
      <c r="G78" s="1"/>
      <c r="H78" s="1">
        <f>SUM(OSRRefH22_15x_0)</f>
        <v>52199.14</v>
      </c>
      <c r="I78" s="1"/>
      <c r="J78" s="5">
        <f t="shared" si="48"/>
        <v>4.9278052366364455E-2</v>
      </c>
      <c r="K78" s="1"/>
      <c r="L78" s="1">
        <f t="shared" si="49"/>
        <v>-81302.26999999999</v>
      </c>
      <c r="M78" s="1"/>
      <c r="N78" s="5">
        <f t="shared" si="50"/>
        <v>-1.5575404115853249</v>
      </c>
      <c r="O78" s="13"/>
      <c r="P78" s="1">
        <f>SUM(OSRRefP22_15x_0)</f>
        <v>45913.36</v>
      </c>
      <c r="Q78" s="1"/>
      <c r="R78" s="5">
        <f t="shared" si="51"/>
        <v>4.827707968532545E-2</v>
      </c>
      <c r="S78" s="1"/>
      <c r="T78" s="1">
        <f>SUM(OSRRefT22_15x_0)</f>
        <v>523790.01000000007</v>
      </c>
      <c r="U78" s="1"/>
      <c r="V78" s="5">
        <f t="shared" si="52"/>
        <v>5.1126659408481739E-2</v>
      </c>
      <c r="W78" s="1"/>
      <c r="X78" s="1">
        <f t="shared" si="53"/>
        <v>-477876.65000000008</v>
      </c>
      <c r="Y78" s="1"/>
      <c r="Z78" s="5">
        <f t="shared" si="54"/>
        <v>-0.9123439563118052</v>
      </c>
    </row>
    <row r="79" spans="1:26" s="24" customFormat="1" hidden="1" outlineLevel="2" x14ac:dyDescent="0.25">
      <c r="A79" s="25"/>
      <c r="B79" s="11" t="str">
        <f>CONCATENATE("          ", "6387", " - ", "COMMISSION DUE HOUSING")</f>
        <v xml:space="preserve">          6387 - COMMISSION DUE HOUSING</v>
      </c>
      <c r="C79" s="11"/>
      <c r="D79" s="6">
        <v>-29103.129999999997</v>
      </c>
      <c r="E79" s="2"/>
      <c r="F79" s="7">
        <f t="shared" si="47"/>
        <v>-0.24187179995846234</v>
      </c>
      <c r="G79" s="2"/>
      <c r="H79" s="6">
        <v>52199.14</v>
      </c>
      <c r="I79" s="2"/>
      <c r="J79" s="7">
        <f t="shared" si="48"/>
        <v>4.9278052366364455E-2</v>
      </c>
      <c r="K79" s="2"/>
      <c r="L79" s="6">
        <f t="shared" si="49"/>
        <v>-81302.26999999999</v>
      </c>
      <c r="M79" s="2"/>
      <c r="N79" s="7">
        <f t="shared" si="50"/>
        <v>-1.5575404115853249</v>
      </c>
      <c r="O79" s="11"/>
      <c r="P79" s="6">
        <v>45913.36</v>
      </c>
      <c r="Q79" s="2"/>
      <c r="R79" s="7">
        <f t="shared" si="51"/>
        <v>4.827707968532545E-2</v>
      </c>
      <c r="S79" s="2"/>
      <c r="T79" s="6">
        <v>523790.01000000007</v>
      </c>
      <c r="U79" s="2"/>
      <c r="V79" s="7">
        <f t="shared" si="52"/>
        <v>5.1126659408481739E-2</v>
      </c>
      <c r="W79" s="2"/>
      <c r="X79" s="6">
        <f t="shared" si="53"/>
        <v>-477876.65000000008</v>
      </c>
      <c r="Y79" s="2"/>
      <c r="Z79" s="7">
        <f t="shared" si="54"/>
        <v>-0.9123439563118052</v>
      </c>
    </row>
    <row r="80" spans="1:26" s="26" customFormat="1" outlineLevel="1" collapsed="1" x14ac:dyDescent="0.25">
      <c r="A80" s="27"/>
      <c r="B80" s="13" t="str">
        <f>CONCATENATE("     ","Rent                                              ")</f>
        <v xml:space="preserve">     Rent                                              </v>
      </c>
      <c r="C80" s="13"/>
      <c r="D80" s="1">
        <f>SUM(OSRRefD22_16x_0)</f>
        <v>0</v>
      </c>
      <c r="E80" s="1"/>
      <c r="F80" s="5">
        <f t="shared" si="47"/>
        <v>0</v>
      </c>
      <c r="G80" s="1"/>
      <c r="H80" s="1">
        <f>SUM(OSRRefH22_16x_0)</f>
        <v>1850</v>
      </c>
      <c r="I80" s="1"/>
      <c r="J80" s="5">
        <f t="shared" si="48"/>
        <v>1.7464731579442544E-3</v>
      </c>
      <c r="K80" s="1"/>
      <c r="L80" s="1">
        <f t="shared" si="49"/>
        <v>-1850</v>
      </c>
      <c r="M80" s="1"/>
      <c r="N80" s="5">
        <f t="shared" si="50"/>
        <v>-1</v>
      </c>
      <c r="O80" s="13"/>
      <c r="P80" s="1">
        <f>SUM(OSRRefP22_16x_0)</f>
        <v>11100</v>
      </c>
      <c r="Q80" s="1"/>
      <c r="R80" s="5">
        <f t="shared" si="51"/>
        <v>1.1671452154821875E-2</v>
      </c>
      <c r="S80" s="1"/>
      <c r="T80" s="1">
        <f>SUM(OSRRefT22_16x_0)</f>
        <v>12950</v>
      </c>
      <c r="U80" s="1"/>
      <c r="V80" s="5">
        <f t="shared" si="52"/>
        <v>1.2640375469166326E-3</v>
      </c>
      <c r="W80" s="1"/>
      <c r="X80" s="1">
        <f t="shared" si="53"/>
        <v>-1850</v>
      </c>
      <c r="Y80" s="1"/>
      <c r="Z80" s="5">
        <f t="shared" si="54"/>
        <v>-0.14285714285714285</v>
      </c>
    </row>
    <row r="81" spans="1:26" s="24" customFormat="1" hidden="1" outlineLevel="2" x14ac:dyDescent="0.25">
      <c r="A81" s="25"/>
      <c r="B81" s="11" t="str">
        <f>CONCATENATE("          ", "6273", " - ", "RENT")</f>
        <v xml:space="preserve">          6273 - RENT</v>
      </c>
      <c r="C81" s="11"/>
      <c r="D81" s="6"/>
      <c r="E81" s="2"/>
      <c r="F81" s="7">
        <f t="shared" si="47"/>
        <v>0</v>
      </c>
      <c r="G81" s="2"/>
      <c r="H81" s="6">
        <v>1850</v>
      </c>
      <c r="I81" s="2"/>
      <c r="J81" s="7">
        <f t="shared" si="48"/>
        <v>1.7464731579442544E-3</v>
      </c>
      <c r="K81" s="2"/>
      <c r="L81" s="6">
        <f t="shared" si="49"/>
        <v>-1850</v>
      </c>
      <c r="M81" s="2"/>
      <c r="N81" s="7">
        <f t="shared" si="50"/>
        <v>-1</v>
      </c>
      <c r="O81" s="11"/>
      <c r="P81" s="6">
        <v>11100</v>
      </c>
      <c r="Q81" s="2"/>
      <c r="R81" s="7">
        <f t="shared" si="51"/>
        <v>1.1671452154821875E-2</v>
      </c>
      <c r="S81" s="2"/>
      <c r="T81" s="6">
        <v>12950</v>
      </c>
      <c r="U81" s="2"/>
      <c r="V81" s="7">
        <f t="shared" si="52"/>
        <v>1.2640375469166326E-3</v>
      </c>
      <c r="W81" s="2"/>
      <c r="X81" s="6">
        <f t="shared" si="53"/>
        <v>-1850</v>
      </c>
      <c r="Y81" s="2"/>
      <c r="Z81" s="7">
        <f t="shared" si="54"/>
        <v>-0.14285714285714285</v>
      </c>
    </row>
    <row r="82" spans="1:26" s="26" customFormat="1" outlineLevel="1" collapsed="1" x14ac:dyDescent="0.25">
      <c r="A82" s="27"/>
      <c r="B82" s="13" t="str">
        <f>CONCATENATE("     ","Repair and Maintenance                            ")</f>
        <v xml:space="preserve">     Repair and Maintenance                            </v>
      </c>
      <c r="C82" s="13"/>
      <c r="D82" s="1">
        <f>SUM(OSRRefD22_17x_0)</f>
        <v>6434.15</v>
      </c>
      <c r="E82" s="1"/>
      <c r="F82" s="5">
        <f t="shared" si="47"/>
        <v>5.3473267023263153E-2</v>
      </c>
      <c r="G82" s="1"/>
      <c r="H82" s="1">
        <f>SUM(OSRRefH22_17x_0)</f>
        <v>32479.58</v>
      </c>
      <c r="I82" s="1"/>
      <c r="J82" s="5">
        <f t="shared" si="48"/>
        <v>3.0662007919623268E-2</v>
      </c>
      <c r="K82" s="1"/>
      <c r="L82" s="1">
        <f t="shared" si="49"/>
        <v>-26045.43</v>
      </c>
      <c r="M82" s="1"/>
      <c r="N82" s="5">
        <f t="shared" si="50"/>
        <v>-0.80190168715235843</v>
      </c>
      <c r="O82" s="13"/>
      <c r="P82" s="1">
        <f>SUM(OSRRefP22_17x_0)</f>
        <v>34439.919999999998</v>
      </c>
      <c r="Q82" s="1"/>
      <c r="R82" s="5">
        <f t="shared" si="51"/>
        <v>3.6212962026657025E-2</v>
      </c>
      <c r="S82" s="1"/>
      <c r="T82" s="1">
        <f>SUM(OSRRefT22_17x_0)</f>
        <v>200739.24</v>
      </c>
      <c r="U82" s="1"/>
      <c r="V82" s="5">
        <f t="shared" si="52"/>
        <v>1.9593971930464027E-2</v>
      </c>
      <c r="W82" s="1"/>
      <c r="X82" s="1">
        <f t="shared" si="53"/>
        <v>-166299.32</v>
      </c>
      <c r="Y82" s="1"/>
      <c r="Z82" s="5">
        <f t="shared" si="54"/>
        <v>-0.82843454025231944</v>
      </c>
    </row>
    <row r="83" spans="1:26" s="24" customFormat="1" hidden="1" outlineLevel="2" x14ac:dyDescent="0.25">
      <c r="A83" s="25"/>
      <c r="B83" s="11" t="str">
        <f>CONCATENATE("          ", "6371", " - ", "COMPUTER SOFTWARE MAINTENANCE")</f>
        <v xml:space="preserve">          6371 - COMPUTER SOFTWARE MAINTENANCE</v>
      </c>
      <c r="C83" s="11"/>
      <c r="D83" s="6">
        <v>3500</v>
      </c>
      <c r="E83" s="2"/>
      <c r="F83" s="7">
        <f t="shared" si="47"/>
        <v>2.9087981253377842E-2</v>
      </c>
      <c r="G83" s="2"/>
      <c r="H83" s="6"/>
      <c r="I83" s="2"/>
      <c r="J83" s="7">
        <f t="shared" si="48"/>
        <v>0</v>
      </c>
      <c r="K83" s="2"/>
      <c r="L83" s="6">
        <f t="shared" si="49"/>
        <v>3500</v>
      </c>
      <c r="M83" s="2"/>
      <c r="N83" s="7">
        <f t="shared" si="50"/>
        <v>0</v>
      </c>
      <c r="O83" s="11"/>
      <c r="P83" s="6">
        <v>7000</v>
      </c>
      <c r="Q83" s="2"/>
      <c r="R83" s="7">
        <f t="shared" si="51"/>
        <v>7.3603752327705517E-3</v>
      </c>
      <c r="S83" s="2"/>
      <c r="T83" s="6">
        <v>33750.620000000003</v>
      </c>
      <c r="U83" s="2"/>
      <c r="V83" s="7">
        <f t="shared" si="52"/>
        <v>3.294366865769532E-3</v>
      </c>
      <c r="W83" s="2"/>
      <c r="X83" s="6">
        <f t="shared" si="53"/>
        <v>-26750.620000000003</v>
      </c>
      <c r="Y83" s="2"/>
      <c r="Z83" s="7">
        <f t="shared" si="54"/>
        <v>-0.79259640267349163</v>
      </c>
    </row>
    <row r="84" spans="1:26" s="24" customFormat="1" hidden="1" outlineLevel="2" x14ac:dyDescent="0.25">
      <c r="A84" s="25"/>
      <c r="B84" s="11" t="str">
        <f>CONCATENATE("          ", "6372", " - ", "COMPUTER HARDWARE MAINTENANCE")</f>
        <v xml:space="preserve">          6372 - COMPUTER HARDWARE MAINTENANCE</v>
      </c>
      <c r="C84" s="11"/>
      <c r="D84" s="6"/>
      <c r="E84" s="2"/>
      <c r="F84" s="7">
        <f t="shared" si="47"/>
        <v>0</v>
      </c>
      <c r="G84" s="2"/>
      <c r="H84" s="6">
        <v>-0.01</v>
      </c>
      <c r="I84" s="2"/>
      <c r="J84" s="7">
        <f t="shared" si="48"/>
        <v>-9.4403954483473212E-9</v>
      </c>
      <c r="K84" s="2"/>
      <c r="L84" s="6">
        <f t="shared" si="49"/>
        <v>0.01</v>
      </c>
      <c r="M84" s="2"/>
      <c r="N84" s="7">
        <f t="shared" si="50"/>
        <v>-1</v>
      </c>
      <c r="O84" s="11"/>
      <c r="P84" s="6"/>
      <c r="Q84" s="2"/>
      <c r="R84" s="7">
        <f t="shared" si="51"/>
        <v>0</v>
      </c>
      <c r="S84" s="2"/>
      <c r="T84" s="6">
        <v>-0.01</v>
      </c>
      <c r="U84" s="2"/>
      <c r="V84" s="7">
        <f t="shared" si="52"/>
        <v>-9.7609076981979354E-10</v>
      </c>
      <c r="W84" s="2"/>
      <c r="X84" s="6">
        <f t="shared" si="53"/>
        <v>0.01</v>
      </c>
      <c r="Y84" s="2"/>
      <c r="Z84" s="7">
        <f t="shared" si="54"/>
        <v>-1</v>
      </c>
    </row>
    <row r="85" spans="1:26" s="24" customFormat="1" hidden="1" outlineLevel="2" x14ac:dyDescent="0.25">
      <c r="A85" s="25"/>
      <c r="B85" s="11" t="str">
        <f>CONCATENATE("          ", "6373", " - ", "MAINTENANCE CONTRACTS")</f>
        <v xml:space="preserve">          6373 - MAINTENANCE CONTRACTS</v>
      </c>
      <c r="C85" s="11"/>
      <c r="D85" s="6">
        <v>5.94</v>
      </c>
      <c r="E85" s="2"/>
      <c r="F85" s="7">
        <f t="shared" si="47"/>
        <v>4.9366459612875538E-5</v>
      </c>
      <c r="G85" s="2"/>
      <c r="H85" s="6">
        <v>6799</v>
      </c>
      <c r="I85" s="2"/>
      <c r="J85" s="7">
        <f t="shared" si="48"/>
        <v>6.4185248653313431E-3</v>
      </c>
      <c r="K85" s="2"/>
      <c r="L85" s="6">
        <f t="shared" si="49"/>
        <v>-6793.06</v>
      </c>
      <c r="M85" s="2"/>
      <c r="N85" s="7">
        <f t="shared" si="50"/>
        <v>-0.99912634210913376</v>
      </c>
      <c r="O85" s="11"/>
      <c r="P85" s="6">
        <v>13997.35</v>
      </c>
      <c r="Q85" s="2"/>
      <c r="R85" s="7">
        <f t="shared" si="51"/>
        <v>1.4717964037774412E-2</v>
      </c>
      <c r="S85" s="2"/>
      <c r="T85" s="6">
        <v>65602.439999999988</v>
      </c>
      <c r="U85" s="2"/>
      <c r="V85" s="7">
        <f t="shared" si="52"/>
        <v>6.4033936161656804E-3</v>
      </c>
      <c r="W85" s="2"/>
      <c r="X85" s="6">
        <f t="shared" si="53"/>
        <v>-51605.089999999989</v>
      </c>
      <c r="Y85" s="2"/>
      <c r="Z85" s="7">
        <f t="shared" si="54"/>
        <v>-0.78663369838073094</v>
      </c>
    </row>
    <row r="86" spans="1:26" s="24" customFormat="1" hidden="1" outlineLevel="2" x14ac:dyDescent="0.25">
      <c r="A86" s="25"/>
      <c r="B86" s="11" t="str">
        <f>CONCATENATE("          ", "6375", " - ", "OUTSIDE REPAIRS &amp; MAINTENANCE")</f>
        <v xml:space="preserve">          6375 - OUTSIDE REPAIRS &amp; MAINTENANCE</v>
      </c>
      <c r="C86" s="11"/>
      <c r="D86" s="6">
        <v>2928.21</v>
      </c>
      <c r="E86" s="2"/>
      <c r="F86" s="7">
        <f t="shared" si="47"/>
        <v>2.4335919310272437E-2</v>
      </c>
      <c r="G86" s="2"/>
      <c r="H86" s="6">
        <v>25680.59</v>
      </c>
      <c r="I86" s="2"/>
      <c r="J86" s="7">
        <f t="shared" si="48"/>
        <v>2.4243492494687373E-2</v>
      </c>
      <c r="K86" s="2"/>
      <c r="L86" s="6">
        <f t="shared" si="49"/>
        <v>-22752.38</v>
      </c>
      <c r="M86" s="2"/>
      <c r="N86" s="7">
        <f t="shared" si="50"/>
        <v>-0.88597575055713285</v>
      </c>
      <c r="O86" s="11"/>
      <c r="P86" s="6">
        <v>13442.57</v>
      </c>
      <c r="Q86" s="2"/>
      <c r="R86" s="7">
        <f t="shared" si="51"/>
        <v>1.4134622756112061E-2</v>
      </c>
      <c r="S86" s="2"/>
      <c r="T86" s="6">
        <v>101386.19</v>
      </c>
      <c r="U86" s="2"/>
      <c r="V86" s="7">
        <f t="shared" si="52"/>
        <v>9.8962124246195857E-3</v>
      </c>
      <c r="W86" s="2"/>
      <c r="X86" s="6">
        <f t="shared" si="53"/>
        <v>-87943.62</v>
      </c>
      <c r="Y86" s="2"/>
      <c r="Z86" s="7">
        <f t="shared" si="54"/>
        <v>-0.86741221856743989</v>
      </c>
    </row>
    <row r="87" spans="1:26" s="26" customFormat="1" outlineLevel="1" collapsed="1" x14ac:dyDescent="0.25">
      <c r="A87" s="27"/>
      <c r="B87" s="13" t="str">
        <f>CONCATENATE("     ","Royalty &amp; Commissions                             ")</f>
        <v xml:space="preserve">     Royalty &amp; Commissions                             </v>
      </c>
      <c r="C87" s="13"/>
      <c r="D87" s="1">
        <f>SUM(OSRRefD22_18x_0)</f>
        <v>0</v>
      </c>
      <c r="E87" s="1"/>
      <c r="F87" s="5">
        <f t="shared" ref="F87:F89" si="55">IF(D$12=0,0,D87/D$12)</f>
        <v>0</v>
      </c>
      <c r="G87" s="1"/>
      <c r="H87" s="1">
        <f>SUM(OSRRefH22_18x_0)</f>
        <v>25849.93</v>
      </c>
      <c r="I87" s="1"/>
      <c r="J87" s="5">
        <f t="shared" ref="J87:J89" si="56">IF(H$12=0,0,H87/H$12)</f>
        <v>2.4403356151209685E-2</v>
      </c>
      <c r="K87" s="1"/>
      <c r="L87" s="1">
        <f t="shared" ref="L87:L89" si="57">+D87-H87</f>
        <v>-25849.93</v>
      </c>
      <c r="M87" s="1"/>
      <c r="N87" s="5">
        <f t="shared" ref="N87:N89" si="58">IF(H87=0,0,L87/H87)</f>
        <v>-1</v>
      </c>
      <c r="O87" s="13"/>
      <c r="P87" s="1">
        <f>SUM(OSRRefP22_18x_0)</f>
        <v>0</v>
      </c>
      <c r="Q87" s="1"/>
      <c r="R87" s="5">
        <f t="shared" ref="R87:R89" si="59">IF(P$12=0,0,P87/P$12)</f>
        <v>0</v>
      </c>
      <c r="S87" s="1"/>
      <c r="T87" s="1">
        <f>SUM(OSRRefT22_18x_0)</f>
        <v>159522.10999999999</v>
      </c>
      <c r="U87" s="1"/>
      <c r="V87" s="5">
        <f t="shared" ref="V87:V89" si="60">IF(T$12=0,0,T87/T$12)</f>
        <v>1.5570805915317776E-2</v>
      </c>
      <c r="W87" s="1"/>
      <c r="X87" s="1">
        <f t="shared" ref="X87:X89" si="61">+P87-T87</f>
        <v>-159522.10999999999</v>
      </c>
      <c r="Y87" s="1"/>
      <c r="Z87" s="5">
        <f t="shared" ref="Z87:Z89" si="62">IF(T87=0,0,X87/T87)</f>
        <v>-1</v>
      </c>
    </row>
    <row r="88" spans="1:26" s="24" customFormat="1" hidden="1" outlineLevel="2" x14ac:dyDescent="0.25">
      <c r="A88" s="25"/>
      <c r="B88" s="11" t="str">
        <f>CONCATENATE("          ", "6254", " - ", "ROYALTY &amp; COMMISSIONS")</f>
        <v xml:space="preserve">          6254 - ROYALTY &amp; COMMISSIONS</v>
      </c>
      <c r="C88" s="11"/>
      <c r="D88" s="6"/>
      <c r="E88" s="2"/>
      <c r="F88" s="7">
        <f t="shared" si="55"/>
        <v>0</v>
      </c>
      <c r="G88" s="2"/>
      <c r="H88" s="6">
        <v>17641.37</v>
      </c>
      <c r="I88" s="2"/>
      <c r="J88" s="7">
        <f t="shared" si="56"/>
        <v>1.6654150905061095E-2</v>
      </c>
      <c r="K88" s="2"/>
      <c r="L88" s="6">
        <f t="shared" si="57"/>
        <v>-17641.37</v>
      </c>
      <c r="M88" s="2"/>
      <c r="N88" s="7">
        <f t="shared" si="58"/>
        <v>-1</v>
      </c>
      <c r="O88" s="11"/>
      <c r="P88" s="6"/>
      <c r="Q88" s="2"/>
      <c r="R88" s="7">
        <f t="shared" si="59"/>
        <v>0</v>
      </c>
      <c r="S88" s="2"/>
      <c r="T88" s="6">
        <v>78668.429999999993</v>
      </c>
      <c r="U88" s="2"/>
      <c r="V88" s="7">
        <f t="shared" si="60"/>
        <v>7.6787528399214532E-3</v>
      </c>
      <c r="W88" s="2"/>
      <c r="X88" s="6">
        <f t="shared" si="61"/>
        <v>-78668.429999999993</v>
      </c>
      <c r="Y88" s="2"/>
      <c r="Z88" s="7">
        <f t="shared" si="62"/>
        <v>-1</v>
      </c>
    </row>
    <row r="89" spans="1:26" s="24" customFormat="1" hidden="1" outlineLevel="2" x14ac:dyDescent="0.25">
      <c r="A89" s="25"/>
      <c r="B89" s="11" t="str">
        <f>CONCATENATE("          ", "6259", " - ", "ROYALTY &amp; COMMISSIONS")</f>
        <v xml:space="preserve">          6259 - ROYALTY &amp; COMMISSIONS</v>
      </c>
      <c r="C89" s="11"/>
      <c r="D89" s="6"/>
      <c r="E89" s="2"/>
      <c r="F89" s="7">
        <f t="shared" si="55"/>
        <v>0</v>
      </c>
      <c r="G89" s="2"/>
      <c r="H89" s="6">
        <v>8208.56</v>
      </c>
      <c r="I89" s="2"/>
      <c r="J89" s="7">
        <f t="shared" si="56"/>
        <v>7.749205246148588E-3</v>
      </c>
      <c r="K89" s="2"/>
      <c r="L89" s="6">
        <f t="shared" si="57"/>
        <v>-8208.56</v>
      </c>
      <c r="M89" s="2"/>
      <c r="N89" s="7">
        <f t="shared" si="58"/>
        <v>-1</v>
      </c>
      <c r="O89" s="11"/>
      <c r="P89" s="6"/>
      <c r="Q89" s="2"/>
      <c r="R89" s="7">
        <f t="shared" si="59"/>
        <v>0</v>
      </c>
      <c r="S89" s="2"/>
      <c r="T89" s="6">
        <v>80853.679999999993</v>
      </c>
      <c r="U89" s="2"/>
      <c r="V89" s="7">
        <f t="shared" si="60"/>
        <v>7.8920530753963224E-3</v>
      </c>
      <c r="W89" s="2"/>
      <c r="X89" s="6">
        <f t="shared" si="61"/>
        <v>-80853.679999999993</v>
      </c>
      <c r="Y89" s="2"/>
      <c r="Z89" s="7">
        <f t="shared" si="62"/>
        <v>-1</v>
      </c>
    </row>
    <row r="90" spans="1:26" s="26" customFormat="1" outlineLevel="1" collapsed="1" x14ac:dyDescent="0.25">
      <c r="A90" s="27"/>
      <c r="B90" s="13" t="str">
        <f>CONCATENATE("     ","Services                                          ")</f>
        <v xml:space="preserve">     Services                                          </v>
      </c>
      <c r="C90" s="13"/>
      <c r="D90" s="1">
        <f>SUM(OSRRefD22_19x_0)</f>
        <v>20590.37</v>
      </c>
      <c r="E90" s="1"/>
      <c r="F90" s="5">
        <f t="shared" ref="F90:F95" si="63">IF(D$12=0,0,D90/D$12)</f>
        <v>0.17112351330288958</v>
      </c>
      <c r="G90" s="1"/>
      <c r="H90" s="1">
        <f>SUM(OSRRefH22_19x_0)</f>
        <v>41158.04</v>
      </c>
      <c r="I90" s="1"/>
      <c r="J90" s="5">
        <f t="shared" ref="J90:J95" si="64">IF(H$12=0,0,H90/H$12)</f>
        <v>3.8854817347889696E-2</v>
      </c>
      <c r="K90" s="1"/>
      <c r="L90" s="1">
        <f t="shared" ref="L90:L95" si="65">+D90-H90</f>
        <v>-20567.670000000002</v>
      </c>
      <c r="M90" s="1"/>
      <c r="N90" s="5">
        <f t="shared" ref="N90:N95" si="66">IF(H90=0,0,L90/H90)</f>
        <v>-0.49972423370986574</v>
      </c>
      <c r="O90" s="13"/>
      <c r="P90" s="1">
        <f>SUM(OSRRefP22_19x_0)</f>
        <v>122805.62000000001</v>
      </c>
      <c r="Q90" s="1"/>
      <c r="R90" s="5">
        <f t="shared" ref="R90:R95" si="67">IF(P$12=0,0,P90/P$12)</f>
        <v>0.12912792055614744</v>
      </c>
      <c r="S90" s="1"/>
      <c r="T90" s="1">
        <f>SUM(OSRRefT22_19x_0)</f>
        <v>285952.71999999997</v>
      </c>
      <c r="U90" s="1"/>
      <c r="V90" s="5">
        <f t="shared" ref="V90:V95" si="68">IF(T$12=0,0,T90/T$12)</f>
        <v>2.7911581059686382E-2</v>
      </c>
      <c r="W90" s="1"/>
      <c r="X90" s="1">
        <f t="shared" ref="X90:X95" si="69">+P90-T90</f>
        <v>-163147.09999999998</v>
      </c>
      <c r="Y90" s="1"/>
      <c r="Z90" s="5">
        <f t="shared" ref="Z90:Z95" si="70">IF(T90=0,0,X90/T90)</f>
        <v>-0.57053872402402739</v>
      </c>
    </row>
    <row r="91" spans="1:26" s="24" customFormat="1" hidden="1" outlineLevel="2" x14ac:dyDescent="0.25">
      <c r="A91" s="25"/>
      <c r="B91" s="11" t="str">
        <f>CONCATENATE("          ", "6282", " - ", "JANITORIAL/EXTERMINATOR EXPENS")</f>
        <v xml:space="preserve">          6282 - JANITORIAL/EXTERMINATOR EXPENS</v>
      </c>
      <c r="C91" s="11"/>
      <c r="D91" s="6">
        <v>5550.87</v>
      </c>
      <c r="E91" s="2"/>
      <c r="F91" s="7">
        <f t="shared" si="63"/>
        <v>4.6132457857124991E-2</v>
      </c>
      <c r="G91" s="2"/>
      <c r="H91" s="6">
        <v>949.03</v>
      </c>
      <c r="I91" s="2"/>
      <c r="J91" s="7">
        <f t="shared" si="64"/>
        <v>8.9592184923450579E-4</v>
      </c>
      <c r="K91" s="2"/>
      <c r="L91" s="6">
        <f t="shared" si="65"/>
        <v>4601.84</v>
      </c>
      <c r="M91" s="2"/>
      <c r="N91" s="7">
        <f t="shared" si="66"/>
        <v>4.8489931825126709</v>
      </c>
      <c r="O91" s="11"/>
      <c r="P91" s="6">
        <v>15693.42</v>
      </c>
      <c r="Q91" s="2"/>
      <c r="R91" s="7">
        <f t="shared" si="67"/>
        <v>1.6501351412209434E-2</v>
      </c>
      <c r="S91" s="2"/>
      <c r="T91" s="6">
        <v>20720.12</v>
      </c>
      <c r="U91" s="2"/>
      <c r="V91" s="7">
        <f t="shared" si="68"/>
        <v>2.0224717881558497E-3</v>
      </c>
      <c r="W91" s="2"/>
      <c r="X91" s="6">
        <f t="shared" si="69"/>
        <v>-5026.6999999999989</v>
      </c>
      <c r="Y91" s="2"/>
      <c r="Z91" s="7">
        <f t="shared" si="70"/>
        <v>-0.2425999463323571</v>
      </c>
    </row>
    <row r="92" spans="1:26" s="24" customFormat="1" hidden="1" outlineLevel="2" x14ac:dyDescent="0.25">
      <c r="A92" s="25"/>
      <c r="B92" s="11" t="str">
        <f>CONCATENATE("          ", "6283", " - ", "PLANT SERVICE")</f>
        <v xml:space="preserve">          6283 - PLANT SERVICE</v>
      </c>
      <c r="C92" s="11"/>
      <c r="D92" s="6"/>
      <c r="E92" s="2"/>
      <c r="F92" s="7">
        <f t="shared" si="63"/>
        <v>0</v>
      </c>
      <c r="G92" s="2"/>
      <c r="H92" s="6"/>
      <c r="I92" s="2"/>
      <c r="J92" s="7">
        <f t="shared" si="64"/>
        <v>0</v>
      </c>
      <c r="K92" s="2"/>
      <c r="L92" s="6">
        <f t="shared" si="65"/>
        <v>0</v>
      </c>
      <c r="M92" s="2"/>
      <c r="N92" s="7">
        <f t="shared" si="66"/>
        <v>0</v>
      </c>
      <c r="O92" s="11"/>
      <c r="P92" s="6"/>
      <c r="Q92" s="2"/>
      <c r="R92" s="7">
        <f t="shared" si="67"/>
        <v>0</v>
      </c>
      <c r="S92" s="2"/>
      <c r="T92" s="6">
        <v>799.12</v>
      </c>
      <c r="U92" s="2"/>
      <c r="V92" s="7">
        <f t="shared" si="68"/>
        <v>7.8001365597839343E-5</v>
      </c>
      <c r="W92" s="2"/>
      <c r="X92" s="6">
        <f t="shared" si="69"/>
        <v>-799.12</v>
      </c>
      <c r="Y92" s="2"/>
      <c r="Z92" s="7">
        <f t="shared" si="70"/>
        <v>-1</v>
      </c>
    </row>
    <row r="93" spans="1:26" s="24" customFormat="1" hidden="1" outlineLevel="2" x14ac:dyDescent="0.25">
      <c r="A93" s="25"/>
      <c r="B93" s="11" t="str">
        <f>CONCATENATE("          ", "6284", " - ", "TRASH REMOVAL EXPENSE")</f>
        <v xml:space="preserve">          6284 - TRASH REMOVAL EXPENSE</v>
      </c>
      <c r="C93" s="11"/>
      <c r="D93" s="6">
        <v>5369</v>
      </c>
      <c r="E93" s="2"/>
      <c r="F93" s="7">
        <f t="shared" si="63"/>
        <v>4.4620963242681611E-2</v>
      </c>
      <c r="G93" s="2"/>
      <c r="H93" s="6">
        <v>5130</v>
      </c>
      <c r="I93" s="2"/>
      <c r="J93" s="7">
        <f t="shared" si="64"/>
        <v>4.8429228650021753E-3</v>
      </c>
      <c r="K93" s="2"/>
      <c r="L93" s="6">
        <f t="shared" si="65"/>
        <v>239</v>
      </c>
      <c r="M93" s="2"/>
      <c r="N93" s="7">
        <f t="shared" si="66"/>
        <v>4.6588693957115013E-2</v>
      </c>
      <c r="O93" s="11"/>
      <c r="P93" s="6">
        <v>24519.75</v>
      </c>
      <c r="Q93" s="2"/>
      <c r="R93" s="7">
        <f t="shared" si="67"/>
        <v>2.5782080087675106E-2</v>
      </c>
      <c r="S93" s="2"/>
      <c r="T93" s="6">
        <v>28023</v>
      </c>
      <c r="U93" s="2"/>
      <c r="V93" s="7">
        <f t="shared" si="68"/>
        <v>2.7352991642660071E-3</v>
      </c>
      <c r="W93" s="2"/>
      <c r="X93" s="6">
        <f t="shared" si="69"/>
        <v>-3503.25</v>
      </c>
      <c r="Y93" s="2"/>
      <c r="Z93" s="7">
        <f t="shared" si="70"/>
        <v>-0.12501338186489669</v>
      </c>
    </row>
    <row r="94" spans="1:26" s="24" customFormat="1" hidden="1" outlineLevel="2" x14ac:dyDescent="0.25">
      <c r="A94" s="25"/>
      <c r="B94" s="11" t="str">
        <f>CONCATENATE("          ", "6285", " - ", "JANITORIAL SERVICES")</f>
        <v xml:space="preserve">          6285 - JANITORIAL SERVICES</v>
      </c>
      <c r="C94" s="11"/>
      <c r="D94" s="6">
        <v>8897.19</v>
      </c>
      <c r="E94" s="2"/>
      <c r="F94" s="7">
        <f t="shared" si="63"/>
        <v>7.3943227407925943E-2</v>
      </c>
      <c r="G94" s="2"/>
      <c r="H94" s="6">
        <v>28418.02</v>
      </c>
      <c r="I94" s="2"/>
      <c r="J94" s="7">
        <f t="shared" si="64"/>
        <v>2.6827734665904313E-2</v>
      </c>
      <c r="K94" s="2"/>
      <c r="L94" s="6">
        <f t="shared" si="65"/>
        <v>-19520.830000000002</v>
      </c>
      <c r="M94" s="2"/>
      <c r="N94" s="7">
        <f t="shared" si="66"/>
        <v>-0.68691731514018228</v>
      </c>
      <c r="O94" s="11"/>
      <c r="P94" s="6">
        <v>70969.98000000001</v>
      </c>
      <c r="Q94" s="2"/>
      <c r="R94" s="7">
        <f t="shared" si="67"/>
        <v>7.4623669008888782E-2</v>
      </c>
      <c r="S94" s="2"/>
      <c r="T94" s="6">
        <v>182149.8</v>
      </c>
      <c r="U94" s="2"/>
      <c r="V94" s="7">
        <f t="shared" si="68"/>
        <v>1.777947385045214E-2</v>
      </c>
      <c r="W94" s="2"/>
      <c r="X94" s="6">
        <f t="shared" si="69"/>
        <v>-111179.81999999998</v>
      </c>
      <c r="Y94" s="2"/>
      <c r="Z94" s="7">
        <f t="shared" si="70"/>
        <v>-0.61037574567745878</v>
      </c>
    </row>
    <row r="95" spans="1:26" s="24" customFormat="1" hidden="1" outlineLevel="2" x14ac:dyDescent="0.25">
      <c r="A95" s="25"/>
      <c r="B95" s="11" t="str">
        <f>CONCATENATE("          ", "6286", " - ", "LAUNDRY EXPENSE")</f>
        <v xml:space="preserve">          6286 - LAUNDRY EXPENSE</v>
      </c>
      <c r="C95" s="11"/>
      <c r="D95" s="6">
        <v>773.31</v>
      </c>
      <c r="E95" s="2"/>
      <c r="F95" s="7">
        <f t="shared" si="63"/>
        <v>6.4268647951570331E-3</v>
      </c>
      <c r="G95" s="2"/>
      <c r="H95" s="6">
        <v>6660.99</v>
      </c>
      <c r="I95" s="2"/>
      <c r="J95" s="7">
        <f t="shared" si="64"/>
        <v>6.2882379677487018E-3</v>
      </c>
      <c r="K95" s="2"/>
      <c r="L95" s="6">
        <f t="shared" si="65"/>
        <v>-5887.68</v>
      </c>
      <c r="M95" s="2"/>
      <c r="N95" s="7">
        <f t="shared" si="66"/>
        <v>-0.8839046448050516</v>
      </c>
      <c r="O95" s="11"/>
      <c r="P95" s="6">
        <v>11622.47</v>
      </c>
      <c r="Q95" s="2"/>
      <c r="R95" s="7">
        <f t="shared" si="67"/>
        <v>1.2220820047374107E-2</v>
      </c>
      <c r="S95" s="2"/>
      <c r="T95" s="6">
        <v>54260.68</v>
      </c>
      <c r="U95" s="2"/>
      <c r="V95" s="7">
        <f t="shared" si="68"/>
        <v>5.2963348912145472E-3</v>
      </c>
      <c r="W95" s="2"/>
      <c r="X95" s="6">
        <f t="shared" si="69"/>
        <v>-42638.21</v>
      </c>
      <c r="Y95" s="2"/>
      <c r="Z95" s="7">
        <f t="shared" si="70"/>
        <v>-0.78580308982489711</v>
      </c>
    </row>
    <row r="96" spans="1:26" s="26" customFormat="1" outlineLevel="1" collapsed="1" x14ac:dyDescent="0.25">
      <c r="A96" s="27"/>
      <c r="B96" s="13" t="str">
        <f>CONCATENATE("     ","Subscriptions &amp; Dues                              ")</f>
        <v xml:space="preserve">     Subscriptions &amp; Dues                              </v>
      </c>
      <c r="C96" s="13"/>
      <c r="D96" s="1">
        <f>SUM(OSRRefD22_20x_0)</f>
        <v>0</v>
      </c>
      <c r="E96" s="1"/>
      <c r="F96" s="5">
        <f t="shared" ref="F96:F98" si="71">IF(D$12=0,0,D96/D$12)</f>
        <v>0</v>
      </c>
      <c r="G96" s="1"/>
      <c r="H96" s="1">
        <f>SUM(OSRRefH22_20x_0)</f>
        <v>585.98</v>
      </c>
      <c r="I96" s="1"/>
      <c r="J96" s="5">
        <f t="shared" ref="J96:J98" si="72">IF(H$12=0,0,H96/H$12)</f>
        <v>5.5318829248225633E-4</v>
      </c>
      <c r="K96" s="1"/>
      <c r="L96" s="1">
        <f t="shared" ref="L96:L98" si="73">+D96-H96</f>
        <v>-585.98</v>
      </c>
      <c r="M96" s="1"/>
      <c r="N96" s="5">
        <f t="shared" ref="N96:N98" si="74">IF(H96=0,0,L96/H96)</f>
        <v>-1</v>
      </c>
      <c r="O96" s="13"/>
      <c r="P96" s="1">
        <f>SUM(OSRRefP22_20x_0)</f>
        <v>1329.17</v>
      </c>
      <c r="Q96" s="1"/>
      <c r="R96" s="5">
        <f t="shared" ref="R96:R98" si="75">IF(P$12=0,0,P96/P$12)</f>
        <v>1.3975985640202336E-3</v>
      </c>
      <c r="S96" s="1"/>
      <c r="T96" s="1">
        <f>SUM(OSRRefT22_20x_0)</f>
        <v>6860.58</v>
      </c>
      <c r="U96" s="1"/>
      <c r="V96" s="5">
        <f t="shared" ref="V96:V98" si="76">IF(T$12=0,0,T96/T$12)</f>
        <v>6.6965488136102788E-4</v>
      </c>
      <c r="W96" s="1"/>
      <c r="X96" s="1">
        <f t="shared" ref="X96:X98" si="77">+P96-T96</f>
        <v>-5531.41</v>
      </c>
      <c r="Y96" s="1"/>
      <c r="Z96" s="5">
        <f t="shared" ref="Z96:Z98" si="78">IF(T96=0,0,X96/T96)</f>
        <v>-0.8062598205982584</v>
      </c>
    </row>
    <row r="97" spans="1:26" s="24" customFormat="1" hidden="1" outlineLevel="2" x14ac:dyDescent="0.25">
      <c r="A97" s="25"/>
      <c r="B97" s="11" t="str">
        <f>CONCATENATE("          ", "6258", " - ", "MEMBERSHIP DUES")</f>
        <v xml:space="preserve">          6258 - MEMBERSHIP DUES</v>
      </c>
      <c r="C97" s="11"/>
      <c r="D97" s="6"/>
      <c r="E97" s="2"/>
      <c r="F97" s="7">
        <f t="shared" si="71"/>
        <v>0</v>
      </c>
      <c r="G97" s="2"/>
      <c r="H97" s="6">
        <v>131.19999999999999</v>
      </c>
      <c r="I97" s="2"/>
      <c r="J97" s="7">
        <f t="shared" si="72"/>
        <v>1.2385798828231683E-4</v>
      </c>
      <c r="K97" s="2"/>
      <c r="L97" s="6">
        <f t="shared" si="73"/>
        <v>-131.19999999999999</v>
      </c>
      <c r="M97" s="2"/>
      <c r="N97" s="7">
        <f t="shared" si="74"/>
        <v>-1</v>
      </c>
      <c r="O97" s="11"/>
      <c r="P97" s="6">
        <v>795</v>
      </c>
      <c r="Q97" s="2"/>
      <c r="R97" s="7">
        <f t="shared" si="75"/>
        <v>8.3592833000751263E-4</v>
      </c>
      <c r="S97" s="2"/>
      <c r="T97" s="6">
        <v>3861.2</v>
      </c>
      <c r="U97" s="2"/>
      <c r="V97" s="7">
        <f t="shared" si="76"/>
        <v>3.7688816804281862E-4</v>
      </c>
      <c r="W97" s="2"/>
      <c r="X97" s="6">
        <f t="shared" si="77"/>
        <v>-3066.2</v>
      </c>
      <c r="Y97" s="2"/>
      <c r="Z97" s="7">
        <f t="shared" si="78"/>
        <v>-0.79410545944266031</v>
      </c>
    </row>
    <row r="98" spans="1:26" s="24" customFormat="1" hidden="1" outlineLevel="2" x14ac:dyDescent="0.25">
      <c r="A98" s="25"/>
      <c r="B98" s="11" t="str">
        <f>CONCATENATE("          ", "6275", " - ", "SUBSCRIPTIONS")</f>
        <v xml:space="preserve">          6275 - SUBSCRIPTIONS</v>
      </c>
      <c r="C98" s="11"/>
      <c r="D98" s="6"/>
      <c r="E98" s="2"/>
      <c r="F98" s="7">
        <f t="shared" si="71"/>
        <v>0</v>
      </c>
      <c r="G98" s="2"/>
      <c r="H98" s="6">
        <v>454.78</v>
      </c>
      <c r="I98" s="2"/>
      <c r="J98" s="7">
        <f t="shared" si="72"/>
        <v>4.2933030419993945E-4</v>
      </c>
      <c r="K98" s="2"/>
      <c r="L98" s="6">
        <f t="shared" si="73"/>
        <v>-454.78</v>
      </c>
      <c r="M98" s="2"/>
      <c r="N98" s="7">
        <f t="shared" si="74"/>
        <v>-1</v>
      </c>
      <c r="O98" s="11"/>
      <c r="P98" s="6">
        <v>534.16999999999996</v>
      </c>
      <c r="Q98" s="2"/>
      <c r="R98" s="7">
        <f t="shared" si="75"/>
        <v>5.6167023401272078E-4</v>
      </c>
      <c r="S98" s="2"/>
      <c r="T98" s="6">
        <v>2999.38</v>
      </c>
      <c r="U98" s="2"/>
      <c r="V98" s="7">
        <f t="shared" si="76"/>
        <v>2.9276671331820921E-4</v>
      </c>
      <c r="W98" s="2"/>
      <c r="X98" s="6">
        <f t="shared" si="77"/>
        <v>-2465.21</v>
      </c>
      <c r="Y98" s="2"/>
      <c r="Z98" s="7">
        <f t="shared" si="78"/>
        <v>-0.82190652734898539</v>
      </c>
    </row>
    <row r="99" spans="1:26" s="26" customFormat="1" outlineLevel="1" collapsed="1" x14ac:dyDescent="0.25">
      <c r="A99" s="27"/>
      <c r="B99" s="13" t="str">
        <f>CONCATENATE("     ","Supplies                                          ")</f>
        <v xml:space="preserve">     Supplies                                          </v>
      </c>
      <c r="C99" s="13"/>
      <c r="D99" s="1">
        <f>SUM(OSRRefD22_21x_0)</f>
        <v>10874.97</v>
      </c>
      <c r="E99" s="1"/>
      <c r="F99" s="5">
        <f t="shared" ref="F99:F108" si="79">IF(D$12=0,0,D99/D$12)</f>
        <v>9.0380263854584683E-2</v>
      </c>
      <c r="G99" s="1"/>
      <c r="H99" s="1">
        <f>SUM(OSRRefH22_21x_0)</f>
        <v>30438.14</v>
      </c>
      <c r="I99" s="1"/>
      <c r="J99" s="5">
        <f t="shared" ref="J99:J108" si="80">IF(H$12=0,0,H99/H$12)</f>
        <v>2.8734807831215851E-2</v>
      </c>
      <c r="K99" s="1"/>
      <c r="L99" s="1">
        <f t="shared" ref="L99:L108" si="81">+D99-H99</f>
        <v>-19563.169999999998</v>
      </c>
      <c r="M99" s="1"/>
      <c r="N99" s="5">
        <f t="shared" ref="N99:N108" si="82">IF(H99=0,0,L99/H99)</f>
        <v>-0.64271897034444281</v>
      </c>
      <c r="O99" s="13"/>
      <c r="P99" s="1">
        <f>SUM(OSRRefP22_21x_0)</f>
        <v>79069.429999999993</v>
      </c>
      <c r="Q99" s="1"/>
      <c r="R99" s="5">
        <f t="shared" ref="R99:R108" si="83">IF(P$12=0,0,P99/P$12)</f>
        <v>8.3140096320183543E-2</v>
      </c>
      <c r="S99" s="1"/>
      <c r="T99" s="1">
        <f>SUM(OSRRefT22_21x_0)</f>
        <v>281440.42</v>
      </c>
      <c r="U99" s="1"/>
      <c r="V99" s="5">
        <f t="shared" ref="V99:V108" si="84">IF(T$12=0,0,T99/T$12)</f>
        <v>2.7471139621620597E-2</v>
      </c>
      <c r="W99" s="1"/>
      <c r="X99" s="1">
        <f t="shared" ref="X99:X108" si="85">+P99-T99</f>
        <v>-202370.99</v>
      </c>
      <c r="Y99" s="1"/>
      <c r="Z99" s="5">
        <f t="shared" ref="Z99:Z108" si="86">IF(T99=0,0,X99/T99)</f>
        <v>-0.71905446275272045</v>
      </c>
    </row>
    <row r="100" spans="1:26" s="24" customFormat="1" hidden="1" outlineLevel="2" x14ac:dyDescent="0.25">
      <c r="A100" s="25"/>
      <c r="B100" s="11" t="str">
        <f>CONCATENATE("          ", "6234", " - ", "EXPENDABLE SUPPLIES &amp; EQUIPMEN")</f>
        <v xml:space="preserve">          6234 - EXPENDABLE SUPPLIES &amp; EQUIPMEN</v>
      </c>
      <c r="C100" s="11"/>
      <c r="D100" s="6"/>
      <c r="E100" s="2"/>
      <c r="F100" s="7">
        <f t="shared" si="79"/>
        <v>0</v>
      </c>
      <c r="G100" s="2"/>
      <c r="H100" s="6">
        <v>1008.79</v>
      </c>
      <c r="I100" s="2"/>
      <c r="J100" s="7">
        <f t="shared" si="80"/>
        <v>9.5233765243382933E-4</v>
      </c>
      <c r="K100" s="2"/>
      <c r="L100" s="6">
        <f t="shared" si="81"/>
        <v>-1008.79</v>
      </c>
      <c r="M100" s="2"/>
      <c r="N100" s="7">
        <f t="shared" si="82"/>
        <v>-1</v>
      </c>
      <c r="O100" s="11"/>
      <c r="P100" s="6">
        <v>310.91000000000003</v>
      </c>
      <c r="Q100" s="2"/>
      <c r="R100" s="7">
        <f t="shared" si="83"/>
        <v>3.2691632337438463E-4</v>
      </c>
      <c r="S100" s="2"/>
      <c r="T100" s="6">
        <v>13311.51</v>
      </c>
      <c r="U100" s="2"/>
      <c r="V100" s="7">
        <f t="shared" si="84"/>
        <v>1.299324204336388E-3</v>
      </c>
      <c r="W100" s="2"/>
      <c r="X100" s="6">
        <f t="shared" si="85"/>
        <v>-13000.6</v>
      </c>
      <c r="Y100" s="2"/>
      <c r="Z100" s="7">
        <f t="shared" si="86"/>
        <v>-0.97664352128346077</v>
      </c>
    </row>
    <row r="101" spans="1:26" s="24" customFormat="1" hidden="1" outlineLevel="2" x14ac:dyDescent="0.25">
      <c r="A101" s="25"/>
      <c r="B101" s="11" t="str">
        <f>CONCATENATE("          ", "6235", " - ", "COVID-19 EXPENSES")</f>
        <v xml:space="preserve">          6235 - COVID-19 EXPENSES</v>
      </c>
      <c r="C101" s="11"/>
      <c r="D101" s="6">
        <v>2921.2</v>
      </c>
      <c r="E101" s="2"/>
      <c r="F101" s="7">
        <f t="shared" si="79"/>
        <v>2.4277660239247812E-2</v>
      </c>
      <c r="G101" s="2"/>
      <c r="H101" s="6"/>
      <c r="I101" s="2"/>
      <c r="J101" s="7">
        <f t="shared" si="80"/>
        <v>0</v>
      </c>
      <c r="K101" s="2"/>
      <c r="L101" s="6">
        <f t="shared" si="81"/>
        <v>2921.2</v>
      </c>
      <c r="M101" s="2"/>
      <c r="N101" s="7">
        <f t="shared" si="82"/>
        <v>0</v>
      </c>
      <c r="O101" s="11"/>
      <c r="P101" s="6">
        <v>57530.21</v>
      </c>
      <c r="Q101" s="2"/>
      <c r="R101" s="7">
        <f t="shared" si="83"/>
        <v>6.0491990402869816E-2</v>
      </c>
      <c r="S101" s="2"/>
      <c r="T101" s="6"/>
      <c r="U101" s="2"/>
      <c r="V101" s="7">
        <f t="shared" si="84"/>
        <v>0</v>
      </c>
      <c r="W101" s="2"/>
      <c r="X101" s="6">
        <f t="shared" si="85"/>
        <v>57530.21</v>
      </c>
      <c r="Y101" s="2"/>
      <c r="Z101" s="7">
        <f t="shared" si="86"/>
        <v>0</v>
      </c>
    </row>
    <row r="102" spans="1:26" s="24" customFormat="1" hidden="1" outlineLevel="2" x14ac:dyDescent="0.25">
      <c r="A102" s="25"/>
      <c r="B102" s="11" t="str">
        <f>CONCATENATE("          ", "6237", " - ", "JANITORIAL SUPPLIES")</f>
        <v xml:space="preserve">          6237 - JANITORIAL SUPPLIES</v>
      </c>
      <c r="C102" s="11"/>
      <c r="D102" s="6">
        <v>4171.3599999999997</v>
      </c>
      <c r="E102" s="2"/>
      <c r="F102" s="7">
        <f t="shared" si="79"/>
        <v>3.4667554708882907E-2</v>
      </c>
      <c r="G102" s="2"/>
      <c r="H102" s="6">
        <v>12137.63</v>
      </c>
      <c r="I102" s="2"/>
      <c r="J102" s="7">
        <f t="shared" si="80"/>
        <v>1.1458402700572388E-2</v>
      </c>
      <c r="K102" s="2"/>
      <c r="L102" s="6">
        <f t="shared" si="81"/>
        <v>-7966.2699999999995</v>
      </c>
      <c r="M102" s="2"/>
      <c r="N102" s="7">
        <f t="shared" si="82"/>
        <v>-0.65632829473299159</v>
      </c>
      <c r="O102" s="11"/>
      <c r="P102" s="6">
        <v>17594.72</v>
      </c>
      <c r="Q102" s="2"/>
      <c r="R102" s="7">
        <f t="shared" si="83"/>
        <v>1.8500534473647526E-2</v>
      </c>
      <c r="S102" s="2"/>
      <c r="T102" s="6">
        <v>92326.3</v>
      </c>
      <c r="U102" s="2"/>
      <c r="V102" s="7">
        <f t="shared" si="84"/>
        <v>9.0118849241613199E-3</v>
      </c>
      <c r="W102" s="2"/>
      <c r="X102" s="6">
        <f t="shared" si="85"/>
        <v>-74731.58</v>
      </c>
      <c r="Y102" s="2"/>
      <c r="Z102" s="7">
        <f t="shared" si="86"/>
        <v>-0.80942894928097409</v>
      </c>
    </row>
    <row r="103" spans="1:26" s="24" customFormat="1" hidden="1" outlineLevel="2" x14ac:dyDescent="0.25">
      <c r="A103" s="25"/>
      <c r="B103" s="11" t="str">
        <f>CONCATENATE("          ", "6239", " - ", "KITCHEN SUPPLIES")</f>
        <v xml:space="preserve">          6239 - KITCHEN SUPPLIES</v>
      </c>
      <c r="C103" s="11"/>
      <c r="D103" s="6">
        <v>979.48</v>
      </c>
      <c r="E103" s="2"/>
      <c r="F103" s="7">
        <f t="shared" si="79"/>
        <v>8.140313108016722E-3</v>
      </c>
      <c r="G103" s="2"/>
      <c r="H103" s="6">
        <v>5717.52</v>
      </c>
      <c r="I103" s="2"/>
      <c r="J103" s="7">
        <f t="shared" si="80"/>
        <v>5.3975649783834781E-3</v>
      </c>
      <c r="K103" s="2"/>
      <c r="L103" s="6">
        <f t="shared" si="81"/>
        <v>-4738.0400000000009</v>
      </c>
      <c r="M103" s="2"/>
      <c r="N103" s="7">
        <f t="shared" si="82"/>
        <v>-0.82868796261316102</v>
      </c>
      <c r="O103" s="11"/>
      <c r="P103" s="6">
        <v>6813.86</v>
      </c>
      <c r="Q103" s="2"/>
      <c r="R103" s="7">
        <f t="shared" si="83"/>
        <v>7.1646523405094215E-3</v>
      </c>
      <c r="S103" s="2"/>
      <c r="T103" s="6">
        <v>60779.549999999996</v>
      </c>
      <c r="U103" s="2"/>
      <c r="V103" s="7">
        <f t="shared" si="84"/>
        <v>5.9326357748800624E-3</v>
      </c>
      <c r="W103" s="2"/>
      <c r="X103" s="6">
        <f t="shared" si="85"/>
        <v>-53965.689999999995</v>
      </c>
      <c r="Y103" s="2"/>
      <c r="Z103" s="7">
        <f t="shared" si="86"/>
        <v>-0.88789222690855718</v>
      </c>
    </row>
    <row r="104" spans="1:26" s="24" customFormat="1" hidden="1" outlineLevel="2" x14ac:dyDescent="0.25">
      <c r="A104" s="25"/>
      <c r="B104" s="11" t="str">
        <f>CONCATENATE("          ", "6241", " - ", "OFFICE EXPENSE")</f>
        <v xml:space="preserve">          6241 - OFFICE EXPENSE</v>
      </c>
      <c r="C104" s="11"/>
      <c r="D104" s="6">
        <v>1030.8499999999999</v>
      </c>
      <c r="E104" s="2"/>
      <c r="F104" s="7">
        <f t="shared" si="79"/>
        <v>8.5672415642984411E-3</v>
      </c>
      <c r="G104" s="2"/>
      <c r="H104" s="6">
        <v>416.34</v>
      </c>
      <c r="I104" s="2"/>
      <c r="J104" s="7">
        <f t="shared" si="80"/>
        <v>3.9304142409649231E-4</v>
      </c>
      <c r="K104" s="2"/>
      <c r="L104" s="6">
        <f t="shared" si="81"/>
        <v>614.51</v>
      </c>
      <c r="M104" s="2"/>
      <c r="N104" s="7">
        <f t="shared" si="82"/>
        <v>1.4759811692366815</v>
      </c>
      <c r="O104" s="11"/>
      <c r="P104" s="6">
        <v>-24799.1</v>
      </c>
      <c r="Q104" s="2"/>
      <c r="R104" s="7">
        <f t="shared" si="83"/>
        <v>-2.6075811633571453E-2</v>
      </c>
      <c r="S104" s="2"/>
      <c r="T104" s="6">
        <v>41654.89</v>
      </c>
      <c r="U104" s="2"/>
      <c r="V104" s="7">
        <f t="shared" si="84"/>
        <v>4.0658953646858812E-3</v>
      </c>
      <c r="W104" s="2"/>
      <c r="X104" s="6">
        <f t="shared" si="85"/>
        <v>-66453.989999999991</v>
      </c>
      <c r="Y104" s="2"/>
      <c r="Z104" s="7">
        <f t="shared" si="86"/>
        <v>-1.5953466687824644</v>
      </c>
    </row>
    <row r="105" spans="1:26" s="24" customFormat="1" hidden="1" outlineLevel="2" x14ac:dyDescent="0.25">
      <c r="A105" s="25"/>
      <c r="B105" s="11" t="str">
        <f>CONCATENATE("          ", "6243", " - ", "PAPER SUPPLIES")</f>
        <v xml:space="preserve">          6243 - PAPER SUPPLIES</v>
      </c>
      <c r="C105" s="11"/>
      <c r="D105" s="6">
        <v>1772.08</v>
      </c>
      <c r="E105" s="2"/>
      <c r="F105" s="7">
        <f t="shared" si="79"/>
        <v>1.4727494234138801E-2</v>
      </c>
      <c r="G105" s="2"/>
      <c r="H105" s="6">
        <v>9175.48</v>
      </c>
      <c r="I105" s="2"/>
      <c r="J105" s="7">
        <f t="shared" si="80"/>
        <v>8.6620159628401864E-3</v>
      </c>
      <c r="K105" s="2"/>
      <c r="L105" s="6">
        <f t="shared" si="81"/>
        <v>-7403.4</v>
      </c>
      <c r="M105" s="2"/>
      <c r="N105" s="7">
        <f t="shared" si="82"/>
        <v>-0.80686786958284473</v>
      </c>
      <c r="O105" s="11"/>
      <c r="P105" s="6">
        <v>17118.240000000002</v>
      </c>
      <c r="Q105" s="2"/>
      <c r="R105" s="7">
        <f t="shared" si="83"/>
        <v>1.7999524246374597E-2</v>
      </c>
      <c r="S105" s="2"/>
      <c r="T105" s="6">
        <v>65854.7</v>
      </c>
      <c r="U105" s="2"/>
      <c r="V105" s="7">
        <f t="shared" si="84"/>
        <v>6.4280164819251551E-3</v>
      </c>
      <c r="W105" s="2"/>
      <c r="X105" s="6">
        <f t="shared" si="85"/>
        <v>-48736.459999999992</v>
      </c>
      <c r="Y105" s="2"/>
      <c r="Z105" s="7">
        <f t="shared" si="86"/>
        <v>-0.74006046645114154</v>
      </c>
    </row>
    <row r="106" spans="1:26" s="24" customFormat="1" hidden="1" outlineLevel="2" x14ac:dyDescent="0.25">
      <c r="A106" s="25"/>
      <c r="B106" s="11" t="str">
        <f>CONCATENATE("          ", "6245", " - ", "PRINTING")</f>
        <v xml:space="preserve">          6245 - PRINTING</v>
      </c>
      <c r="C106" s="11"/>
      <c r="D106" s="6"/>
      <c r="E106" s="2"/>
      <c r="F106" s="7">
        <f t="shared" si="79"/>
        <v>0</v>
      </c>
      <c r="G106" s="2"/>
      <c r="H106" s="6">
        <v>260.38</v>
      </c>
      <c r="I106" s="2"/>
      <c r="J106" s="7">
        <f t="shared" si="80"/>
        <v>2.4580901668406753E-4</v>
      </c>
      <c r="K106" s="2"/>
      <c r="L106" s="6">
        <f t="shared" si="81"/>
        <v>-260.38</v>
      </c>
      <c r="M106" s="2"/>
      <c r="N106" s="7">
        <f t="shared" si="82"/>
        <v>-1</v>
      </c>
      <c r="O106" s="11"/>
      <c r="P106" s="6"/>
      <c r="Q106" s="2"/>
      <c r="R106" s="7">
        <f t="shared" si="83"/>
        <v>0</v>
      </c>
      <c r="S106" s="2"/>
      <c r="T106" s="6">
        <v>1882.72</v>
      </c>
      <c r="U106" s="2"/>
      <c r="V106" s="7">
        <f t="shared" si="84"/>
        <v>1.8377056141551215E-4</v>
      </c>
      <c r="W106" s="2"/>
      <c r="X106" s="6">
        <f t="shared" si="85"/>
        <v>-1882.72</v>
      </c>
      <c r="Y106" s="2"/>
      <c r="Z106" s="7">
        <f t="shared" si="86"/>
        <v>-1</v>
      </c>
    </row>
    <row r="107" spans="1:26" s="24" customFormat="1" hidden="1" outlineLevel="2" x14ac:dyDescent="0.25">
      <c r="A107" s="25"/>
      <c r="B107" s="11" t="str">
        <f>CONCATENATE("          ", "6247", " - ", "STORE SUPPLIES")</f>
        <v xml:space="preserve">          6247 - STORE SUPPLIES</v>
      </c>
      <c r="C107" s="11"/>
      <c r="D107" s="6"/>
      <c r="E107" s="2"/>
      <c r="F107" s="7">
        <f t="shared" si="79"/>
        <v>0</v>
      </c>
      <c r="G107" s="2"/>
      <c r="H107" s="6">
        <v>-615.96</v>
      </c>
      <c r="I107" s="2"/>
      <c r="J107" s="7">
        <f t="shared" si="80"/>
        <v>-5.8149059803640159E-4</v>
      </c>
      <c r="K107" s="2"/>
      <c r="L107" s="6">
        <f t="shared" si="81"/>
        <v>615.96</v>
      </c>
      <c r="M107" s="2"/>
      <c r="N107" s="7">
        <f t="shared" si="82"/>
        <v>-1</v>
      </c>
      <c r="O107" s="11"/>
      <c r="P107" s="6"/>
      <c r="Q107" s="2"/>
      <c r="R107" s="7">
        <f t="shared" si="83"/>
        <v>0</v>
      </c>
      <c r="S107" s="2"/>
      <c r="T107" s="6">
        <v>3444.39</v>
      </c>
      <c r="U107" s="2"/>
      <c r="V107" s="7">
        <f t="shared" si="84"/>
        <v>3.3620372866595985E-4</v>
      </c>
      <c r="W107" s="2"/>
      <c r="X107" s="6">
        <f t="shared" si="85"/>
        <v>-3444.39</v>
      </c>
      <c r="Y107" s="2"/>
      <c r="Z107" s="7">
        <f t="shared" si="86"/>
        <v>-1</v>
      </c>
    </row>
    <row r="108" spans="1:26" s="24" customFormat="1" hidden="1" outlineLevel="2" x14ac:dyDescent="0.25">
      <c r="A108" s="25"/>
      <c r="B108" s="11" t="str">
        <f>CONCATENATE("          ", "6248", " - ", "UNIFORMS")</f>
        <v xml:space="preserve">          6248 - UNIFORMS</v>
      </c>
      <c r="C108" s="11"/>
      <c r="D108" s="6"/>
      <c r="E108" s="2"/>
      <c r="F108" s="7">
        <f t="shared" si="79"/>
        <v>0</v>
      </c>
      <c r="G108" s="2"/>
      <c r="H108" s="6">
        <v>2337.96</v>
      </c>
      <c r="I108" s="2"/>
      <c r="J108" s="7">
        <f t="shared" si="80"/>
        <v>2.2071266942418101E-3</v>
      </c>
      <c r="K108" s="2"/>
      <c r="L108" s="6">
        <f t="shared" si="81"/>
        <v>-2337.96</v>
      </c>
      <c r="M108" s="2"/>
      <c r="N108" s="7">
        <f t="shared" si="82"/>
        <v>-1</v>
      </c>
      <c r="O108" s="11"/>
      <c r="P108" s="6">
        <v>4500.59</v>
      </c>
      <c r="Q108" s="2"/>
      <c r="R108" s="7">
        <f t="shared" si="83"/>
        <v>4.7322901669792595E-3</v>
      </c>
      <c r="S108" s="2"/>
      <c r="T108" s="6">
        <v>2186.36</v>
      </c>
      <c r="U108" s="2"/>
      <c r="V108" s="7">
        <f t="shared" si="84"/>
        <v>2.1340858155032038E-4</v>
      </c>
      <c r="W108" s="2"/>
      <c r="X108" s="6">
        <f t="shared" si="85"/>
        <v>2314.23</v>
      </c>
      <c r="Y108" s="2"/>
      <c r="Z108" s="7">
        <f t="shared" si="86"/>
        <v>1.0584853363581477</v>
      </c>
    </row>
    <row r="109" spans="1:26" s="26" customFormat="1" outlineLevel="1" collapsed="1" x14ac:dyDescent="0.25">
      <c r="A109" s="27"/>
      <c r="B109" s="13" t="str">
        <f>CONCATENATE("     ","Telephone/Data Lines                              ")</f>
        <v xml:space="preserve">     Telephone/Data Lines                              </v>
      </c>
      <c r="C109" s="13"/>
      <c r="D109" s="1">
        <f>SUM(OSRRefD22_22x_0)</f>
        <v>496</v>
      </c>
      <c r="E109" s="1"/>
      <c r="F109" s="5">
        <f t="shared" ref="F109:F116" si="87">IF(D$12=0,0,D109/D$12)</f>
        <v>4.1221824861929742E-3</v>
      </c>
      <c r="G109" s="1"/>
      <c r="H109" s="1">
        <f>SUM(OSRRefH22_22x_0)</f>
        <v>3604.76</v>
      </c>
      <c r="I109" s="1"/>
      <c r="J109" s="5">
        <f t="shared" ref="J109:J116" si="88">IF(H$12=0,0,H109/H$12)</f>
        <v>3.4030359896384489E-3</v>
      </c>
      <c r="K109" s="1"/>
      <c r="L109" s="1">
        <f t="shared" ref="L109:L116" si="89">+D109-H109</f>
        <v>-3108.76</v>
      </c>
      <c r="M109" s="1"/>
      <c r="N109" s="5">
        <f t="shared" ref="N109:N116" si="90">IF(H109=0,0,L109/H109)</f>
        <v>-0.86240415450681873</v>
      </c>
      <c r="O109" s="13"/>
      <c r="P109" s="1">
        <f>SUM(OSRRefP22_22x_0)</f>
        <v>8930.59</v>
      </c>
      <c r="Q109" s="1"/>
      <c r="R109" s="5">
        <f t="shared" ref="R109:R116" si="91">IF(P$12=0,0,P109/P$12)</f>
        <v>9.3903562071469097E-3</v>
      </c>
      <c r="S109" s="1"/>
      <c r="T109" s="1">
        <f>SUM(OSRRefT22_22x_0)</f>
        <v>17794.329999999998</v>
      </c>
      <c r="U109" s="1"/>
      <c r="V109" s="5">
        <f t="shared" ref="V109:V116" si="92">IF(T$12=0,0,T109/T$12)</f>
        <v>1.7368881268127444E-3</v>
      </c>
      <c r="W109" s="1"/>
      <c r="X109" s="1">
        <f t="shared" ref="X109:X116" si="93">+P109-T109</f>
        <v>-8863.739999999998</v>
      </c>
      <c r="Y109" s="1"/>
      <c r="Z109" s="5">
        <f t="shared" ref="Z109:Z116" si="94">IF(T109=0,0,X109/T109)</f>
        <v>-0.49812159266462963</v>
      </c>
    </row>
    <row r="110" spans="1:26" s="24" customFormat="1" hidden="1" outlineLevel="2" x14ac:dyDescent="0.25">
      <c r="A110" s="25"/>
      <c r="B110" s="11" t="str">
        <f>CONCATENATE("          ", "6309", " - ", "TELEPHONE")</f>
        <v xml:space="preserve">          6309 - TELEPHONE</v>
      </c>
      <c r="C110" s="11"/>
      <c r="D110" s="6">
        <v>496</v>
      </c>
      <c r="E110" s="2"/>
      <c r="F110" s="7">
        <f t="shared" si="87"/>
        <v>4.1221824861929742E-3</v>
      </c>
      <c r="G110" s="2"/>
      <c r="H110" s="6">
        <v>3604.76</v>
      </c>
      <c r="I110" s="2"/>
      <c r="J110" s="7">
        <f t="shared" si="88"/>
        <v>3.4030359896384489E-3</v>
      </c>
      <c r="K110" s="2"/>
      <c r="L110" s="6">
        <f t="shared" si="89"/>
        <v>-3108.76</v>
      </c>
      <c r="M110" s="2"/>
      <c r="N110" s="7">
        <f t="shared" si="90"/>
        <v>-0.86240415450681873</v>
      </c>
      <c r="O110" s="11"/>
      <c r="P110" s="6">
        <v>8930.59</v>
      </c>
      <c r="Q110" s="2"/>
      <c r="R110" s="7">
        <f t="shared" si="91"/>
        <v>9.3903562071469097E-3</v>
      </c>
      <c r="S110" s="2"/>
      <c r="T110" s="6">
        <v>17794.329999999998</v>
      </c>
      <c r="U110" s="2"/>
      <c r="V110" s="7">
        <f t="shared" si="92"/>
        <v>1.7368881268127444E-3</v>
      </c>
      <c r="W110" s="2"/>
      <c r="X110" s="6">
        <f t="shared" si="93"/>
        <v>-8863.739999999998</v>
      </c>
      <c r="Y110" s="2"/>
      <c r="Z110" s="7">
        <f t="shared" si="94"/>
        <v>-0.49812159266462963</v>
      </c>
    </row>
    <row r="111" spans="1:26" s="26" customFormat="1" outlineLevel="1" collapsed="1" x14ac:dyDescent="0.25">
      <c r="A111" s="27"/>
      <c r="B111" s="13" t="str">
        <f>CONCATENATE("     ","Training                                          ")</f>
        <v xml:space="preserve">     Training                                          </v>
      </c>
      <c r="C111" s="13"/>
      <c r="D111" s="1">
        <f>SUM(OSRRefD22_23x_0)</f>
        <v>0</v>
      </c>
      <c r="E111" s="1"/>
      <c r="F111" s="5">
        <f t="shared" si="87"/>
        <v>0</v>
      </c>
      <c r="G111" s="1"/>
      <c r="H111" s="1">
        <f>SUM(OSRRefH22_23x_0)</f>
        <v>273.32</v>
      </c>
      <c r="I111" s="1"/>
      <c r="J111" s="5">
        <f t="shared" si="88"/>
        <v>2.5802488839422899E-4</v>
      </c>
      <c r="K111" s="1"/>
      <c r="L111" s="1">
        <f t="shared" si="89"/>
        <v>-273.32</v>
      </c>
      <c r="M111" s="1"/>
      <c r="N111" s="5">
        <f t="shared" si="90"/>
        <v>-1</v>
      </c>
      <c r="O111" s="13"/>
      <c r="P111" s="1">
        <f>SUM(OSRRefP22_23x_0)</f>
        <v>1135</v>
      </c>
      <c r="Q111" s="1"/>
      <c r="R111" s="5">
        <f t="shared" si="91"/>
        <v>1.1934322698849394E-3</v>
      </c>
      <c r="S111" s="1"/>
      <c r="T111" s="1">
        <f>SUM(OSRRefT22_23x_0)</f>
        <v>7846.19</v>
      </c>
      <c r="U111" s="1"/>
      <c r="V111" s="5">
        <f t="shared" si="92"/>
        <v>7.6585936372523648E-4</v>
      </c>
      <c r="W111" s="1"/>
      <c r="X111" s="1">
        <f t="shared" si="93"/>
        <v>-6711.19</v>
      </c>
      <c r="Y111" s="1"/>
      <c r="Z111" s="5">
        <f t="shared" si="94"/>
        <v>-0.85534380380796282</v>
      </c>
    </row>
    <row r="112" spans="1:26" s="24" customFormat="1" hidden="1" outlineLevel="2" x14ac:dyDescent="0.25">
      <c r="A112" s="25"/>
      <c r="B112" s="11" t="str">
        <f>CONCATENATE("          ", "6376", " - ", "TRAINING")</f>
        <v xml:space="preserve">          6376 - TRAINING</v>
      </c>
      <c r="C112" s="11"/>
      <c r="D112" s="6"/>
      <c r="E112" s="2"/>
      <c r="F112" s="7">
        <f t="shared" si="87"/>
        <v>0</v>
      </c>
      <c r="G112" s="2"/>
      <c r="H112" s="6">
        <v>273.32</v>
      </c>
      <c r="I112" s="2"/>
      <c r="J112" s="7">
        <f t="shared" si="88"/>
        <v>2.5802488839422899E-4</v>
      </c>
      <c r="K112" s="2"/>
      <c r="L112" s="6">
        <f t="shared" si="89"/>
        <v>-273.32</v>
      </c>
      <c r="M112" s="2"/>
      <c r="N112" s="7">
        <f t="shared" si="90"/>
        <v>-1</v>
      </c>
      <c r="O112" s="11"/>
      <c r="P112" s="6">
        <v>1135</v>
      </c>
      <c r="Q112" s="2"/>
      <c r="R112" s="7">
        <f t="shared" si="91"/>
        <v>1.1934322698849394E-3</v>
      </c>
      <c r="S112" s="2"/>
      <c r="T112" s="6">
        <v>7846.19</v>
      </c>
      <c r="U112" s="2"/>
      <c r="V112" s="7">
        <f t="shared" si="92"/>
        <v>7.6585936372523648E-4</v>
      </c>
      <c r="W112" s="2"/>
      <c r="X112" s="6">
        <f t="shared" si="93"/>
        <v>-6711.19</v>
      </c>
      <c r="Y112" s="2"/>
      <c r="Z112" s="7">
        <f t="shared" si="94"/>
        <v>-0.85534380380796282</v>
      </c>
    </row>
    <row r="113" spans="1:26" s="26" customFormat="1" outlineLevel="1" collapsed="1" x14ac:dyDescent="0.25">
      <c r="A113" s="27"/>
      <c r="B113" s="13" t="str">
        <f>CONCATENATE("     ","Travel                                            ")</f>
        <v xml:space="preserve">     Travel                                            </v>
      </c>
      <c r="C113" s="13"/>
      <c r="D113" s="1">
        <f>SUM(OSRRefD22_24x_0)</f>
        <v>0</v>
      </c>
      <c r="E113" s="1"/>
      <c r="F113" s="5">
        <f t="shared" si="87"/>
        <v>0</v>
      </c>
      <c r="G113" s="1"/>
      <c r="H113" s="1">
        <f>SUM(OSRRefH22_24x_0)</f>
        <v>280.51</v>
      </c>
      <c r="I113" s="1"/>
      <c r="J113" s="5">
        <f t="shared" si="88"/>
        <v>2.648125327215907E-4</v>
      </c>
      <c r="K113" s="1"/>
      <c r="L113" s="1">
        <f t="shared" si="89"/>
        <v>-280.51</v>
      </c>
      <c r="M113" s="1"/>
      <c r="N113" s="5">
        <f t="shared" si="90"/>
        <v>-1</v>
      </c>
      <c r="O113" s="13"/>
      <c r="P113" s="1">
        <f>SUM(OSRRefP22_24x_0)</f>
        <v>332.21</v>
      </c>
      <c r="Q113" s="1"/>
      <c r="R113" s="5">
        <f t="shared" si="91"/>
        <v>3.4931289372552924E-4</v>
      </c>
      <c r="S113" s="1"/>
      <c r="T113" s="1">
        <f>SUM(OSRRefT22_24x_0)</f>
        <v>4963.6099999999997</v>
      </c>
      <c r="U113" s="1"/>
      <c r="V113" s="5">
        <f t="shared" si="92"/>
        <v>4.8449339059852245E-4</v>
      </c>
      <c r="W113" s="1"/>
      <c r="X113" s="1">
        <f t="shared" si="93"/>
        <v>-4631.3999999999996</v>
      </c>
      <c r="Y113" s="1"/>
      <c r="Z113" s="5">
        <f t="shared" si="94"/>
        <v>-0.93307088993696119</v>
      </c>
    </row>
    <row r="114" spans="1:26" s="24" customFormat="1" hidden="1" outlineLevel="2" x14ac:dyDescent="0.25">
      <c r="A114" s="25"/>
      <c r="B114" s="11" t="str">
        <f>CONCATENATE("          ", "6292", " - ", "TRAVEL/CONFERENCE")</f>
        <v xml:space="preserve">          6292 - TRAVEL/CONFERENCE</v>
      </c>
      <c r="C114" s="11"/>
      <c r="D114" s="6"/>
      <c r="E114" s="2"/>
      <c r="F114" s="7">
        <f t="shared" si="87"/>
        <v>0</v>
      </c>
      <c r="G114" s="2"/>
      <c r="H114" s="6">
        <v>176.42</v>
      </c>
      <c r="I114" s="2"/>
      <c r="J114" s="7">
        <f t="shared" si="88"/>
        <v>1.6654745649974343E-4</v>
      </c>
      <c r="K114" s="2"/>
      <c r="L114" s="6">
        <f t="shared" si="89"/>
        <v>-176.42</v>
      </c>
      <c r="M114" s="2"/>
      <c r="N114" s="7">
        <f t="shared" si="90"/>
        <v>-1</v>
      </c>
      <c r="O114" s="11"/>
      <c r="P114" s="6"/>
      <c r="Q114" s="2"/>
      <c r="R114" s="7">
        <f t="shared" si="91"/>
        <v>0</v>
      </c>
      <c r="S114" s="2"/>
      <c r="T114" s="6">
        <v>4041.3</v>
      </c>
      <c r="U114" s="2"/>
      <c r="V114" s="7">
        <f t="shared" si="92"/>
        <v>3.9446756280727313E-4</v>
      </c>
      <c r="W114" s="2"/>
      <c r="X114" s="6">
        <f t="shared" si="93"/>
        <v>-4041.3</v>
      </c>
      <c r="Y114" s="2"/>
      <c r="Z114" s="7">
        <f t="shared" si="94"/>
        <v>-1</v>
      </c>
    </row>
    <row r="115" spans="1:26" s="24" customFormat="1" hidden="1" outlineLevel="2" x14ac:dyDescent="0.25">
      <c r="A115" s="25"/>
      <c r="B115" s="11" t="str">
        <f>CONCATENATE("          ", "6294", " - ", "TRAVEL OPERATIONAL")</f>
        <v xml:space="preserve">          6294 - TRAVEL OPERATIONAL</v>
      </c>
      <c r="C115" s="11"/>
      <c r="D115" s="6"/>
      <c r="E115" s="2"/>
      <c r="F115" s="7">
        <f t="shared" si="87"/>
        <v>0</v>
      </c>
      <c r="G115" s="2"/>
      <c r="H115" s="6"/>
      <c r="I115" s="2"/>
      <c r="J115" s="7">
        <f t="shared" si="88"/>
        <v>0</v>
      </c>
      <c r="K115" s="2"/>
      <c r="L115" s="6">
        <f t="shared" si="89"/>
        <v>0</v>
      </c>
      <c r="M115" s="2"/>
      <c r="N115" s="7">
        <f t="shared" si="90"/>
        <v>0</v>
      </c>
      <c r="O115" s="11"/>
      <c r="P115" s="6"/>
      <c r="Q115" s="2"/>
      <c r="R115" s="7">
        <f t="shared" si="91"/>
        <v>0</v>
      </c>
      <c r="S115" s="2"/>
      <c r="T115" s="6">
        <v>45.49</v>
      </c>
      <c r="U115" s="2"/>
      <c r="V115" s="7">
        <f t="shared" si="92"/>
        <v>4.4402369119102411E-6</v>
      </c>
      <c r="W115" s="2"/>
      <c r="X115" s="6">
        <f t="shared" si="93"/>
        <v>-45.49</v>
      </c>
      <c r="Y115" s="2"/>
      <c r="Z115" s="7">
        <f t="shared" si="94"/>
        <v>-1</v>
      </c>
    </row>
    <row r="116" spans="1:26" s="24" customFormat="1" hidden="1" outlineLevel="2" x14ac:dyDescent="0.25">
      <c r="A116" s="25"/>
      <c r="B116" s="11" t="str">
        <f>CONCATENATE("          ", "6298", " - ", "VEHICLE MILEAGE")</f>
        <v xml:space="preserve">          6298 - VEHICLE MILEAGE</v>
      </c>
      <c r="C116" s="11"/>
      <c r="D116" s="6"/>
      <c r="E116" s="2"/>
      <c r="F116" s="7">
        <f t="shared" si="87"/>
        <v>0</v>
      </c>
      <c r="G116" s="2"/>
      <c r="H116" s="6">
        <v>104.09</v>
      </c>
      <c r="I116" s="2"/>
      <c r="J116" s="7">
        <f t="shared" si="88"/>
        <v>9.826507622184727E-5</v>
      </c>
      <c r="K116" s="2"/>
      <c r="L116" s="6">
        <f t="shared" si="89"/>
        <v>-104.09</v>
      </c>
      <c r="M116" s="2"/>
      <c r="N116" s="7">
        <f t="shared" si="90"/>
        <v>-1</v>
      </c>
      <c r="O116" s="11"/>
      <c r="P116" s="6">
        <v>332.21</v>
      </c>
      <c r="Q116" s="2"/>
      <c r="R116" s="7">
        <f t="shared" si="91"/>
        <v>3.4931289372552924E-4</v>
      </c>
      <c r="S116" s="2"/>
      <c r="T116" s="6">
        <v>876.82</v>
      </c>
      <c r="U116" s="2"/>
      <c r="V116" s="7">
        <f t="shared" si="92"/>
        <v>8.5585590879339138E-5</v>
      </c>
      <c r="W116" s="2"/>
      <c r="X116" s="6">
        <f t="shared" si="93"/>
        <v>-544.61000000000013</v>
      </c>
      <c r="Y116" s="2"/>
      <c r="Z116" s="7">
        <f t="shared" si="94"/>
        <v>-0.62111950001140492</v>
      </c>
    </row>
    <row r="117" spans="1:26" s="26" customFormat="1" outlineLevel="1" collapsed="1" x14ac:dyDescent="0.25">
      <c r="A117" s="27"/>
      <c r="B117" s="13" t="str">
        <f>CONCATENATE("     ","Utilities                                         ")</f>
        <v xml:space="preserve">     Utilities                                         </v>
      </c>
      <c r="C117" s="13"/>
      <c r="D117" s="1">
        <f>SUM(OSRRefD22_25x_0)</f>
        <v>3660</v>
      </c>
      <c r="E117" s="1"/>
      <c r="F117" s="5">
        <f t="shared" ref="F117:F118" si="95">IF(D$12=0,0,D117/D$12)</f>
        <v>3.0417717539246544E-2</v>
      </c>
      <c r="G117" s="1"/>
      <c r="H117" s="1">
        <f>SUM(OSRRefH22_25x_0)</f>
        <v>15583</v>
      </c>
      <c r="I117" s="1"/>
      <c r="J117" s="5">
        <f t="shared" ref="J117:J118" si="96">IF(H$12=0,0,H117/H$12)</f>
        <v>1.4710968227159629E-2</v>
      </c>
      <c r="K117" s="1"/>
      <c r="L117" s="1">
        <f t="shared" ref="L117:L118" si="97">+D117-H117</f>
        <v>-11923</v>
      </c>
      <c r="M117" s="1"/>
      <c r="N117" s="5">
        <f t="shared" ref="N117:N118" si="98">IF(H117=0,0,L117/H117)</f>
        <v>-0.765128665853815</v>
      </c>
      <c r="O117" s="13"/>
      <c r="P117" s="1">
        <f>SUM(OSRRefP22_25x_0)</f>
        <v>4652</v>
      </c>
      <c r="Q117" s="1"/>
      <c r="R117" s="5">
        <f t="shared" ref="R117:R118" si="99">IF(P$12=0,0,P117/P$12)</f>
        <v>4.8914950832640866E-3</v>
      </c>
      <c r="S117" s="1"/>
      <c r="T117" s="1">
        <f>SUM(OSRRefT22_25x_0)</f>
        <v>112470</v>
      </c>
      <c r="U117" s="1"/>
      <c r="V117" s="5">
        <f t="shared" ref="V117:V118" si="100">IF(T$12=0,0,T117/T$12)</f>
        <v>1.0978092888163217E-2</v>
      </c>
      <c r="W117" s="1"/>
      <c r="X117" s="1">
        <f t="shared" ref="X117:X118" si="101">+P117-T117</f>
        <v>-107818</v>
      </c>
      <c r="Y117" s="1"/>
      <c r="Z117" s="5">
        <f t="shared" ref="Z117:Z118" si="102">IF(T117=0,0,X117/T117)</f>
        <v>-0.95863785898461817</v>
      </c>
    </row>
    <row r="118" spans="1:26" s="24" customFormat="1" hidden="1" outlineLevel="2" x14ac:dyDescent="0.25">
      <c r="A118" s="25"/>
      <c r="B118" s="11" t="str">
        <f>CONCATENATE("          ", "6274", " - ", "UTILITIES")</f>
        <v xml:space="preserve">          6274 - UTILITIES</v>
      </c>
      <c r="C118" s="11"/>
      <c r="D118" s="6">
        <v>3660</v>
      </c>
      <c r="E118" s="2"/>
      <c r="F118" s="7">
        <f t="shared" si="95"/>
        <v>3.0417717539246544E-2</v>
      </c>
      <c r="G118" s="2"/>
      <c r="H118" s="6">
        <v>15583</v>
      </c>
      <c r="I118" s="2"/>
      <c r="J118" s="7">
        <f t="shared" si="96"/>
        <v>1.4710968227159629E-2</v>
      </c>
      <c r="K118" s="2"/>
      <c r="L118" s="6">
        <f t="shared" si="97"/>
        <v>-11923</v>
      </c>
      <c r="M118" s="2"/>
      <c r="N118" s="7">
        <f t="shared" si="98"/>
        <v>-0.765128665853815</v>
      </c>
      <c r="O118" s="11"/>
      <c r="P118" s="6">
        <v>4652</v>
      </c>
      <c r="Q118" s="2"/>
      <c r="R118" s="7">
        <f t="shared" si="99"/>
        <v>4.8914950832640866E-3</v>
      </c>
      <c r="S118" s="2"/>
      <c r="T118" s="6">
        <v>112470</v>
      </c>
      <c r="U118" s="2"/>
      <c r="V118" s="7">
        <f t="shared" si="100"/>
        <v>1.0978092888163217E-2</v>
      </c>
      <c r="W118" s="2"/>
      <c r="X118" s="6">
        <f t="shared" si="101"/>
        <v>-107818</v>
      </c>
      <c r="Y118" s="2"/>
      <c r="Z118" s="7">
        <f t="shared" si="102"/>
        <v>-0.95863785898461817</v>
      </c>
    </row>
    <row r="119" spans="1:26" s="61" customFormat="1" x14ac:dyDescent="0.25">
      <c r="A119" s="37"/>
      <c r="B119" s="37"/>
      <c r="C119" s="37"/>
      <c r="D119" s="1"/>
      <c r="E119" s="1"/>
      <c r="F119" s="5"/>
      <c r="G119" s="1"/>
      <c r="H119" s="1"/>
      <c r="I119" s="1"/>
      <c r="J119" s="5"/>
      <c r="K119" s="1"/>
      <c r="L119" s="1"/>
      <c r="M119" s="1"/>
      <c r="N119" s="5"/>
      <c r="O119" s="37"/>
      <c r="P119" s="1"/>
      <c r="Q119" s="1"/>
      <c r="R119" s="5"/>
      <c r="S119" s="1"/>
      <c r="T119" s="1"/>
      <c r="U119" s="1"/>
      <c r="V119" s="5"/>
      <c r="W119" s="1"/>
      <c r="X119" s="1"/>
      <c r="Y119" s="1"/>
      <c r="Z119" s="5"/>
    </row>
    <row r="120" spans="1:26" s="23" customFormat="1" collapsed="1" x14ac:dyDescent="0.25">
      <c r="A120" s="10"/>
      <c r="B120" s="29" t="s">
        <v>0</v>
      </c>
      <c r="C120" s="10"/>
      <c r="D120" s="4">
        <f>SUM(OSRRefD25x_0)</f>
        <v>976.87</v>
      </c>
      <c r="E120" s="4"/>
      <c r="F120" s="12">
        <f t="shared" ref="F120:F123" si="103">IF(D$12=0,0,D120/D$12)</f>
        <v>8.118621784853489E-3</v>
      </c>
      <c r="G120" s="4"/>
      <c r="H120" s="4">
        <f>SUM(OSRRefH25x_0)</f>
        <v>65507.39</v>
      </c>
      <c r="I120" s="4"/>
      <c r="J120" s="12">
        <f t="shared" ref="J120:J123" si="104">IF(H$12=0,0,H120/H$12)</f>
        <v>6.1841566638911279E-2</v>
      </c>
      <c r="K120" s="4"/>
      <c r="L120" s="4">
        <f t="shared" ref="L120:L123" si="105">+D120-H120</f>
        <v>-64530.52</v>
      </c>
      <c r="M120" s="4"/>
      <c r="N120" s="12">
        <f t="shared" ref="N120:N123" si="106">IF(H120=0,0,L120/H120)</f>
        <v>-0.98508763667732746</v>
      </c>
      <c r="O120" s="10"/>
      <c r="P120" s="4">
        <f>SUM(OSRRefP25x_0)</f>
        <v>16348.34</v>
      </c>
      <c r="Q120" s="4"/>
      <c r="R120" s="12">
        <f t="shared" ref="R120:R123" si="107">IF(P$12=0,0,P120/P$12)</f>
        <v>1.7189988118987445E-2</v>
      </c>
      <c r="S120" s="4"/>
      <c r="T120" s="4">
        <f>SUM(OSRRefT25x_0)</f>
        <v>579944.91999999993</v>
      </c>
      <c r="U120" s="4"/>
      <c r="V120" s="12">
        <f t="shared" ref="V120:V123" si="108">IF(T$12=0,0,T120/T$12)</f>
        <v>5.6607888341587843E-2</v>
      </c>
      <c r="W120" s="4"/>
      <c r="X120" s="4">
        <f t="shared" ref="X120:X123" si="109">+P120-T120</f>
        <v>-563596.57999999996</v>
      </c>
      <c r="Y120" s="4"/>
      <c r="Z120" s="12">
        <f t="shared" ref="Z120:Z123" si="110">IF(T120=0,0,X120/T120)</f>
        <v>-0.97181052986894001</v>
      </c>
    </row>
    <row r="121" spans="1:26" s="24" customFormat="1" hidden="1" outlineLevel="1" x14ac:dyDescent="0.25">
      <c r="A121" s="44"/>
      <c r="B121" s="11" t="str">
        <f>CONCATENATE("          ", "9150", " - ", "MISC. INCOME")</f>
        <v xml:space="preserve">          9150 - MISC. INCOME</v>
      </c>
      <c r="C121" s="11"/>
      <c r="D121" s="2">
        <f>0</f>
        <v>0</v>
      </c>
      <c r="E121" s="2"/>
      <c r="F121" s="19">
        <f t="shared" si="103"/>
        <v>0</v>
      </c>
      <c r="G121" s="2"/>
      <c r="H121" s="2">
        <f>--47160.59</f>
        <v>47160.59</v>
      </c>
      <c r="I121" s="2"/>
      <c r="J121" s="19">
        <f t="shared" si="104"/>
        <v>4.4521461917737412E-2</v>
      </c>
      <c r="K121" s="2"/>
      <c r="L121" s="2">
        <f t="shared" si="105"/>
        <v>-47160.59</v>
      </c>
      <c r="M121" s="2"/>
      <c r="N121" s="19">
        <f t="shared" si="106"/>
        <v>-1</v>
      </c>
      <c r="O121" s="11"/>
      <c r="P121" s="2">
        <f>--1728.05</f>
        <v>1728.05</v>
      </c>
      <c r="Q121" s="2"/>
      <c r="R121" s="19">
        <f t="shared" si="107"/>
        <v>1.8170137744270216E-3</v>
      </c>
      <c r="S121" s="2"/>
      <c r="T121" s="2">
        <f>--230131.86</f>
        <v>230131.86</v>
      </c>
      <c r="U121" s="2"/>
      <c r="V121" s="19">
        <f t="shared" si="108"/>
        <v>2.2462958438746093E-2</v>
      </c>
      <c r="W121" s="2"/>
      <c r="X121" s="2">
        <f t="shared" si="109"/>
        <v>-228403.81</v>
      </c>
      <c r="Y121" s="2"/>
      <c r="Z121" s="19">
        <f t="shared" si="110"/>
        <v>-0.99249104404752997</v>
      </c>
    </row>
    <row r="122" spans="1:26" s="24" customFormat="1" hidden="1" outlineLevel="1" x14ac:dyDescent="0.25">
      <c r="A122" s="44"/>
      <c r="B122" s="11" t="str">
        <f>CONCATENATE("          ", "9160", " - ", "MISC. INCOME")</f>
        <v xml:space="preserve">          9160 - MISC. INCOME</v>
      </c>
      <c r="C122" s="11"/>
      <c r="D122" s="2">
        <f>--189.92</f>
        <v>189.92</v>
      </c>
      <c r="E122" s="2"/>
      <c r="F122" s="19">
        <f t="shared" si="103"/>
        <v>1.5783969713261483E-3</v>
      </c>
      <c r="G122" s="2"/>
      <c r="H122" s="2">
        <f>--18346.8</f>
        <v>18346.8</v>
      </c>
      <c r="I122" s="2"/>
      <c r="J122" s="19">
        <f t="shared" si="104"/>
        <v>1.7320104721173863E-2</v>
      </c>
      <c r="K122" s="2"/>
      <c r="L122" s="2">
        <f t="shared" si="105"/>
        <v>-18156.88</v>
      </c>
      <c r="M122" s="2"/>
      <c r="N122" s="19">
        <f t="shared" si="106"/>
        <v>-0.98964833104410588</v>
      </c>
      <c r="O122" s="11"/>
      <c r="P122" s="2">
        <f>--12518.17</f>
        <v>12518.17</v>
      </c>
      <c r="Q122" s="2"/>
      <c r="R122" s="19">
        <f t="shared" si="107"/>
        <v>1.3162632632515905E-2</v>
      </c>
      <c r="S122" s="2"/>
      <c r="T122" s="2">
        <f>--122397</f>
        <v>122397</v>
      </c>
      <c r="U122" s="2"/>
      <c r="V122" s="19">
        <f t="shared" si="108"/>
        <v>1.1947058195363326E-2</v>
      </c>
      <c r="W122" s="2"/>
      <c r="X122" s="2">
        <f t="shared" si="109"/>
        <v>-109878.83</v>
      </c>
      <c r="Y122" s="2"/>
      <c r="Z122" s="19">
        <f t="shared" si="110"/>
        <v>-0.89772486253748052</v>
      </c>
    </row>
    <row r="123" spans="1:26" s="24" customFormat="1" hidden="1" outlineLevel="1" x14ac:dyDescent="0.25">
      <c r="A123" s="44"/>
      <c r="B123" s="11" t="str">
        <f>CONCATENATE("          ", "9165", " - ", "OTHER INCOME")</f>
        <v xml:space="preserve">          9165 - OTHER INCOME</v>
      </c>
      <c r="C123" s="11"/>
      <c r="D123" s="2">
        <f>--786.95</f>
        <v>786.95</v>
      </c>
      <c r="E123" s="2"/>
      <c r="F123" s="19">
        <f t="shared" si="103"/>
        <v>6.5402248135273408E-3</v>
      </c>
      <c r="G123" s="2"/>
      <c r="H123" s="2">
        <f>0</f>
        <v>0</v>
      </c>
      <c r="I123" s="2"/>
      <c r="J123" s="19">
        <f t="shared" si="104"/>
        <v>0</v>
      </c>
      <c r="K123" s="2"/>
      <c r="L123" s="2">
        <f t="shared" si="105"/>
        <v>786.95</v>
      </c>
      <c r="M123" s="2"/>
      <c r="N123" s="19">
        <f t="shared" si="106"/>
        <v>0</v>
      </c>
      <c r="O123" s="11"/>
      <c r="P123" s="2">
        <f>--2102.12</f>
        <v>2102.12</v>
      </c>
      <c r="Q123" s="2"/>
      <c r="R123" s="19">
        <f t="shared" si="107"/>
        <v>2.2103417120445186E-3</v>
      </c>
      <c r="S123" s="2"/>
      <c r="T123" s="2">
        <f>--227416.06</f>
        <v>227416.06</v>
      </c>
      <c r="U123" s="2"/>
      <c r="V123" s="19">
        <f t="shared" si="108"/>
        <v>2.2197871707478434E-2</v>
      </c>
      <c r="W123" s="2"/>
      <c r="X123" s="2">
        <f t="shared" si="109"/>
        <v>-225313.94</v>
      </c>
      <c r="Y123" s="2"/>
      <c r="Z123" s="19">
        <f t="shared" si="110"/>
        <v>-0.99075650154171169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10"/>
      <c r="B125" s="28" t="s">
        <v>3</v>
      </c>
      <c r="C125" s="28"/>
      <c r="D125" s="20">
        <f>+D28-D30+D120</f>
        <v>-205890.20000000013</v>
      </c>
      <c r="E125" s="14"/>
      <c r="F125" s="22">
        <f>IF(D$12=0,0,D125/D$12)</f>
        <v>-1.7111229365297767</v>
      </c>
      <c r="G125" s="14"/>
      <c r="H125" s="20">
        <f>+H28-H30+H120</f>
        <v>-101529.1800000003</v>
      </c>
      <c r="I125" s="14"/>
      <c r="J125" s="22">
        <f>IF(H$12=0,0,H125/H$12)</f>
        <v>-9.584756087464387E-2</v>
      </c>
      <c r="K125" s="15"/>
      <c r="L125" s="20">
        <f>+D125-H125</f>
        <v>-104361.01999999983</v>
      </c>
      <c r="M125" s="15"/>
      <c r="N125" s="22">
        <f>IF(H125=0,0,L125/H125)</f>
        <v>1.0278918829049888</v>
      </c>
      <c r="O125" s="29"/>
      <c r="P125" s="20">
        <f>+P28-P30+P120</f>
        <v>-1707833.1299999992</v>
      </c>
      <c r="Q125" s="14"/>
      <c r="R125" s="22">
        <f>IF(P$12=0,0,P125/P$12)</f>
        <v>-1.7957560959652863</v>
      </c>
      <c r="S125" s="14"/>
      <c r="T125" s="20">
        <f>+T28-T30+T120</f>
        <v>1303852.0900000017</v>
      </c>
      <c r="U125" s="14"/>
      <c r="V125" s="22">
        <f>IF(T$12=0,0,T125/T$12)</f>
        <v>0.12726779902592483</v>
      </c>
      <c r="W125" s="15"/>
      <c r="X125" s="20">
        <f>+P125-T125</f>
        <v>-3011685.2200000007</v>
      </c>
      <c r="Y125" s="15"/>
      <c r="Z125" s="22">
        <f>IF(T125=0,0,X125/T125)</f>
        <v>-2.309836555157109</v>
      </c>
    </row>
    <row r="126" spans="1:26" x14ac:dyDescent="0.25">
      <c r="A126" s="9"/>
      <c r="B126" s="10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51"/>
      <c r="B127" s="10" t="s">
        <v>13</v>
      </c>
      <c r="C127" s="10"/>
      <c r="D127" s="4">
        <v>18939.02</v>
      </c>
      <c r="E127" s="4"/>
      <c r="F127" s="12">
        <f>IF(D$12=0,0,D127/D$12)</f>
        <v>0.15739938820495658</v>
      </c>
      <c r="G127" s="4"/>
      <c r="H127" s="4">
        <v>76279.83</v>
      </c>
      <c r="I127" s="4"/>
      <c r="J127" s="12">
        <f>IF(H$12=0,0,H127/H$12)</f>
        <v>7.201117599327074E-2</v>
      </c>
      <c r="K127" s="4"/>
      <c r="L127" s="4">
        <f>+D127-H127</f>
        <v>-57340.81</v>
      </c>
      <c r="M127" s="4"/>
      <c r="N127" s="12">
        <f>IF(H127=0,0,L127/H127)</f>
        <v>-0.75171654158117551</v>
      </c>
      <c r="O127" s="10"/>
      <c r="P127" s="4">
        <v>172638.66</v>
      </c>
      <c r="Q127" s="4"/>
      <c r="R127" s="12">
        <f>IF(P$12=0,0,P127/P$12)</f>
        <v>0.18152647389752802</v>
      </c>
      <c r="S127" s="4"/>
      <c r="T127" s="4">
        <v>1068403.06</v>
      </c>
      <c r="U127" s="4"/>
      <c r="V127" s="12">
        <f>IF(T$12=0,0,T127/T$12)</f>
        <v>0.1042858365313223</v>
      </c>
      <c r="W127" s="4"/>
      <c r="X127" s="4">
        <f>+P127-T127</f>
        <v>-895764.4</v>
      </c>
      <c r="Y127" s="4"/>
      <c r="Z127" s="12">
        <f>IF(T127=0,0,X127/T127)</f>
        <v>-0.83841429656706523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8" t="s">
        <v>4</v>
      </c>
      <c r="C129" s="28"/>
      <c r="D129" s="30">
        <f>+D125-D127</f>
        <v>-224829.22000000012</v>
      </c>
      <c r="E129" s="14"/>
      <c r="F129" s="36">
        <f>IF(D$12=0,0,D129/D$12)</f>
        <v>-1.8685223247347331</v>
      </c>
      <c r="G129" s="14"/>
      <c r="H129" s="30">
        <f>+H125-H127</f>
        <v>-177809.0100000003</v>
      </c>
      <c r="I129" s="14"/>
      <c r="J129" s="36">
        <f>IF(H$12=0,0,H129/H$12)</f>
        <v>-0.16785873686791461</v>
      </c>
      <c r="K129" s="15"/>
      <c r="L129" s="30">
        <f>D129-H129</f>
        <v>-47020.209999999817</v>
      </c>
      <c r="M129" s="15"/>
      <c r="N129" s="36">
        <f>IF(H129=0,0,L129/H129)</f>
        <v>0.26444222370958442</v>
      </c>
      <c r="O129" s="29"/>
      <c r="P129" s="30">
        <f>+P125-P127</f>
        <v>-1880471.7899999991</v>
      </c>
      <c r="Q129" s="14"/>
      <c r="R129" s="36">
        <f>IF(P$12=0,0,P129/P$12)</f>
        <v>-1.9772825698628143</v>
      </c>
      <c r="S129" s="14"/>
      <c r="T129" s="30">
        <f>+T125-T127</f>
        <v>235449.03000000166</v>
      </c>
      <c r="U129" s="14"/>
      <c r="V129" s="36">
        <f>IF(T$12=0,0,T129/T$12)</f>
        <v>2.2981962494602527E-2</v>
      </c>
      <c r="W129" s="15"/>
      <c r="X129" s="30">
        <f>P129-T129</f>
        <v>-2115920.8200000008</v>
      </c>
      <c r="Y129" s="15"/>
      <c r="Z129" s="36">
        <f>IF(T129=0,0,X129/T129)</f>
        <v>-8.9867468130999981</v>
      </c>
    </row>
    <row r="130" spans="1:26" ht="15.75" thickTop="1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8" t="s">
        <v>5</v>
      </c>
      <c r="C132" s="28"/>
      <c r="D132" s="32">
        <f>SUM(D129:D131)</f>
        <v>-224829.22000000012</v>
      </c>
      <c r="E132" s="14"/>
      <c r="F132" s="31">
        <f>IF(D$12=0,0,D132/D$12)</f>
        <v>-1.8685223247347331</v>
      </c>
      <c r="G132" s="14"/>
      <c r="H132" s="32">
        <f>SUM(H129:H131)</f>
        <v>-177809.0100000003</v>
      </c>
      <c r="I132" s="14"/>
      <c r="J132" s="31">
        <f>IF(H$12=0,0,H132/H$12)</f>
        <v>-0.16785873686791461</v>
      </c>
      <c r="K132" s="15"/>
      <c r="L132" s="32">
        <f>+D132-H132</f>
        <v>-47020.209999999817</v>
      </c>
      <c r="M132" s="15"/>
      <c r="N132" s="31">
        <f>IF(H132=0,0,L132/H132)</f>
        <v>0.26444222370958442</v>
      </c>
      <c r="O132" s="29"/>
      <c r="P132" s="32">
        <f>SUM(P129:P131)</f>
        <v>-1880471.7899999991</v>
      </c>
      <c r="Q132" s="14"/>
      <c r="R132" s="31">
        <f>IF(P$12=0,0,P132/P$12)</f>
        <v>-1.9772825698628143</v>
      </c>
      <c r="S132" s="14"/>
      <c r="T132" s="32">
        <f>SUM(T129:T131)</f>
        <v>235449.03000000166</v>
      </c>
      <c r="U132" s="14"/>
      <c r="V132" s="31">
        <f>IF(T$12=0,0,T132/T$12)</f>
        <v>2.2981962494602527E-2</v>
      </c>
      <c r="W132" s="15"/>
      <c r="X132" s="32">
        <f>+P132-T132</f>
        <v>-2115920.8200000008</v>
      </c>
      <c r="Y132" s="15"/>
      <c r="Z132" s="31">
        <f>IF(T132=0,0,X132/T132)</f>
        <v>-8.9867468130999981</v>
      </c>
    </row>
    <row r="133" spans="1:26" ht="15.75" thickTop="1" x14ac:dyDescent="0.25">
      <c r="A133" s="9"/>
      <c r="C133" s="9"/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  <row r="134" spans="1:26" x14ac:dyDescent="0.25">
      <c r="A134" s="9"/>
      <c r="B134" s="62">
        <v>44238.495919525463</v>
      </c>
      <c r="D134" s="18"/>
      <c r="E134" s="18"/>
      <c r="G134" s="18"/>
      <c r="H134" s="18"/>
      <c r="I134" s="18"/>
      <c r="J134" s="42"/>
      <c r="K134" s="18"/>
      <c r="L134" s="18"/>
      <c r="M134" s="18"/>
      <c r="P134" s="18"/>
      <c r="Q134" s="18"/>
      <c r="R134" s="42"/>
      <c r="S134" s="18"/>
      <c r="T134" s="18"/>
      <c r="U134" s="18"/>
      <c r="V134" s="42"/>
      <c r="W134" s="18"/>
      <c r="X134" s="18"/>
    </row>
    <row r="135" spans="1:26" x14ac:dyDescent="0.25">
      <c r="A135" s="9"/>
      <c r="B135" s="59" t="s">
        <v>313</v>
      </c>
      <c r="D135" s="18"/>
      <c r="E135" s="18"/>
      <c r="G135" s="18"/>
      <c r="H135" s="18"/>
      <c r="I135" s="18"/>
      <c r="J135" s="42"/>
      <c r="K135" s="18"/>
      <c r="L135" s="18"/>
      <c r="M135" s="18"/>
      <c r="P135" s="18"/>
      <c r="Q135" s="18"/>
      <c r="R135" s="42"/>
      <c r="S135" s="18"/>
      <c r="T135" s="18"/>
      <c r="U135" s="18"/>
      <c r="V135" s="42"/>
      <c r="W135" s="18"/>
      <c r="X135" s="18"/>
    </row>
    <row r="136" spans="1:26" x14ac:dyDescent="0.25">
      <c r="A136" s="9"/>
      <c r="B136" s="56"/>
      <c r="D136" s="18"/>
      <c r="E136" s="18"/>
      <c r="G136" s="18"/>
      <c r="H136" s="18"/>
      <c r="I136" s="18"/>
      <c r="J136" s="42"/>
      <c r="K136" s="18"/>
      <c r="L136" s="18"/>
      <c r="M136" s="18"/>
      <c r="P136" s="18"/>
      <c r="Q136" s="18"/>
      <c r="R136" s="42"/>
      <c r="S136" s="18"/>
      <c r="T136" s="18"/>
      <c r="U136" s="18"/>
      <c r="V136" s="42"/>
      <c r="W136" s="18"/>
      <c r="X136" s="18"/>
    </row>
    <row r="137" spans="1:26" x14ac:dyDescent="0.25">
      <c r="D137" s="18"/>
      <c r="E137" s="18"/>
      <c r="G137" s="18"/>
      <c r="H137" s="18"/>
      <c r="I137" s="18"/>
      <c r="J137" s="42"/>
      <c r="K137" s="18"/>
      <c r="L137" s="18"/>
      <c r="M137" s="18"/>
      <c r="P137" s="18"/>
      <c r="Q137" s="18"/>
      <c r="R137" s="42"/>
      <c r="S137" s="18"/>
      <c r="T137" s="18"/>
      <c r="U137" s="18"/>
      <c r="V137" s="42"/>
      <c r="W137" s="18"/>
      <c r="X137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312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82073.460000000006</v>
      </c>
      <c r="E12" s="4"/>
      <c r="F12" s="12"/>
      <c r="G12" s="4"/>
      <c r="H12" s="4">
        <f>SUM(OSRRefH13x_0)</f>
        <v>591479.30000000005</v>
      </c>
      <c r="I12" s="4"/>
      <c r="J12" s="12"/>
      <c r="K12" s="4"/>
      <c r="L12" s="4">
        <f t="shared" ref="L12:L28" si="0">+D12-H12</f>
        <v>-509405.84</v>
      </c>
      <c r="M12" s="4"/>
      <c r="N12" s="12">
        <f t="shared" ref="N12:N28" si="1">IF(H12=0,0,L12/H12)</f>
        <v>-0.86124035109935371</v>
      </c>
      <c r="O12" s="10"/>
      <c r="P12" s="4">
        <f>SUM(OSRRefP13x_0)</f>
        <v>278873.93000000005</v>
      </c>
      <c r="Q12" s="4"/>
      <c r="R12" s="12"/>
      <c r="S12" s="4"/>
      <c r="T12" s="4">
        <f>SUM(OSRRefT13x_0)</f>
        <v>5315629.1700000009</v>
      </c>
      <c r="U12" s="4"/>
      <c r="V12" s="12"/>
      <c r="W12" s="4"/>
      <c r="X12" s="4">
        <f t="shared" ref="X12:X28" si="2">+P12-T12</f>
        <v>-5036755.2400000012</v>
      </c>
      <c r="Y12" s="4"/>
      <c r="Z12" s="12">
        <f t="shared" ref="Z12:Z28" si="3">IF(T12=0,0,X12/T12)</f>
        <v>-0.9475369855418263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5" si="4">0</f>
        <v>0</v>
      </c>
      <c r="E13" s="2"/>
      <c r="F13" s="19"/>
      <c r="G13" s="2"/>
      <c r="H13" s="2">
        <f>--21457.4</f>
        <v>21457.4</v>
      </c>
      <c r="I13" s="2"/>
      <c r="J13" s="19"/>
      <c r="K13" s="2"/>
      <c r="L13" s="2">
        <f t="shared" si="0"/>
        <v>-21457.4</v>
      </c>
      <c r="M13" s="2"/>
      <c r="N13" s="19">
        <f t="shared" si="1"/>
        <v>-1</v>
      </c>
      <c r="O13" s="11"/>
      <c r="P13" s="2">
        <f>--444.59</f>
        <v>444.59</v>
      </c>
      <c r="Q13" s="2"/>
      <c r="R13" s="19"/>
      <c r="S13" s="2"/>
      <c r="T13" s="2">
        <f>--211406.28</f>
        <v>211406.28</v>
      </c>
      <c r="U13" s="2"/>
      <c r="V13" s="19"/>
      <c r="W13" s="2"/>
      <c r="X13" s="2">
        <f t="shared" si="2"/>
        <v>-210961.69</v>
      </c>
      <c r="Y13" s="2"/>
      <c r="Z13" s="19">
        <f t="shared" si="3"/>
        <v>-0.99789698773376079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>
        <f>--302.09</f>
        <v>302.08999999999997</v>
      </c>
      <c r="I14" s="2"/>
      <c r="J14" s="19"/>
      <c r="K14" s="2"/>
      <c r="L14" s="2">
        <f t="shared" si="0"/>
        <v>-302.08999999999997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--2504.01</f>
        <v>2504.0100000000002</v>
      </c>
      <c r="U14" s="2"/>
      <c r="V14" s="19"/>
      <c r="W14" s="2"/>
      <c r="X14" s="2">
        <f t="shared" si="2"/>
        <v>-2504.0100000000002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"4051", " - ", "TAXABLE SALES-FOOD")</f>
        <v xml:space="preserve">          4051 - TAXABLE SALES-FOOD</v>
      </c>
      <c r="C15" s="11"/>
      <c r="D15" s="2">
        <f t="shared" si="4"/>
        <v>0</v>
      </c>
      <c r="E15" s="2"/>
      <c r="F15" s="19"/>
      <c r="G15" s="2"/>
      <c r="H15" s="2">
        <f>--43102.12</f>
        <v>43102.12</v>
      </c>
      <c r="I15" s="2"/>
      <c r="J15" s="19"/>
      <c r="K15" s="2"/>
      <c r="L15" s="2">
        <f t="shared" si="0"/>
        <v>-43102.12</v>
      </c>
      <c r="M15" s="2"/>
      <c r="N15" s="19">
        <f t="shared" si="1"/>
        <v>-1</v>
      </c>
      <c r="O15" s="11"/>
      <c r="P15" s="2">
        <f>--22964.48</f>
        <v>22964.48</v>
      </c>
      <c r="Q15" s="2"/>
      <c r="R15" s="19"/>
      <c r="S15" s="2"/>
      <c r="T15" s="2">
        <f>--475198.87</f>
        <v>475198.87</v>
      </c>
      <c r="U15" s="2"/>
      <c r="V15" s="19"/>
      <c r="W15" s="2"/>
      <c r="X15" s="2">
        <f t="shared" si="2"/>
        <v>-452234.39</v>
      </c>
      <c r="Y15" s="2"/>
      <c r="Z15" s="19">
        <f t="shared" si="3"/>
        <v>-0.95167395915735242</v>
      </c>
    </row>
    <row r="16" spans="1:26" s="24" customFormat="1" hidden="1" outlineLevel="1" x14ac:dyDescent="0.25">
      <c r="A16" s="44"/>
      <c r="B16" s="11" t="str">
        <f>CONCATENATE("          ", "4052", " - ", "TAXABLE SALES-FOOD")</f>
        <v xml:space="preserve">          4052 - TAXABLE SALES-FOOD</v>
      </c>
      <c r="C16" s="11"/>
      <c r="D16" s="2">
        <f>--82073.46</f>
        <v>82073.460000000006</v>
      </c>
      <c r="E16" s="2"/>
      <c r="F16" s="19"/>
      <c r="G16" s="2"/>
      <c r="H16" s="2">
        <f>--120705.79</f>
        <v>120705.79</v>
      </c>
      <c r="I16" s="2"/>
      <c r="J16" s="19"/>
      <c r="K16" s="2"/>
      <c r="L16" s="2">
        <f t="shared" si="0"/>
        <v>-38632.329999999987</v>
      </c>
      <c r="M16" s="2"/>
      <c r="N16" s="19">
        <f t="shared" si="1"/>
        <v>-0.32005366105470162</v>
      </c>
      <c r="O16" s="11"/>
      <c r="P16" s="2">
        <f>--230176.85</f>
        <v>230176.85</v>
      </c>
      <c r="Q16" s="2"/>
      <c r="R16" s="19"/>
      <c r="S16" s="2"/>
      <c r="T16" s="2">
        <f>--657002.44</f>
        <v>657002.43999999994</v>
      </c>
      <c r="U16" s="2"/>
      <c r="V16" s="19"/>
      <c r="W16" s="2"/>
      <c r="X16" s="2">
        <f t="shared" si="2"/>
        <v>-426825.58999999997</v>
      </c>
      <c r="Y16" s="2"/>
      <c r="Z16" s="19">
        <f t="shared" si="3"/>
        <v>-0.64965601954233232</v>
      </c>
    </row>
    <row r="17" spans="1:26" s="24" customFormat="1" hidden="1" outlineLevel="1" x14ac:dyDescent="0.25">
      <c r="A17" s="44"/>
      <c r="B17" s="11" t="str">
        <f>CONCATENATE("          ", "4053", " - ", "TAXABLE SALES-FOOD")</f>
        <v xml:space="preserve">          4053 - TAXABLE SALES-FOOD</v>
      </c>
      <c r="C17" s="11"/>
      <c r="D17" s="2">
        <f t="shared" ref="D17:D28" si="5">0</f>
        <v>0</v>
      </c>
      <c r="E17" s="2"/>
      <c r="F17" s="19"/>
      <c r="G17" s="2"/>
      <c r="H17" s="2">
        <f>--9441.36</f>
        <v>9441.36</v>
      </c>
      <c r="I17" s="2"/>
      <c r="J17" s="19"/>
      <c r="K17" s="2"/>
      <c r="L17" s="2">
        <f t="shared" si="0"/>
        <v>-9441.36</v>
      </c>
      <c r="M17" s="2"/>
      <c r="N17" s="19">
        <f t="shared" si="1"/>
        <v>-1</v>
      </c>
      <c r="O17" s="11"/>
      <c r="P17" s="2">
        <f t="shared" ref="P17:P18" si="6">0</f>
        <v>0</v>
      </c>
      <c r="Q17" s="2"/>
      <c r="R17" s="19"/>
      <c r="S17" s="2"/>
      <c r="T17" s="2">
        <f>--95873.23</f>
        <v>95873.23</v>
      </c>
      <c r="U17" s="2"/>
      <c r="V17" s="19"/>
      <c r="W17" s="2"/>
      <c r="X17" s="2">
        <f t="shared" si="2"/>
        <v>-95873.23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"4055", " - ", "TAXABLE SALES-FOOD")</f>
        <v xml:space="preserve">          4055 - TAXABLE SALES-FOOD</v>
      </c>
      <c r="C18" s="11"/>
      <c r="D18" s="2">
        <f t="shared" si="5"/>
        <v>0</v>
      </c>
      <c r="E18" s="2"/>
      <c r="F18" s="19"/>
      <c r="G18" s="2"/>
      <c r="H18" s="2">
        <f>--31360</f>
        <v>31360</v>
      </c>
      <c r="I18" s="2"/>
      <c r="J18" s="19"/>
      <c r="K18" s="2"/>
      <c r="L18" s="2">
        <f t="shared" si="0"/>
        <v>-31360</v>
      </c>
      <c r="M18" s="2"/>
      <c r="N18" s="19">
        <f t="shared" si="1"/>
        <v>-1</v>
      </c>
      <c r="O18" s="11"/>
      <c r="P18" s="2">
        <f t="shared" si="6"/>
        <v>0</v>
      </c>
      <c r="Q18" s="2"/>
      <c r="R18" s="19"/>
      <c r="S18" s="2"/>
      <c r="T18" s="2">
        <f>--303213.95</f>
        <v>303213.95</v>
      </c>
      <c r="U18" s="2"/>
      <c r="V18" s="19"/>
      <c r="W18" s="2"/>
      <c r="X18" s="2">
        <f t="shared" si="2"/>
        <v>-303213.95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"4058", " - ", "TAXABLE SALES-FOOD")</f>
        <v xml:space="preserve">          4058 - TAXABLE SALES-FOOD</v>
      </c>
      <c r="C19" s="11"/>
      <c r="D19" s="2">
        <f t="shared" si="5"/>
        <v>0</v>
      </c>
      <c r="E19" s="2"/>
      <c r="F19" s="19"/>
      <c r="G19" s="2"/>
      <c r="H19" s="2">
        <f>--7736.89</f>
        <v>7736.89</v>
      </c>
      <c r="I19" s="2"/>
      <c r="J19" s="19"/>
      <c r="K19" s="2"/>
      <c r="L19" s="2">
        <f t="shared" si="0"/>
        <v>-7736.89</v>
      </c>
      <c r="M19" s="2"/>
      <c r="N19" s="19">
        <f t="shared" si="1"/>
        <v>-1</v>
      </c>
      <c r="O19" s="11"/>
      <c r="P19" s="2">
        <f>--974.91</f>
        <v>974.91</v>
      </c>
      <c r="Q19" s="2"/>
      <c r="R19" s="19"/>
      <c r="S19" s="2"/>
      <c r="T19" s="2">
        <f>--95636.1</f>
        <v>95636.1</v>
      </c>
      <c r="U19" s="2"/>
      <c r="V19" s="19"/>
      <c r="W19" s="2"/>
      <c r="X19" s="2">
        <f t="shared" si="2"/>
        <v>-94661.19</v>
      </c>
      <c r="Y19" s="2"/>
      <c r="Z19" s="19">
        <f t="shared" si="3"/>
        <v>-0.98980604604328282</v>
      </c>
    </row>
    <row r="20" spans="1:26" s="24" customFormat="1" hidden="1" outlineLevel="1" x14ac:dyDescent="0.25">
      <c r="A20" s="44"/>
      <c r="B20" s="11" t="str">
        <f>CONCATENATE("          ", "4132", " - ", "NON-TAXABLE SALES-JUICE")</f>
        <v xml:space="preserve">          4132 - NON-TAXABLE SALES-JUICE</v>
      </c>
      <c r="C20" s="11"/>
      <c r="D20" s="2">
        <f t="shared" si="5"/>
        <v>0</v>
      </c>
      <c r="E20" s="2"/>
      <c r="F20" s="19"/>
      <c r="G20" s="2"/>
      <c r="H20" s="2">
        <f>--91062.58</f>
        <v>91062.58</v>
      </c>
      <c r="I20" s="2"/>
      <c r="J20" s="19"/>
      <c r="K20" s="2"/>
      <c r="L20" s="2">
        <f t="shared" si="0"/>
        <v>-91062.58</v>
      </c>
      <c r="M20" s="2"/>
      <c r="N20" s="19">
        <f t="shared" si="1"/>
        <v>-1</v>
      </c>
      <c r="O20" s="11"/>
      <c r="P20" s="2">
        <f>--2031.88</f>
        <v>2031.88</v>
      </c>
      <c r="Q20" s="2"/>
      <c r="R20" s="19"/>
      <c r="S20" s="2"/>
      <c r="T20" s="2">
        <f>--830184.3</f>
        <v>830184.3</v>
      </c>
      <c r="U20" s="2"/>
      <c r="V20" s="19"/>
      <c r="W20" s="2"/>
      <c r="X20" s="2">
        <f t="shared" si="2"/>
        <v>-828152.42</v>
      </c>
      <c r="Y20" s="2"/>
      <c r="Z20" s="19">
        <f t="shared" si="3"/>
        <v>-0.99755249527123069</v>
      </c>
    </row>
    <row r="21" spans="1:26" s="24" customFormat="1" hidden="1" outlineLevel="1" x14ac:dyDescent="0.25">
      <c r="A21" s="44"/>
      <c r="B21" s="11" t="str">
        <f>CONCATENATE("          ", "4133", " - ", "NON-TAXABLE SALES-CANDY")</f>
        <v xml:space="preserve">          4133 - NON-TAXABLE SALES-CANDY</v>
      </c>
      <c r="C21" s="11"/>
      <c r="D21" s="2">
        <f t="shared" si="5"/>
        <v>0</v>
      </c>
      <c r="E21" s="2"/>
      <c r="F21" s="19"/>
      <c r="G21" s="2"/>
      <c r="H21" s="2">
        <f>--1.59</f>
        <v>1.59</v>
      </c>
      <c r="I21" s="2"/>
      <c r="J21" s="19"/>
      <c r="K21" s="2"/>
      <c r="L21" s="2">
        <f t="shared" si="0"/>
        <v>-1.59</v>
      </c>
      <c r="M21" s="2"/>
      <c r="N21" s="19">
        <f t="shared" si="1"/>
        <v>-1</v>
      </c>
      <c r="O21" s="11"/>
      <c r="P21" s="2">
        <f t="shared" ref="P21:P23" si="7">0</f>
        <v>0</v>
      </c>
      <c r="Q21" s="2"/>
      <c r="R21" s="19"/>
      <c r="S21" s="2"/>
      <c r="T21" s="2">
        <f>--1.59</f>
        <v>1.59</v>
      </c>
      <c r="U21" s="2"/>
      <c r="V21" s="19"/>
      <c r="W21" s="2"/>
      <c r="X21" s="2">
        <f t="shared" si="2"/>
        <v>-1.59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"4134", " - ", "NON-TAXABLE SALES-SODA")</f>
        <v xml:space="preserve">          4134 - NON-TAXABLE SALES-SODA</v>
      </c>
      <c r="C22" s="11"/>
      <c r="D22" s="2">
        <f t="shared" si="5"/>
        <v>0</v>
      </c>
      <c r="E22" s="2"/>
      <c r="F22" s="19"/>
      <c r="G22" s="2"/>
      <c r="H22" s="2">
        <f>--8.02</f>
        <v>8.02</v>
      </c>
      <c r="I22" s="2"/>
      <c r="J22" s="19"/>
      <c r="K22" s="2"/>
      <c r="L22" s="2">
        <f t="shared" si="0"/>
        <v>-8.02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--8.41</f>
        <v>8.41</v>
      </c>
      <c r="U22" s="2"/>
      <c r="V22" s="19"/>
      <c r="W22" s="2"/>
      <c r="X22" s="2">
        <f t="shared" si="2"/>
        <v>-8.41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"4137", " - ", "NON-TAXABLE SALES-WATER")</f>
        <v xml:space="preserve">          4137 - NON-TAXABLE SALES-WATER</v>
      </c>
      <c r="C23" s="11"/>
      <c r="D23" s="2">
        <f t="shared" si="5"/>
        <v>0</v>
      </c>
      <c r="E23" s="2"/>
      <c r="F23" s="19"/>
      <c r="G23" s="2"/>
      <c r="H23" s="2">
        <f>--132.68</f>
        <v>132.68</v>
      </c>
      <c r="I23" s="2"/>
      <c r="J23" s="19"/>
      <c r="K23" s="2"/>
      <c r="L23" s="2">
        <f t="shared" si="0"/>
        <v>-132.68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--1282.78</f>
        <v>1282.78</v>
      </c>
      <c r="U23" s="2"/>
      <c r="V23" s="19"/>
      <c r="W23" s="2"/>
      <c r="X23" s="2">
        <f t="shared" si="2"/>
        <v>-1282.78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"4151", " - ", "NON-TAXABLE SALES-FOOD")</f>
        <v xml:space="preserve">          4151 - NON-TAXABLE SALES-FOOD</v>
      </c>
      <c r="C24" s="11"/>
      <c r="D24" s="2">
        <f t="shared" si="5"/>
        <v>0</v>
      </c>
      <c r="E24" s="2"/>
      <c r="F24" s="19"/>
      <c r="G24" s="2"/>
      <c r="H24" s="2">
        <f>--157698.26</f>
        <v>157698.26</v>
      </c>
      <c r="I24" s="2"/>
      <c r="J24" s="19"/>
      <c r="K24" s="2"/>
      <c r="L24" s="2">
        <f t="shared" si="0"/>
        <v>-157698.26</v>
      </c>
      <c r="M24" s="2"/>
      <c r="N24" s="19">
        <f t="shared" si="1"/>
        <v>-1</v>
      </c>
      <c r="O24" s="11"/>
      <c r="P24" s="2">
        <f>--22171.22</f>
        <v>22171.22</v>
      </c>
      <c r="Q24" s="2"/>
      <c r="R24" s="19"/>
      <c r="S24" s="2"/>
      <c r="T24" s="2">
        <f>--1687315.5</f>
        <v>1687315.5</v>
      </c>
      <c r="U24" s="2"/>
      <c r="V24" s="19"/>
      <c r="W24" s="2"/>
      <c r="X24" s="2">
        <f t="shared" si="2"/>
        <v>-1665144.28</v>
      </c>
      <c r="Y24" s="2"/>
      <c r="Z24" s="19">
        <f t="shared" si="3"/>
        <v>-0.98686006262610637</v>
      </c>
    </row>
    <row r="25" spans="1:26" s="24" customFormat="1" hidden="1" outlineLevel="1" x14ac:dyDescent="0.25">
      <c r="A25" s="44"/>
      <c r="B25" s="11" t="str">
        <f>CONCATENATE("          ", "4152", " - ", "NON-TAXABLE SALES-FOOD")</f>
        <v xml:space="preserve">          4152 - NON-TAXABLE SALES-FOOD</v>
      </c>
      <c r="C25" s="11"/>
      <c r="D25" s="2">
        <f t="shared" si="5"/>
        <v>0</v>
      </c>
      <c r="E25" s="2"/>
      <c r="F25" s="19"/>
      <c r="G25" s="2"/>
      <c r="H25" s="2">
        <f>--4794.1</f>
        <v>4794.1000000000004</v>
      </c>
      <c r="I25" s="2"/>
      <c r="J25" s="19"/>
      <c r="K25" s="2"/>
      <c r="L25" s="2">
        <f t="shared" si="0"/>
        <v>-4794.1000000000004</v>
      </c>
      <c r="M25" s="2"/>
      <c r="N25" s="19">
        <f t="shared" si="1"/>
        <v>-1</v>
      </c>
      <c r="O25" s="11"/>
      <c r="P25" s="2">
        <f>0</f>
        <v>0</v>
      </c>
      <c r="Q25" s="2"/>
      <c r="R25" s="19"/>
      <c r="S25" s="2"/>
      <c r="T25" s="2">
        <f>--39428.9</f>
        <v>39428.9</v>
      </c>
      <c r="U25" s="2"/>
      <c r="V25" s="19"/>
      <c r="W25" s="2"/>
      <c r="X25" s="2">
        <f t="shared" si="2"/>
        <v>-39428.9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"4153", " - ", "NON-TAXABLE SALES-FOOD")</f>
        <v xml:space="preserve">          4153 - NON-TAXABLE SALES-FOOD</v>
      </c>
      <c r="C26" s="11"/>
      <c r="D26" s="2">
        <f t="shared" si="5"/>
        <v>0</v>
      </c>
      <c r="E26" s="2"/>
      <c r="F26" s="19"/>
      <c r="G26" s="2"/>
      <c r="H26" s="2">
        <f>--715</f>
        <v>715</v>
      </c>
      <c r="I26" s="2"/>
      <c r="J26" s="19"/>
      <c r="K26" s="2"/>
      <c r="L26" s="2">
        <f t="shared" si="0"/>
        <v>-715</v>
      </c>
      <c r="M26" s="2"/>
      <c r="N26" s="19">
        <f t="shared" si="1"/>
        <v>-1</v>
      </c>
      <c r="O26" s="11"/>
      <c r="P26" s="2">
        <f>--110</f>
        <v>110</v>
      </c>
      <c r="Q26" s="2"/>
      <c r="R26" s="19"/>
      <c r="S26" s="2"/>
      <c r="T26" s="2">
        <f>--10275</f>
        <v>10275</v>
      </c>
      <c r="U26" s="2"/>
      <c r="V26" s="19"/>
      <c r="W26" s="2"/>
      <c r="X26" s="2">
        <f t="shared" si="2"/>
        <v>-10165</v>
      </c>
      <c r="Y26" s="2"/>
      <c r="Z26" s="19">
        <f t="shared" si="3"/>
        <v>-0.98929440389294399</v>
      </c>
    </row>
    <row r="27" spans="1:26" s="24" customFormat="1" hidden="1" outlineLevel="1" x14ac:dyDescent="0.25">
      <c r="A27" s="44"/>
      <c r="B27" s="11" t="str">
        <f>CONCATENATE("          ", "4155", " - ", "NON-TAXABLE SALES-FOOD")</f>
        <v xml:space="preserve">          4155 - NON-TAXABLE SALES-FOOD</v>
      </c>
      <c r="C27" s="11"/>
      <c r="D27" s="2">
        <f t="shared" si="5"/>
        <v>0</v>
      </c>
      <c r="E27" s="2"/>
      <c r="F27" s="19"/>
      <c r="G27" s="2"/>
      <c r="H27" s="2">
        <f>--58440.71</f>
        <v>58440.71</v>
      </c>
      <c r="I27" s="2"/>
      <c r="J27" s="19"/>
      <c r="K27" s="2"/>
      <c r="L27" s="2">
        <f t="shared" si="0"/>
        <v>-58440.71</v>
      </c>
      <c r="M27" s="2"/>
      <c r="N27" s="19">
        <f t="shared" si="1"/>
        <v>-1</v>
      </c>
      <c r="O27" s="11"/>
      <c r="P27" s="2">
        <f t="shared" ref="P27:P28" si="8">0</f>
        <v>0</v>
      </c>
      <c r="Q27" s="2"/>
      <c r="R27" s="19"/>
      <c r="S27" s="2"/>
      <c r="T27" s="2">
        <f>--543161.16</f>
        <v>543161.16</v>
      </c>
      <c r="U27" s="2"/>
      <c r="V27" s="19"/>
      <c r="W27" s="2"/>
      <c r="X27" s="2">
        <f t="shared" si="2"/>
        <v>-543161.16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"4158", " - ", "NON-TAXABLE SALES-FOOD")</f>
        <v xml:space="preserve">          4158 - NON-TAXABLE SALES-FOOD</v>
      </c>
      <c r="C28" s="11"/>
      <c r="D28" s="2">
        <f t="shared" si="5"/>
        <v>0</v>
      </c>
      <c r="E28" s="2"/>
      <c r="F28" s="19"/>
      <c r="G28" s="2"/>
      <c r="H28" s="2">
        <f>--44520.71</f>
        <v>44520.71</v>
      </c>
      <c r="I28" s="2"/>
      <c r="J28" s="19"/>
      <c r="K28" s="2"/>
      <c r="L28" s="2">
        <f t="shared" si="0"/>
        <v>-44520.71</v>
      </c>
      <c r="M28" s="2"/>
      <c r="N28" s="19">
        <f t="shared" si="1"/>
        <v>-1</v>
      </c>
      <c r="O28" s="11"/>
      <c r="P28" s="2">
        <f t="shared" si="8"/>
        <v>0</v>
      </c>
      <c r="Q28" s="2"/>
      <c r="R28" s="19"/>
      <c r="S28" s="2"/>
      <c r="T28" s="2">
        <f>--363136.65</f>
        <v>363136.65</v>
      </c>
      <c r="U28" s="2"/>
      <c r="V28" s="19"/>
      <c r="W28" s="2"/>
      <c r="X28" s="2">
        <f t="shared" si="2"/>
        <v>-363136.65</v>
      </c>
      <c r="Y28" s="2"/>
      <c r="Z28" s="19">
        <f t="shared" si="3"/>
        <v>-1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collapsed="1" x14ac:dyDescent="0.25">
      <c r="A30" s="10"/>
      <c r="B30" s="29" t="s">
        <v>8</v>
      </c>
      <c r="C30" s="10"/>
      <c r="D30" s="4">
        <f>SUM(OSRRefD16x_0)</f>
        <v>1062.1199999999999</v>
      </c>
      <c r="E30" s="4"/>
      <c r="F30" s="12">
        <f t="shared" ref="F30:F32" si="9">IF(D$12=0,0,D30/D$12)</f>
        <v>1.2941089604361749E-2</v>
      </c>
      <c r="G30" s="4"/>
      <c r="H30" s="4">
        <f>SUM(OSRRefH16x_0)</f>
        <v>247914.73999999996</v>
      </c>
      <c r="I30" s="4"/>
      <c r="J30" s="12">
        <f t="shared" ref="J30:J32" si="10">IF(H$12=0,0,H30/H$12)</f>
        <v>0.41914356089891891</v>
      </c>
      <c r="K30" s="4"/>
      <c r="L30" s="4">
        <f t="shared" ref="L30:L32" si="11">+D30-H30</f>
        <v>-246852.61999999997</v>
      </c>
      <c r="M30" s="4"/>
      <c r="N30" s="12">
        <f t="shared" ref="N30:N32" si="12">IF(H30=0,0,L30/H30)</f>
        <v>-0.99571578519292558</v>
      </c>
      <c r="O30" s="10"/>
      <c r="P30" s="4">
        <f>SUM(OSRRefP16x_0)</f>
        <v>29048.31</v>
      </c>
      <c r="Q30" s="4"/>
      <c r="R30" s="12">
        <f t="shared" ref="R30:R32" si="13">IF(P$12=0,0,P30/P$12)</f>
        <v>0.10416287388355017</v>
      </c>
      <c r="S30" s="4"/>
      <c r="T30" s="4">
        <f>SUM(OSRRefT16x_0)</f>
        <v>2038251.14</v>
      </c>
      <c r="U30" s="4"/>
      <c r="V30" s="12">
        <f t="shared" ref="V30:V32" si="14">IF(T$12=0,0,T30/T$12)</f>
        <v>0.38344494599121925</v>
      </c>
      <c r="W30" s="4"/>
      <c r="X30" s="4">
        <f t="shared" ref="X30:X32" si="15">+P30-T30</f>
        <v>-2009202.8299999998</v>
      </c>
      <c r="Y30" s="4"/>
      <c r="Z30" s="12">
        <f t="shared" ref="Z30:Z32" si="16">IF(T30=0,0,X30/T30)</f>
        <v>-0.98574841469241126</v>
      </c>
    </row>
    <row r="31" spans="1:26" s="24" customFormat="1" hidden="1" outlineLevel="1" x14ac:dyDescent="0.25">
      <c r="A31" s="44"/>
      <c r="B31" s="11" t="str">
        <f>CONCATENATE("          ", "5053", " - ", "PURCHASES @ COST-FOOD")</f>
        <v xml:space="preserve">          5053 - PURCHASES @ COST-FOOD</v>
      </c>
      <c r="C31" s="11"/>
      <c r="D31" s="2">
        <v>1277.0999999999999</v>
      </c>
      <c r="E31" s="2"/>
      <c r="F31" s="19">
        <f t="shared" si="9"/>
        <v>1.5560450357521174E-2</v>
      </c>
      <c r="G31" s="2"/>
      <c r="H31" s="2">
        <v>275453.83999999997</v>
      </c>
      <c r="I31" s="2"/>
      <c r="J31" s="19">
        <f t="shared" si="10"/>
        <v>0.46570326298823972</v>
      </c>
      <c r="K31" s="2"/>
      <c r="L31" s="2">
        <f t="shared" si="11"/>
        <v>-274176.74</v>
      </c>
      <c r="M31" s="2"/>
      <c r="N31" s="19">
        <f t="shared" si="12"/>
        <v>-0.99536365149238804</v>
      </c>
      <c r="O31" s="11"/>
      <c r="P31" s="2">
        <v>12021.32</v>
      </c>
      <c r="Q31" s="2"/>
      <c r="R31" s="19">
        <f t="shared" si="13"/>
        <v>4.310664679197513E-2</v>
      </c>
      <c r="S31" s="2"/>
      <c r="T31" s="2">
        <v>2108115.65</v>
      </c>
      <c r="U31" s="2"/>
      <c r="V31" s="19">
        <f t="shared" si="14"/>
        <v>0.39658817095399446</v>
      </c>
      <c r="W31" s="2"/>
      <c r="X31" s="2">
        <f t="shared" si="15"/>
        <v>-2096094.3299999998</v>
      </c>
      <c r="Y31" s="2"/>
      <c r="Z31" s="19">
        <f t="shared" si="16"/>
        <v>-0.99429759937506268</v>
      </c>
    </row>
    <row r="32" spans="1:26" s="24" customFormat="1" hidden="1" outlineLevel="1" x14ac:dyDescent="0.25">
      <c r="A32" s="44"/>
      <c r="B32" s="11" t="str">
        <f>CONCATENATE("          ", "5059", " - ", "PURCHASES @ COST-FOOD")</f>
        <v xml:space="preserve">          5059 - PURCHASES @ COST-FOOD</v>
      </c>
      <c r="C32" s="11"/>
      <c r="D32" s="2">
        <v>-214.98</v>
      </c>
      <c r="E32" s="2"/>
      <c r="F32" s="19">
        <f t="shared" si="9"/>
        <v>-2.6193607531594253E-3</v>
      </c>
      <c r="G32" s="2"/>
      <c r="H32" s="2">
        <v>-27539.1</v>
      </c>
      <c r="I32" s="2"/>
      <c r="J32" s="19">
        <f t="shared" si="10"/>
        <v>-4.6559702089320788E-2</v>
      </c>
      <c r="K32" s="2"/>
      <c r="L32" s="2">
        <f t="shared" si="11"/>
        <v>27324.12</v>
      </c>
      <c r="M32" s="2"/>
      <c r="N32" s="19">
        <f t="shared" si="12"/>
        <v>-0.99219364467248383</v>
      </c>
      <c r="O32" s="11"/>
      <c r="P32" s="2">
        <v>17026.990000000002</v>
      </c>
      <c r="Q32" s="2"/>
      <c r="R32" s="19">
        <f t="shared" si="13"/>
        <v>6.105622709157503E-2</v>
      </c>
      <c r="S32" s="2"/>
      <c r="T32" s="2">
        <v>-69864.509999999995</v>
      </c>
      <c r="U32" s="2"/>
      <c r="V32" s="19">
        <f t="shared" si="14"/>
        <v>-1.3143224962775193E-2</v>
      </c>
      <c r="W32" s="2"/>
      <c r="X32" s="2">
        <f t="shared" si="15"/>
        <v>86891.5</v>
      </c>
      <c r="Y32" s="2"/>
      <c r="Z32" s="19">
        <f t="shared" si="16"/>
        <v>-1.2437144409944334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10"/>
      <c r="B34" s="28" t="s">
        <v>6</v>
      </c>
      <c r="C34" s="28"/>
      <c r="D34" s="20">
        <f>D12-D30</f>
        <v>81011.340000000011</v>
      </c>
      <c r="E34" s="14"/>
      <c r="F34" s="22">
        <f>IF(D$12=0,0,D34/D$12)</f>
        <v>0.98705891039563831</v>
      </c>
      <c r="G34" s="14"/>
      <c r="H34" s="20">
        <f>H12-H30</f>
        <v>343564.56000000006</v>
      </c>
      <c r="I34" s="14"/>
      <c r="J34" s="22">
        <f>IF(H$12=0,0,H34/H$12)</f>
        <v>0.58085643910108098</v>
      </c>
      <c r="K34" s="15"/>
      <c r="L34" s="20">
        <f>+D34-H34</f>
        <v>-262553.22000000003</v>
      </c>
      <c r="M34" s="15"/>
      <c r="N34" s="22">
        <f>IF(H34=0,0,L34/H34)</f>
        <v>-0.76420344403392482</v>
      </c>
      <c r="O34" s="29"/>
      <c r="P34" s="20">
        <f>P12-P30</f>
        <v>249825.62000000005</v>
      </c>
      <c r="Q34" s="14"/>
      <c r="R34" s="22">
        <f>IF(P$12=0,0,P34/P$12)</f>
        <v>0.89583712611644983</v>
      </c>
      <c r="S34" s="14"/>
      <c r="T34" s="20">
        <f>T12-T30</f>
        <v>3277378.0300000012</v>
      </c>
      <c r="U34" s="14"/>
      <c r="V34" s="22">
        <f>IF(T$12=0,0,T34/T$12)</f>
        <v>0.61655505400878086</v>
      </c>
      <c r="W34" s="15"/>
      <c r="X34" s="20">
        <f>+P34-T34</f>
        <v>-3027552.4100000011</v>
      </c>
      <c r="Y34" s="15"/>
      <c r="Z34" s="22">
        <f>IF(T34=0,0,X34/T34)</f>
        <v>-0.92377271779050762</v>
      </c>
    </row>
    <row r="35" spans="1:26" x14ac:dyDescent="0.25">
      <c r="A35" s="9"/>
      <c r="B35" s="10"/>
      <c r="C35" s="9"/>
      <c r="D35" s="1"/>
      <c r="E35" s="1"/>
      <c r="F35" s="5"/>
      <c r="G35" s="1"/>
      <c r="H35" s="1"/>
      <c r="I35" s="1"/>
      <c r="J35" s="5"/>
      <c r="K35" s="1"/>
      <c r="L35" s="1"/>
      <c r="M35" s="1"/>
      <c r="N35" s="5"/>
      <c r="O35" s="37"/>
      <c r="P35" s="1"/>
      <c r="Q35" s="1"/>
      <c r="R35" s="5"/>
      <c r="S35" s="1"/>
      <c r="T35" s="1"/>
      <c r="U35" s="1"/>
      <c r="V35" s="5"/>
      <c r="W35" s="1"/>
      <c r="X35" s="1"/>
      <c r="Y35" s="1"/>
      <c r="Z35" s="5"/>
    </row>
    <row r="36" spans="1:26" s="23" customFormat="1" x14ac:dyDescent="0.25">
      <c r="A36" s="10"/>
      <c r="B36" s="29" t="s">
        <v>9</v>
      </c>
      <c r="C36" s="10"/>
      <c r="D36" s="21">
        <f>SUM(OSRRefD22x_0)</f>
        <v>127859.67000000001</v>
      </c>
      <c r="E36" s="21"/>
      <c r="F36" s="35">
        <f t="shared" ref="F36:F46" si="17">IF(D$12=0,0,D36/D$12)</f>
        <v>1.5578686459666742</v>
      </c>
      <c r="G36" s="21"/>
      <c r="H36" s="21">
        <f>SUM(OSRRefH22x_0)</f>
        <v>599498.27999999991</v>
      </c>
      <c r="I36" s="21"/>
      <c r="J36" s="35">
        <f t="shared" ref="J36:J46" si="18">IF(H$12=0,0,H36/H$12)</f>
        <v>1.0135574989691098</v>
      </c>
      <c r="K36" s="4"/>
      <c r="L36" s="21">
        <f t="shared" ref="L36:L46" si="19">+D36-H36</f>
        <v>-471638.60999999987</v>
      </c>
      <c r="M36" s="4"/>
      <c r="N36" s="35">
        <f t="shared" ref="N36:N46" si="20">IF(H36=0,0,L36/H36)</f>
        <v>-0.78672220710958496</v>
      </c>
      <c r="O36" s="10"/>
      <c r="P36" s="21">
        <f>SUM(OSRRefP22x_0)</f>
        <v>974713.04</v>
      </c>
      <c r="Q36" s="21"/>
      <c r="R36" s="35">
        <f t="shared" ref="R36:R46" si="21">IF(P$12=0,0,P36/P$12)</f>
        <v>3.4951744682624146</v>
      </c>
      <c r="S36" s="21"/>
      <c r="T36" s="21">
        <f>SUM(OSRRefT22x_0)</f>
        <v>4108260.9600000004</v>
      </c>
      <c r="U36" s="21"/>
      <c r="V36" s="35">
        <f t="shared" ref="V36:V46" si="22">IF(T$12=0,0,T36/T$12)</f>
        <v>0.77286447730137653</v>
      </c>
      <c r="W36" s="4"/>
      <c r="X36" s="21">
        <f t="shared" ref="X36:X46" si="23">+P36-T36</f>
        <v>-3133547.9200000004</v>
      </c>
      <c r="Y36" s="4"/>
      <c r="Z36" s="35">
        <f t="shared" ref="Z36:Z46" si="24">IF(T36=0,0,X36/T36)</f>
        <v>-0.76274315349237209</v>
      </c>
    </row>
    <row r="37" spans="1:26" s="26" customFormat="1" outlineLevel="1" collapsed="1" x14ac:dyDescent="0.25">
      <c r="A37" s="27"/>
      <c r="B37" s="13" t="str">
        <f>CONCATENATE("     ","*Benefits                                         ")</f>
        <v xml:space="preserve">     *Benefits                                         </v>
      </c>
      <c r="C37" s="13"/>
      <c r="D37" s="1">
        <f>SUM(OSRRefD22_0x_0)</f>
        <v>18824.990000000002</v>
      </c>
      <c r="E37" s="1"/>
      <c r="F37" s="5">
        <f t="shared" si="17"/>
        <v>0.22936756900464536</v>
      </c>
      <c r="G37" s="1"/>
      <c r="H37" s="1">
        <f>SUM(OSRRefH22_0x_0)</f>
        <v>80491.280000000013</v>
      </c>
      <c r="I37" s="1"/>
      <c r="J37" s="5">
        <f t="shared" si="18"/>
        <v>0.136084694764466</v>
      </c>
      <c r="K37" s="1"/>
      <c r="L37" s="1">
        <f t="shared" si="19"/>
        <v>-61666.290000000008</v>
      </c>
      <c r="M37" s="1"/>
      <c r="N37" s="5">
        <f t="shared" si="20"/>
        <v>-0.76612385838565367</v>
      </c>
      <c r="O37" s="13"/>
      <c r="P37" s="1">
        <f>SUM(OSRRefP22_0x_0)</f>
        <v>185019.32</v>
      </c>
      <c r="Q37" s="1"/>
      <c r="R37" s="5">
        <f t="shared" si="21"/>
        <v>0.66345147429162699</v>
      </c>
      <c r="S37" s="1"/>
      <c r="T37" s="1">
        <f>SUM(OSRRefT22_0x_0)</f>
        <v>571485.01</v>
      </c>
      <c r="U37" s="1"/>
      <c r="V37" s="5">
        <f t="shared" si="22"/>
        <v>0.10751032318531729</v>
      </c>
      <c r="W37" s="1"/>
      <c r="X37" s="1">
        <f t="shared" si="23"/>
        <v>-386465.69</v>
      </c>
      <c r="Y37" s="1"/>
      <c r="Z37" s="5">
        <f t="shared" si="24"/>
        <v>-0.67624816615924888</v>
      </c>
    </row>
    <row r="38" spans="1:26" s="24" customFormat="1" hidden="1" outlineLevel="2" x14ac:dyDescent="0.25">
      <c r="A38" s="25"/>
      <c r="B38" s="11" t="str">
        <f>CONCATENATE("          ", "6111", " - ", "F.I.C.A.")</f>
        <v xml:space="preserve">          6111 - F.I.C.A.</v>
      </c>
      <c r="C38" s="11"/>
      <c r="D38" s="6">
        <v>2030.81</v>
      </c>
      <c r="E38" s="2"/>
      <c r="F38" s="7">
        <f t="shared" si="17"/>
        <v>2.4743808778136072E-2</v>
      </c>
      <c r="G38" s="2"/>
      <c r="H38" s="6">
        <v>12768.97</v>
      </c>
      <c r="I38" s="2"/>
      <c r="J38" s="7">
        <f t="shared" si="18"/>
        <v>2.1588194210684971E-2</v>
      </c>
      <c r="K38" s="2"/>
      <c r="L38" s="6">
        <f t="shared" si="19"/>
        <v>-10738.16</v>
      </c>
      <c r="M38" s="2"/>
      <c r="N38" s="7">
        <f t="shared" si="20"/>
        <v>-0.84095741473274666</v>
      </c>
      <c r="O38" s="11"/>
      <c r="P38" s="6">
        <v>21585.27</v>
      </c>
      <c r="Q38" s="2"/>
      <c r="R38" s="7">
        <f t="shared" si="21"/>
        <v>7.7401534091049662E-2</v>
      </c>
      <c r="S38" s="2"/>
      <c r="T38" s="6">
        <v>107252.23</v>
      </c>
      <c r="U38" s="2"/>
      <c r="V38" s="7">
        <f t="shared" si="22"/>
        <v>2.017677053269688E-2</v>
      </c>
      <c r="W38" s="2"/>
      <c r="X38" s="6">
        <f t="shared" si="23"/>
        <v>-85666.959999999992</v>
      </c>
      <c r="Y38" s="2"/>
      <c r="Z38" s="7">
        <f t="shared" si="24"/>
        <v>-0.79874292590466411</v>
      </c>
    </row>
    <row r="39" spans="1:26" s="24" customFormat="1" hidden="1" outlineLevel="2" x14ac:dyDescent="0.25">
      <c r="A39" s="25"/>
      <c r="B39" s="11" t="str">
        <f>CONCATENATE("          ", "6112", " - ", "COMPENSATION INSURANCE")</f>
        <v xml:space="preserve">          6112 - COMPENSATION INSURANCE</v>
      </c>
      <c r="C39" s="11"/>
      <c r="D39" s="6">
        <v>205.8</v>
      </c>
      <c r="E39" s="2"/>
      <c r="F39" s="7">
        <f t="shared" si="17"/>
        <v>2.5075097357903516E-3</v>
      </c>
      <c r="G39" s="2"/>
      <c r="H39" s="6">
        <v>7172.42</v>
      </c>
      <c r="I39" s="2"/>
      <c r="J39" s="7">
        <f t="shared" si="18"/>
        <v>1.2126240089889873E-2</v>
      </c>
      <c r="K39" s="2"/>
      <c r="L39" s="6">
        <f t="shared" si="19"/>
        <v>-6966.62</v>
      </c>
      <c r="M39" s="2"/>
      <c r="N39" s="7">
        <f t="shared" si="20"/>
        <v>-0.97130675559992297</v>
      </c>
      <c r="O39" s="11"/>
      <c r="P39" s="6">
        <v>5993.17</v>
      </c>
      <c r="Q39" s="2"/>
      <c r="R39" s="7">
        <f t="shared" si="21"/>
        <v>2.1490606884623453E-2</v>
      </c>
      <c r="S39" s="2"/>
      <c r="T39" s="6">
        <v>50538.21</v>
      </c>
      <c r="U39" s="2"/>
      <c r="V39" s="7">
        <f t="shared" si="22"/>
        <v>9.5074747285277591E-3</v>
      </c>
      <c r="W39" s="2"/>
      <c r="X39" s="6">
        <f t="shared" si="23"/>
        <v>-44545.04</v>
      </c>
      <c r="Y39" s="2"/>
      <c r="Z39" s="7">
        <f t="shared" si="24"/>
        <v>-0.88141309318236638</v>
      </c>
    </row>
    <row r="40" spans="1:26" s="24" customFormat="1" hidden="1" outlineLevel="2" x14ac:dyDescent="0.25">
      <c r="A40" s="25"/>
      <c r="B40" s="11" t="str">
        <f>CONCATENATE("          ", "6113", " - ", "GROUP INSURANCE")</f>
        <v xml:space="preserve">          6113 - GROUP INSURANCE</v>
      </c>
      <c r="C40" s="11"/>
      <c r="D40" s="6">
        <v>8554.93</v>
      </c>
      <c r="E40" s="2"/>
      <c r="F40" s="7">
        <f t="shared" si="17"/>
        <v>0.10423503529642834</v>
      </c>
      <c r="G40" s="2"/>
      <c r="H40" s="6">
        <v>30040.489999999998</v>
      </c>
      <c r="I40" s="2"/>
      <c r="J40" s="7">
        <f t="shared" si="18"/>
        <v>5.078874273368484E-2</v>
      </c>
      <c r="K40" s="2"/>
      <c r="L40" s="6">
        <f t="shared" si="19"/>
        <v>-21485.559999999998</v>
      </c>
      <c r="M40" s="2"/>
      <c r="N40" s="7">
        <f t="shared" si="20"/>
        <v>-0.71522002470665424</v>
      </c>
      <c r="O40" s="11"/>
      <c r="P40" s="6">
        <v>87554.5</v>
      </c>
      <c r="Q40" s="2"/>
      <c r="R40" s="7">
        <f t="shared" si="21"/>
        <v>0.31395727811488144</v>
      </c>
      <c r="S40" s="2"/>
      <c r="T40" s="6">
        <v>195866.02000000002</v>
      </c>
      <c r="U40" s="2"/>
      <c r="V40" s="7">
        <f t="shared" si="22"/>
        <v>3.6847194139391026E-2</v>
      </c>
      <c r="W40" s="2"/>
      <c r="X40" s="6">
        <f t="shared" si="23"/>
        <v>-108311.52000000002</v>
      </c>
      <c r="Y40" s="2"/>
      <c r="Z40" s="7">
        <f t="shared" si="24"/>
        <v>-0.55298780258055991</v>
      </c>
    </row>
    <row r="41" spans="1:26" s="24" customFormat="1" hidden="1" outlineLevel="2" x14ac:dyDescent="0.25">
      <c r="A41" s="25"/>
      <c r="B41" s="11" t="str">
        <f>CONCATENATE("          ", "6114", " - ", "STATE UNEMPLOYMENT INSURANCE")</f>
        <v xml:space="preserve">          6114 - STATE UNEMPLOYMENT INSURANCE</v>
      </c>
      <c r="C41" s="11"/>
      <c r="D41" s="6">
        <v>164.95</v>
      </c>
      <c r="E41" s="2"/>
      <c r="F41" s="7">
        <f t="shared" si="17"/>
        <v>2.0097848927046573E-3</v>
      </c>
      <c r="G41" s="2"/>
      <c r="H41" s="6">
        <v>565.65</v>
      </c>
      <c r="I41" s="2"/>
      <c r="J41" s="7">
        <f t="shared" si="18"/>
        <v>9.563310161488321E-4</v>
      </c>
      <c r="K41" s="2"/>
      <c r="L41" s="6">
        <f t="shared" si="19"/>
        <v>-400.7</v>
      </c>
      <c r="M41" s="2"/>
      <c r="N41" s="7">
        <f t="shared" si="20"/>
        <v>-0.70838857951029788</v>
      </c>
      <c r="O41" s="11"/>
      <c r="P41" s="6">
        <v>805.37</v>
      </c>
      <c r="Q41" s="2"/>
      <c r="R41" s="7">
        <f t="shared" si="21"/>
        <v>2.8879357780054946E-3</v>
      </c>
      <c r="S41" s="2"/>
      <c r="T41" s="6">
        <v>5114.25</v>
      </c>
      <c r="U41" s="2"/>
      <c r="V41" s="7">
        <f t="shared" si="22"/>
        <v>9.6211564735619039E-4</v>
      </c>
      <c r="W41" s="2"/>
      <c r="X41" s="6">
        <f t="shared" si="23"/>
        <v>-4308.88</v>
      </c>
      <c r="Y41" s="2"/>
      <c r="Z41" s="7">
        <f t="shared" si="24"/>
        <v>-0.84252431930390581</v>
      </c>
    </row>
    <row r="42" spans="1:26" s="24" customFormat="1" hidden="1" outlineLevel="2" x14ac:dyDescent="0.25">
      <c r="A42" s="25"/>
      <c r="B42" s="11" t="str">
        <f>CONCATENATE("          ", "6115", " - ", "P.E.R.S.")</f>
        <v xml:space="preserve">          6115 - P.E.R.S.</v>
      </c>
      <c r="C42" s="11"/>
      <c r="D42" s="6">
        <v>3958.83</v>
      </c>
      <c r="E42" s="2"/>
      <c r="F42" s="7">
        <f t="shared" si="17"/>
        <v>4.8235202951112326E-2</v>
      </c>
      <c r="G42" s="2"/>
      <c r="H42" s="6">
        <v>12159.1</v>
      </c>
      <c r="I42" s="2"/>
      <c r="J42" s="7">
        <f t="shared" si="18"/>
        <v>2.0557101491125725E-2</v>
      </c>
      <c r="K42" s="2"/>
      <c r="L42" s="6">
        <f t="shared" si="19"/>
        <v>-8200.27</v>
      </c>
      <c r="M42" s="2"/>
      <c r="N42" s="7">
        <f t="shared" si="20"/>
        <v>-0.67441422473702828</v>
      </c>
      <c r="O42" s="11"/>
      <c r="P42" s="6">
        <v>29748.6</v>
      </c>
      <c r="Q42" s="2"/>
      <c r="R42" s="7">
        <f t="shared" si="21"/>
        <v>0.10667400857441207</v>
      </c>
      <c r="S42" s="2"/>
      <c r="T42" s="6">
        <v>64119.65</v>
      </c>
      <c r="U42" s="2"/>
      <c r="V42" s="7">
        <f t="shared" si="22"/>
        <v>1.2062476133939943E-2</v>
      </c>
      <c r="W42" s="2"/>
      <c r="X42" s="6">
        <f t="shared" si="23"/>
        <v>-34371.050000000003</v>
      </c>
      <c r="Y42" s="2"/>
      <c r="Z42" s="7">
        <f t="shared" si="24"/>
        <v>-0.53604550243178184</v>
      </c>
    </row>
    <row r="43" spans="1:26" s="24" customFormat="1" hidden="1" outlineLevel="2" x14ac:dyDescent="0.25">
      <c r="A43" s="25"/>
      <c r="B43" s="11" t="str">
        <f>CONCATENATE("          ", "6117", " - ", "RETIREMENT STAFF HOURLY")</f>
        <v xml:space="preserve">          6117 - RETIREMENT STAFF HOURLY</v>
      </c>
      <c r="C43" s="11"/>
      <c r="D43" s="6"/>
      <c r="E43" s="2"/>
      <c r="F43" s="7">
        <f t="shared" si="17"/>
        <v>0</v>
      </c>
      <c r="G43" s="2"/>
      <c r="H43" s="6">
        <v>193.98</v>
      </c>
      <c r="I43" s="2"/>
      <c r="J43" s="7">
        <f t="shared" si="18"/>
        <v>3.2795737737567479E-4</v>
      </c>
      <c r="K43" s="2"/>
      <c r="L43" s="6">
        <f t="shared" si="19"/>
        <v>-193.98</v>
      </c>
      <c r="M43" s="2"/>
      <c r="N43" s="7">
        <f t="shared" si="20"/>
        <v>-1</v>
      </c>
      <c r="O43" s="11"/>
      <c r="P43" s="6"/>
      <c r="Q43" s="2"/>
      <c r="R43" s="7">
        <f t="shared" si="21"/>
        <v>0</v>
      </c>
      <c r="S43" s="2"/>
      <c r="T43" s="6">
        <v>557.98</v>
      </c>
      <c r="U43" s="2"/>
      <c r="V43" s="7">
        <f t="shared" si="22"/>
        <v>1.0496970013429284E-4</v>
      </c>
      <c r="W43" s="2"/>
      <c r="X43" s="6">
        <f t="shared" si="23"/>
        <v>-557.98</v>
      </c>
      <c r="Y43" s="2"/>
      <c r="Z43" s="7">
        <f t="shared" si="24"/>
        <v>-1</v>
      </c>
    </row>
    <row r="44" spans="1:26" s="24" customFormat="1" hidden="1" outlineLevel="2" x14ac:dyDescent="0.25">
      <c r="A44" s="25"/>
      <c r="B44" s="11" t="str">
        <f>CONCATENATE("          ", "6118", " - ", "VACATION")</f>
        <v xml:space="preserve">          6118 - VACATION</v>
      </c>
      <c r="C44" s="11"/>
      <c r="D44" s="6">
        <v>2423.7800000000002</v>
      </c>
      <c r="E44" s="2"/>
      <c r="F44" s="7">
        <f t="shared" si="17"/>
        <v>2.9531836479173658E-2</v>
      </c>
      <c r="G44" s="2"/>
      <c r="H44" s="6">
        <v>7630.85</v>
      </c>
      <c r="I44" s="2"/>
      <c r="J44" s="7">
        <f t="shared" si="18"/>
        <v>1.2901296799397713E-2</v>
      </c>
      <c r="K44" s="2"/>
      <c r="L44" s="6">
        <f t="shared" si="19"/>
        <v>-5207.07</v>
      </c>
      <c r="M44" s="2"/>
      <c r="N44" s="7">
        <f t="shared" si="20"/>
        <v>-0.68237090232411846</v>
      </c>
      <c r="O44" s="11"/>
      <c r="P44" s="6">
        <v>21895.08</v>
      </c>
      <c r="Q44" s="2"/>
      <c r="R44" s="7">
        <f t="shared" si="21"/>
        <v>7.8512466188574881E-2</v>
      </c>
      <c r="S44" s="2"/>
      <c r="T44" s="6">
        <v>60600.08</v>
      </c>
      <c r="U44" s="2"/>
      <c r="V44" s="7">
        <f t="shared" si="22"/>
        <v>1.1400358840306385E-2</v>
      </c>
      <c r="W44" s="2"/>
      <c r="X44" s="6">
        <f t="shared" si="23"/>
        <v>-38705</v>
      </c>
      <c r="Y44" s="2"/>
      <c r="Z44" s="7">
        <f t="shared" si="24"/>
        <v>-0.63869552647455252</v>
      </c>
    </row>
    <row r="45" spans="1:26" s="24" customFormat="1" hidden="1" outlineLevel="2" x14ac:dyDescent="0.25">
      <c r="A45" s="25"/>
      <c r="B45" s="11" t="str">
        <f>CONCATENATE("          ", "6119", " - ", "SICK LEAVE")</f>
        <v xml:space="preserve">          6119 - SICK LEAVE</v>
      </c>
      <c r="C45" s="11"/>
      <c r="D45" s="6">
        <v>1382.86</v>
      </c>
      <c r="E45" s="2"/>
      <c r="F45" s="7">
        <f t="shared" si="17"/>
        <v>1.6849052056535693E-2</v>
      </c>
      <c r="G45" s="2"/>
      <c r="H45" s="6">
        <v>5829.43</v>
      </c>
      <c r="I45" s="2"/>
      <c r="J45" s="7">
        <f t="shared" si="18"/>
        <v>9.8556788039750494E-3</v>
      </c>
      <c r="K45" s="2"/>
      <c r="L45" s="6">
        <f t="shared" si="19"/>
        <v>-4446.5700000000006</v>
      </c>
      <c r="M45" s="2"/>
      <c r="N45" s="7">
        <f t="shared" si="20"/>
        <v>-0.76277955134550035</v>
      </c>
      <c r="O45" s="11"/>
      <c r="P45" s="6">
        <v>13189.6</v>
      </c>
      <c r="Q45" s="2"/>
      <c r="R45" s="7">
        <f t="shared" si="21"/>
        <v>4.7295923286913184E-2</v>
      </c>
      <c r="S45" s="2"/>
      <c r="T45" s="6">
        <v>63866.23</v>
      </c>
      <c r="U45" s="2"/>
      <c r="V45" s="7">
        <f t="shared" si="22"/>
        <v>1.2014801626953972E-2</v>
      </c>
      <c r="W45" s="2"/>
      <c r="X45" s="6">
        <f t="shared" si="23"/>
        <v>-50676.630000000005</v>
      </c>
      <c r="Y45" s="2"/>
      <c r="Z45" s="7">
        <f t="shared" si="24"/>
        <v>-0.79348084269260921</v>
      </c>
    </row>
    <row r="46" spans="1:26" s="24" customFormat="1" hidden="1" outlineLevel="2" x14ac:dyDescent="0.25">
      <c r="A46" s="25"/>
      <c r="B46" s="11" t="str">
        <f>CONCATENATE("          ", "6156", " - ", "EMPLOYEE MEALS")</f>
        <v xml:space="preserve">          6156 - EMPLOYEE MEALS</v>
      </c>
      <c r="C46" s="11"/>
      <c r="D46" s="6">
        <v>103.03</v>
      </c>
      <c r="E46" s="2"/>
      <c r="F46" s="7">
        <f t="shared" si="17"/>
        <v>1.2553388147642367E-3</v>
      </c>
      <c r="G46" s="2"/>
      <c r="H46" s="6">
        <v>4130.3900000000003</v>
      </c>
      <c r="I46" s="2"/>
      <c r="J46" s="7">
        <f t="shared" si="18"/>
        <v>6.983152242183285E-3</v>
      </c>
      <c r="K46" s="2"/>
      <c r="L46" s="6">
        <f t="shared" si="19"/>
        <v>-4027.36</v>
      </c>
      <c r="M46" s="2"/>
      <c r="N46" s="7">
        <f t="shared" si="20"/>
        <v>-0.97505562428729486</v>
      </c>
      <c r="O46" s="11"/>
      <c r="P46" s="6">
        <v>4247.7299999999996</v>
      </c>
      <c r="Q46" s="2"/>
      <c r="R46" s="7">
        <f t="shared" si="21"/>
        <v>1.5231721373166716E-2</v>
      </c>
      <c r="S46" s="2"/>
      <c r="T46" s="6">
        <v>23570.36</v>
      </c>
      <c r="U46" s="2"/>
      <c r="V46" s="7">
        <f t="shared" si="22"/>
        <v>4.4341618360108437E-3</v>
      </c>
      <c r="W46" s="2"/>
      <c r="X46" s="6">
        <f t="shared" si="23"/>
        <v>-19322.63</v>
      </c>
      <c r="Y46" s="2"/>
      <c r="Z46" s="7">
        <f t="shared" si="24"/>
        <v>-0.81978510298527474</v>
      </c>
    </row>
    <row r="47" spans="1:26" s="26" customFormat="1" outlineLevel="1" collapsed="1" x14ac:dyDescent="0.25">
      <c r="A47" s="27"/>
      <c r="B47" s="13" t="str">
        <f>CONCATENATE("     ","*Payroll                                          ")</f>
        <v xml:space="preserve">     *Payroll                                          </v>
      </c>
      <c r="C47" s="13"/>
      <c r="D47" s="1">
        <f>SUM(OSRRefD22_1x_0)</f>
        <v>29206.010000000002</v>
      </c>
      <c r="E47" s="1"/>
      <c r="F47" s="5">
        <f t="shared" ref="F47:F54" si="25">IF(D$12=0,0,D47/D$12)</f>
        <v>0.35585206228663929</v>
      </c>
      <c r="G47" s="1"/>
      <c r="H47" s="1">
        <f>SUM(OSRRefH22_1x_0)</f>
        <v>284570.94999999995</v>
      </c>
      <c r="I47" s="1"/>
      <c r="J47" s="5">
        <f t="shared" ref="J47:J54" si="26">IF(H$12=0,0,H47/H$12)</f>
        <v>0.4811173442587085</v>
      </c>
      <c r="K47" s="1"/>
      <c r="L47" s="1">
        <f t="shared" ref="L47:L54" si="27">+D47-H47</f>
        <v>-255364.93999999994</v>
      </c>
      <c r="M47" s="1"/>
      <c r="N47" s="5">
        <f t="shared" ref="N47:N54" si="28">IF(H47=0,0,L47/H47)</f>
        <v>-0.89736826615647169</v>
      </c>
      <c r="O47" s="13"/>
      <c r="P47" s="1">
        <f>SUM(OSRRefP22_1x_0)</f>
        <v>250098.05</v>
      </c>
      <c r="Q47" s="1"/>
      <c r="R47" s="5">
        <f t="shared" ref="R47:R54" si="29">IF(P$12=0,0,P47/P$12)</f>
        <v>0.89681401915195136</v>
      </c>
      <c r="S47" s="1"/>
      <c r="T47" s="1">
        <f>SUM(OSRRefT22_1x_0)</f>
        <v>1893711.9199999997</v>
      </c>
      <c r="U47" s="1"/>
      <c r="V47" s="5">
        <f t="shared" ref="V47:V54" si="30">IF(T$12=0,0,T47/T$12)</f>
        <v>0.35625357966797361</v>
      </c>
      <c r="W47" s="1"/>
      <c r="X47" s="1">
        <f t="shared" ref="X47:X54" si="31">+P47-T47</f>
        <v>-1643613.8699999996</v>
      </c>
      <c r="Y47" s="1"/>
      <c r="Z47" s="5">
        <f t="shared" ref="Z47:Z54" si="32">IF(T47=0,0,X47/T47)</f>
        <v>-0.8679323674532291</v>
      </c>
    </row>
    <row r="48" spans="1:26" s="24" customFormat="1" hidden="1" outlineLevel="2" x14ac:dyDescent="0.25">
      <c r="A48" s="25"/>
      <c r="B48" s="11" t="str">
        <f>CONCATENATE("          ", "6001", " - ", "ADMINISTRATIVE SALARIES")</f>
        <v xml:space="preserve">          6001 - ADMINISTRATIVE SALARIES</v>
      </c>
      <c r="C48" s="11"/>
      <c r="D48" s="6">
        <v>13911.28</v>
      </c>
      <c r="E48" s="2"/>
      <c r="F48" s="7">
        <f t="shared" si="25"/>
        <v>0.16949791077407969</v>
      </c>
      <c r="G48" s="2"/>
      <c r="H48" s="6">
        <v>20764.329999999998</v>
      </c>
      <c r="I48" s="2"/>
      <c r="J48" s="7">
        <f t="shared" si="26"/>
        <v>3.5105759406964872E-2</v>
      </c>
      <c r="K48" s="2"/>
      <c r="L48" s="6">
        <f t="shared" si="27"/>
        <v>-6853.0499999999975</v>
      </c>
      <c r="M48" s="2"/>
      <c r="N48" s="7">
        <f t="shared" si="28"/>
        <v>-0.33003954377531075</v>
      </c>
      <c r="O48" s="11"/>
      <c r="P48" s="6">
        <v>76591.079999999987</v>
      </c>
      <c r="Q48" s="2"/>
      <c r="R48" s="7">
        <f t="shared" si="29"/>
        <v>0.27464410172725712</v>
      </c>
      <c r="S48" s="2"/>
      <c r="T48" s="6">
        <v>124998.73999999999</v>
      </c>
      <c r="U48" s="2"/>
      <c r="V48" s="7">
        <f t="shared" si="30"/>
        <v>2.3515323586803173E-2</v>
      </c>
      <c r="W48" s="2"/>
      <c r="X48" s="6">
        <f t="shared" si="31"/>
        <v>-48407.66</v>
      </c>
      <c r="Y48" s="2"/>
      <c r="Z48" s="7">
        <f t="shared" si="32"/>
        <v>-0.38726518363305107</v>
      </c>
    </row>
    <row r="49" spans="1:26" s="24" customFormat="1" hidden="1" outlineLevel="2" x14ac:dyDescent="0.25">
      <c r="A49" s="25"/>
      <c r="B49" s="11" t="str">
        <f>CONCATENATE("          ", "6002", " - ", "STAFF SALARIES")</f>
        <v xml:space="preserve">          6002 - STAFF SALARIES</v>
      </c>
      <c r="C49" s="11"/>
      <c r="D49" s="6">
        <v>14173.28</v>
      </c>
      <c r="E49" s="2"/>
      <c r="F49" s="7">
        <f t="shared" si="25"/>
        <v>0.17269017292557179</v>
      </c>
      <c r="G49" s="2"/>
      <c r="H49" s="6">
        <v>94597.79</v>
      </c>
      <c r="I49" s="2"/>
      <c r="J49" s="7">
        <f t="shared" si="26"/>
        <v>0.15993423607554819</v>
      </c>
      <c r="K49" s="2"/>
      <c r="L49" s="6">
        <f t="shared" si="27"/>
        <v>-80424.509999999995</v>
      </c>
      <c r="M49" s="2"/>
      <c r="N49" s="7">
        <f t="shared" si="28"/>
        <v>-0.85017324400496042</v>
      </c>
      <c r="O49" s="11"/>
      <c r="P49" s="6">
        <v>146922.51</v>
      </c>
      <c r="Q49" s="2"/>
      <c r="R49" s="7">
        <f t="shared" si="29"/>
        <v>0.52684203934014195</v>
      </c>
      <c r="S49" s="2"/>
      <c r="T49" s="6">
        <v>553368.61</v>
      </c>
      <c r="U49" s="2"/>
      <c r="V49" s="7">
        <f t="shared" si="30"/>
        <v>0.10410218476545832</v>
      </c>
      <c r="W49" s="2"/>
      <c r="X49" s="6">
        <f t="shared" si="31"/>
        <v>-406446.1</v>
      </c>
      <c r="Y49" s="2"/>
      <c r="Z49" s="7">
        <f t="shared" si="32"/>
        <v>-0.7344943183531859</v>
      </c>
    </row>
    <row r="50" spans="1:26" s="24" customFormat="1" hidden="1" outlineLevel="2" x14ac:dyDescent="0.25">
      <c r="A50" s="25"/>
      <c r="B50" s="11" t="str">
        <f>CONCATENATE("          ", "6004", " - ", "STAFF HOURLY")</f>
        <v xml:space="preserve">          6004 - STAFF HOURLY</v>
      </c>
      <c r="C50" s="11"/>
      <c r="D50" s="6">
        <v>960.45</v>
      </c>
      <c r="E50" s="2"/>
      <c r="F50" s="7">
        <f t="shared" si="25"/>
        <v>1.1702321310689228E-2</v>
      </c>
      <c r="G50" s="2"/>
      <c r="H50" s="6">
        <v>23998.09</v>
      </c>
      <c r="I50" s="2"/>
      <c r="J50" s="7">
        <f t="shared" si="26"/>
        <v>4.0573000610503188E-2</v>
      </c>
      <c r="K50" s="2"/>
      <c r="L50" s="6">
        <f t="shared" si="27"/>
        <v>-23037.64</v>
      </c>
      <c r="M50" s="2"/>
      <c r="N50" s="7">
        <f t="shared" si="28"/>
        <v>-0.95997806492099991</v>
      </c>
      <c r="O50" s="11"/>
      <c r="P50" s="6">
        <v>21485.08</v>
      </c>
      <c r="Q50" s="2"/>
      <c r="R50" s="7">
        <f t="shared" si="29"/>
        <v>7.7042267808970166E-2</v>
      </c>
      <c r="S50" s="2"/>
      <c r="T50" s="6">
        <v>146090.72</v>
      </c>
      <c r="U50" s="2"/>
      <c r="V50" s="7">
        <f t="shared" si="30"/>
        <v>2.7483241461706401E-2</v>
      </c>
      <c r="W50" s="2"/>
      <c r="X50" s="6">
        <f t="shared" si="31"/>
        <v>-124605.64</v>
      </c>
      <c r="Y50" s="2"/>
      <c r="Z50" s="7">
        <f t="shared" si="32"/>
        <v>-0.85293330062306494</v>
      </c>
    </row>
    <row r="51" spans="1:26" s="24" customFormat="1" hidden="1" outlineLevel="2" x14ac:dyDescent="0.25">
      <c r="A51" s="25"/>
      <c r="B51" s="11" t="str">
        <f>CONCATENATE("          ", "6005", " - ", "TEMPORARY WAGES-HOURLY")</f>
        <v xml:space="preserve">          6005 - TEMPORARY WAGES-HOURLY</v>
      </c>
      <c r="C51" s="11"/>
      <c r="D51" s="6"/>
      <c r="E51" s="2"/>
      <c r="F51" s="7">
        <f t="shared" si="25"/>
        <v>0</v>
      </c>
      <c r="G51" s="2"/>
      <c r="H51" s="6">
        <v>39748.18</v>
      </c>
      <c r="I51" s="2"/>
      <c r="J51" s="7">
        <f t="shared" si="26"/>
        <v>6.7201303579009442E-2</v>
      </c>
      <c r="K51" s="2"/>
      <c r="L51" s="6">
        <f t="shared" si="27"/>
        <v>-39748.18</v>
      </c>
      <c r="M51" s="2"/>
      <c r="N51" s="7">
        <f t="shared" si="28"/>
        <v>-1</v>
      </c>
      <c r="O51" s="11"/>
      <c r="P51" s="6">
        <v>4868.67</v>
      </c>
      <c r="Q51" s="2"/>
      <c r="R51" s="7">
        <f t="shared" si="29"/>
        <v>1.7458318889829533E-2</v>
      </c>
      <c r="S51" s="2"/>
      <c r="T51" s="6">
        <v>354891.02</v>
      </c>
      <c r="U51" s="2"/>
      <c r="V51" s="7">
        <f t="shared" si="30"/>
        <v>6.6763690364803979E-2</v>
      </c>
      <c r="W51" s="2"/>
      <c r="X51" s="6">
        <f t="shared" si="31"/>
        <v>-350022.35000000003</v>
      </c>
      <c r="Y51" s="2"/>
      <c r="Z51" s="7">
        <f t="shared" si="32"/>
        <v>-0.98628122514906125</v>
      </c>
    </row>
    <row r="52" spans="1:26" s="24" customFormat="1" hidden="1" outlineLevel="2" x14ac:dyDescent="0.25">
      <c r="A52" s="25"/>
      <c r="B52" s="11" t="str">
        <f>CONCATENATE("          ", "6006", " - ", "TEMPORARY PART TIME")</f>
        <v xml:space="preserve">          6006 - TEMPORARY PART TIME</v>
      </c>
      <c r="C52" s="11"/>
      <c r="D52" s="6"/>
      <c r="E52" s="2"/>
      <c r="F52" s="7">
        <f t="shared" si="25"/>
        <v>0</v>
      </c>
      <c r="G52" s="2"/>
      <c r="H52" s="6">
        <v>670.81</v>
      </c>
      <c r="I52" s="2"/>
      <c r="J52" s="7">
        <f t="shared" si="26"/>
        <v>1.1341225297318096E-3</v>
      </c>
      <c r="K52" s="2"/>
      <c r="L52" s="6">
        <f t="shared" si="27"/>
        <v>-670.81</v>
      </c>
      <c r="M52" s="2"/>
      <c r="N52" s="7">
        <f t="shared" si="28"/>
        <v>-1</v>
      </c>
      <c r="O52" s="11"/>
      <c r="P52" s="6"/>
      <c r="Q52" s="2"/>
      <c r="R52" s="7">
        <f t="shared" si="29"/>
        <v>0</v>
      </c>
      <c r="S52" s="2"/>
      <c r="T52" s="6">
        <v>21346.89</v>
      </c>
      <c r="U52" s="2"/>
      <c r="V52" s="7">
        <f t="shared" si="30"/>
        <v>4.0158726873718315E-3</v>
      </c>
      <c r="W52" s="2"/>
      <c r="X52" s="6">
        <f t="shared" si="31"/>
        <v>-21346.89</v>
      </c>
      <c r="Y52" s="2"/>
      <c r="Z52" s="7">
        <f t="shared" si="32"/>
        <v>-1</v>
      </c>
    </row>
    <row r="53" spans="1:26" s="24" customFormat="1" hidden="1" outlineLevel="2" x14ac:dyDescent="0.25">
      <c r="A53" s="25"/>
      <c r="B53" s="11" t="str">
        <f>CONCATENATE("          ", "6007", " - ", "STUDENT HOURLY")</f>
        <v xml:space="preserve">          6007 - STUDENT HOURLY</v>
      </c>
      <c r="C53" s="11"/>
      <c r="D53" s="6">
        <v>161</v>
      </c>
      <c r="E53" s="2"/>
      <c r="F53" s="7">
        <f t="shared" si="25"/>
        <v>1.9616572762985742E-3</v>
      </c>
      <c r="G53" s="2"/>
      <c r="H53" s="6">
        <v>103404</v>
      </c>
      <c r="I53" s="2"/>
      <c r="J53" s="7">
        <f t="shared" si="26"/>
        <v>0.1748226861024553</v>
      </c>
      <c r="K53" s="2"/>
      <c r="L53" s="6">
        <f t="shared" si="27"/>
        <v>-103243</v>
      </c>
      <c r="M53" s="2"/>
      <c r="N53" s="7">
        <f t="shared" si="28"/>
        <v>-0.99844300027078259</v>
      </c>
      <c r="O53" s="11"/>
      <c r="P53" s="6">
        <v>230.71</v>
      </c>
      <c r="Q53" s="2"/>
      <c r="R53" s="7">
        <f t="shared" si="29"/>
        <v>8.2729138575269462E-4</v>
      </c>
      <c r="S53" s="2"/>
      <c r="T53" s="6">
        <v>661286.73</v>
      </c>
      <c r="U53" s="2"/>
      <c r="V53" s="7">
        <f t="shared" si="30"/>
        <v>0.12440422551146468</v>
      </c>
      <c r="W53" s="2"/>
      <c r="X53" s="6">
        <f t="shared" si="31"/>
        <v>-661056.02</v>
      </c>
      <c r="Y53" s="2"/>
      <c r="Z53" s="7">
        <f t="shared" si="32"/>
        <v>-0.99965111956805797</v>
      </c>
    </row>
    <row r="54" spans="1:26" s="24" customFormat="1" hidden="1" outlineLevel="2" x14ac:dyDescent="0.25">
      <c r="A54" s="25"/>
      <c r="B54" s="11" t="str">
        <f>CONCATENATE("          ", "6008", " - ", "STUDENT HOURLY-FICA EXEMPT")</f>
        <v xml:space="preserve">          6008 - STUDENT HOURLY-FICA EXEMPT</v>
      </c>
      <c r="C54" s="11"/>
      <c r="D54" s="6"/>
      <c r="E54" s="2"/>
      <c r="F54" s="7">
        <f t="shared" si="25"/>
        <v>0</v>
      </c>
      <c r="G54" s="2"/>
      <c r="H54" s="6">
        <v>1387.75</v>
      </c>
      <c r="I54" s="2"/>
      <c r="J54" s="7">
        <f t="shared" si="26"/>
        <v>2.346235954495787E-3</v>
      </c>
      <c r="K54" s="2"/>
      <c r="L54" s="6">
        <f t="shared" si="27"/>
        <v>-1387.75</v>
      </c>
      <c r="M54" s="2"/>
      <c r="N54" s="7">
        <f t="shared" si="28"/>
        <v>-1</v>
      </c>
      <c r="O54" s="11"/>
      <c r="P54" s="6"/>
      <c r="Q54" s="2"/>
      <c r="R54" s="7">
        <f t="shared" si="29"/>
        <v>0</v>
      </c>
      <c r="S54" s="2"/>
      <c r="T54" s="6">
        <v>31729.21</v>
      </c>
      <c r="U54" s="2"/>
      <c r="V54" s="7">
        <f t="shared" si="30"/>
        <v>5.9690412903652557E-3</v>
      </c>
      <c r="W54" s="2"/>
      <c r="X54" s="6">
        <f t="shared" si="31"/>
        <v>-31729.21</v>
      </c>
      <c r="Y54" s="2"/>
      <c r="Z54" s="7">
        <f t="shared" si="32"/>
        <v>-1</v>
      </c>
    </row>
    <row r="55" spans="1:26" s="26" customFormat="1" outlineLevel="1" collapsed="1" x14ac:dyDescent="0.25">
      <c r="A55" s="27"/>
      <c r="B55" s="13" t="str">
        <f>CONCATENATE("     ","Advertising/Promo                                 ")</f>
        <v xml:space="preserve">     Advertising/Promo                                 </v>
      </c>
      <c r="C55" s="13"/>
      <c r="D55" s="1">
        <f>SUM(OSRRefD22_2x_0)</f>
        <v>5.4</v>
      </c>
      <c r="E55" s="1"/>
      <c r="F55" s="5">
        <f t="shared" ref="F55:F64" si="33">IF(D$12=0,0,D55/D$12)</f>
        <v>6.5794716099455287E-5</v>
      </c>
      <c r="G55" s="1"/>
      <c r="H55" s="1">
        <f>SUM(OSRRefH22_2x_0)</f>
        <v>4750.1499999999996</v>
      </c>
      <c r="I55" s="1"/>
      <c r="J55" s="5">
        <f t="shared" ref="J55:J64" si="34">IF(H$12=0,0,H55/H$12)</f>
        <v>8.0309657497734908E-3</v>
      </c>
      <c r="K55" s="1"/>
      <c r="L55" s="1">
        <f t="shared" ref="L55:L64" si="35">+D55-H55</f>
        <v>-4744.75</v>
      </c>
      <c r="M55" s="1"/>
      <c r="N55" s="5">
        <f t="shared" ref="N55:N64" si="36">IF(H55=0,0,L55/H55)</f>
        <v>-0.99886319379388022</v>
      </c>
      <c r="O55" s="13"/>
      <c r="P55" s="1">
        <f>SUM(OSRRefP22_2x_0)</f>
        <v>139.35</v>
      </c>
      <c r="Q55" s="1"/>
      <c r="R55" s="5">
        <f t="shared" ref="R55:R64" si="37">IF(P$12=0,0,P55/P$12)</f>
        <v>4.9968815658028691E-4</v>
      </c>
      <c r="S55" s="1"/>
      <c r="T55" s="1">
        <f>SUM(OSRRefT22_2x_0)</f>
        <v>26824.99</v>
      </c>
      <c r="U55" s="1"/>
      <c r="V55" s="5">
        <f t="shared" ref="V55:V64" si="38">IF(T$12=0,0,T55/T$12)</f>
        <v>5.0464374285913551E-3</v>
      </c>
      <c r="W55" s="1"/>
      <c r="X55" s="1">
        <f t="shared" ref="X55:X64" si="39">+P55-T55</f>
        <v>-26685.640000000003</v>
      </c>
      <c r="Y55" s="1"/>
      <c r="Z55" s="5">
        <f t="shared" ref="Z55:Z64" si="40">IF(T55=0,0,X55/T55)</f>
        <v>-0.99480521707557024</v>
      </c>
    </row>
    <row r="56" spans="1:26" s="24" customFormat="1" hidden="1" outlineLevel="2" x14ac:dyDescent="0.25">
      <c r="A56" s="25"/>
      <c r="B56" s="11" t="str">
        <f>CONCATENATE("          ", "6362", " - ", "ADVERTISING EXPENSE")</f>
        <v xml:space="preserve">          6362 - ADVERTISING EXPENSE</v>
      </c>
      <c r="C56" s="11"/>
      <c r="D56" s="6">
        <v>5.4</v>
      </c>
      <c r="E56" s="2"/>
      <c r="F56" s="7">
        <f t="shared" si="33"/>
        <v>6.5794716099455287E-5</v>
      </c>
      <c r="G56" s="2"/>
      <c r="H56" s="6">
        <v>4750.1499999999996</v>
      </c>
      <c r="I56" s="2"/>
      <c r="J56" s="7">
        <f t="shared" si="34"/>
        <v>8.0309657497734908E-3</v>
      </c>
      <c r="K56" s="2"/>
      <c r="L56" s="6">
        <f t="shared" si="35"/>
        <v>-4744.75</v>
      </c>
      <c r="M56" s="2"/>
      <c r="N56" s="7">
        <f t="shared" si="36"/>
        <v>-0.99886319379388022</v>
      </c>
      <c r="O56" s="11"/>
      <c r="P56" s="6">
        <v>139.35</v>
      </c>
      <c r="Q56" s="2"/>
      <c r="R56" s="7">
        <f t="shared" si="37"/>
        <v>4.9968815658028691E-4</v>
      </c>
      <c r="S56" s="2"/>
      <c r="T56" s="6">
        <v>26824.99</v>
      </c>
      <c r="U56" s="2"/>
      <c r="V56" s="7">
        <f t="shared" si="38"/>
        <v>5.0464374285913551E-3</v>
      </c>
      <c r="W56" s="2"/>
      <c r="X56" s="6">
        <f t="shared" si="39"/>
        <v>-26685.640000000003</v>
      </c>
      <c r="Y56" s="2"/>
      <c r="Z56" s="7">
        <f t="shared" si="40"/>
        <v>-0.99480521707557024</v>
      </c>
    </row>
    <row r="57" spans="1:26" s="26" customFormat="1" outlineLevel="1" collapsed="1" x14ac:dyDescent="0.25">
      <c r="A57" s="27"/>
      <c r="B57" s="13" t="str">
        <f>CONCATENATE("     ","Bad Debts/Over/Short                              ")</f>
        <v xml:space="preserve">     Bad Debts/Over/Short                              </v>
      </c>
      <c r="C57" s="13"/>
      <c r="D57" s="1">
        <f>SUM(OSRRefD22_3x_0)</f>
        <v>0</v>
      </c>
      <c r="E57" s="1"/>
      <c r="F57" s="5">
        <f t="shared" si="33"/>
        <v>0</v>
      </c>
      <c r="G57" s="1"/>
      <c r="H57" s="1">
        <f>SUM(OSRRefH22_3x_0)</f>
        <v>-447.77</v>
      </c>
      <c r="I57" s="1"/>
      <c r="J57" s="5">
        <f t="shared" si="34"/>
        <v>-7.5703410077072853E-4</v>
      </c>
      <c r="K57" s="1"/>
      <c r="L57" s="1">
        <f t="shared" si="35"/>
        <v>447.77</v>
      </c>
      <c r="M57" s="1"/>
      <c r="N57" s="5">
        <f t="shared" si="36"/>
        <v>-1</v>
      </c>
      <c r="O57" s="13"/>
      <c r="P57" s="1">
        <f>SUM(OSRRefP22_3x_0)</f>
        <v>12.1</v>
      </c>
      <c r="Q57" s="1"/>
      <c r="R57" s="5">
        <f t="shared" si="37"/>
        <v>4.3388781446870983E-5</v>
      </c>
      <c r="S57" s="1"/>
      <c r="T57" s="1">
        <f>SUM(OSRRefT22_3x_0)</f>
        <v>-822.7</v>
      </c>
      <c r="U57" s="1"/>
      <c r="V57" s="5">
        <f t="shared" si="38"/>
        <v>-1.547700138006429E-4</v>
      </c>
      <c r="W57" s="1"/>
      <c r="X57" s="1">
        <f t="shared" si="39"/>
        <v>834.80000000000007</v>
      </c>
      <c r="Y57" s="1"/>
      <c r="Z57" s="5">
        <f t="shared" si="40"/>
        <v>-1.0147076698675095</v>
      </c>
    </row>
    <row r="58" spans="1:26" s="24" customFormat="1" hidden="1" outlineLevel="2" x14ac:dyDescent="0.25">
      <c r="A58" s="25"/>
      <c r="B58" s="11" t="str">
        <f>CONCATENATE("          ", "6272", " - ", "CASH (OVER/SHORT)")</f>
        <v xml:space="preserve">          6272 - CASH (OVER/SHORT)</v>
      </c>
      <c r="C58" s="11"/>
      <c r="D58" s="6"/>
      <c r="E58" s="2"/>
      <c r="F58" s="7">
        <f t="shared" si="33"/>
        <v>0</v>
      </c>
      <c r="G58" s="2"/>
      <c r="H58" s="6">
        <v>-447.77</v>
      </c>
      <c r="I58" s="2"/>
      <c r="J58" s="7">
        <f t="shared" si="34"/>
        <v>-7.5703410077072853E-4</v>
      </c>
      <c r="K58" s="2"/>
      <c r="L58" s="6">
        <f t="shared" si="35"/>
        <v>447.77</v>
      </c>
      <c r="M58" s="2"/>
      <c r="N58" s="7">
        <f t="shared" si="36"/>
        <v>-1</v>
      </c>
      <c r="O58" s="11"/>
      <c r="P58" s="6">
        <v>12.1</v>
      </c>
      <c r="Q58" s="2"/>
      <c r="R58" s="7">
        <f t="shared" si="37"/>
        <v>4.3388781446870983E-5</v>
      </c>
      <c r="S58" s="2"/>
      <c r="T58" s="6">
        <v>-822.7</v>
      </c>
      <c r="U58" s="2"/>
      <c r="V58" s="7">
        <f t="shared" si="38"/>
        <v>-1.547700138006429E-4</v>
      </c>
      <c r="W58" s="2"/>
      <c r="X58" s="6">
        <f t="shared" si="39"/>
        <v>834.80000000000007</v>
      </c>
      <c r="Y58" s="2"/>
      <c r="Z58" s="7">
        <f t="shared" si="40"/>
        <v>-1.0147076698675095</v>
      </c>
    </row>
    <row r="59" spans="1:26" s="26" customFormat="1" outlineLevel="1" collapsed="1" x14ac:dyDescent="0.25">
      <c r="A59" s="27"/>
      <c r="B59" s="13" t="str">
        <f>CONCATENATE("     ","Bank/card Fees                                    ")</f>
        <v xml:space="preserve">     Bank/card Fees                                    </v>
      </c>
      <c r="C59" s="13"/>
      <c r="D59" s="1">
        <f>SUM(OSRRefD22_4x_0)</f>
        <v>896.72</v>
      </c>
      <c r="E59" s="1"/>
      <c r="F59" s="5">
        <f t="shared" si="33"/>
        <v>1.0925821818648805E-2</v>
      </c>
      <c r="G59" s="1"/>
      <c r="H59" s="1">
        <f>SUM(OSRRefH22_4x_0)</f>
        <v>18389.73</v>
      </c>
      <c r="I59" s="1"/>
      <c r="J59" s="5">
        <f t="shared" si="34"/>
        <v>3.1091079603292961E-2</v>
      </c>
      <c r="K59" s="1"/>
      <c r="L59" s="1">
        <f t="shared" si="35"/>
        <v>-17493.009999999998</v>
      </c>
      <c r="M59" s="1"/>
      <c r="N59" s="5">
        <f t="shared" si="36"/>
        <v>-0.95123800077543275</v>
      </c>
      <c r="O59" s="13"/>
      <c r="P59" s="1">
        <f>SUM(OSRRefP22_4x_0)</f>
        <v>5064.8100000000004</v>
      </c>
      <c r="Q59" s="1"/>
      <c r="R59" s="5">
        <f t="shared" si="37"/>
        <v>1.8161647451233609E-2</v>
      </c>
      <c r="S59" s="1"/>
      <c r="T59" s="1">
        <f>SUM(OSRRefT22_4x_0)</f>
        <v>178516.53</v>
      </c>
      <c r="U59" s="1"/>
      <c r="V59" s="5">
        <f t="shared" si="38"/>
        <v>3.3583330268315156E-2</v>
      </c>
      <c r="W59" s="1"/>
      <c r="X59" s="1">
        <f t="shared" si="39"/>
        <v>-173451.72</v>
      </c>
      <c r="Y59" s="1"/>
      <c r="Z59" s="5">
        <f t="shared" si="40"/>
        <v>-0.97162834164432843</v>
      </c>
    </row>
    <row r="60" spans="1:26" s="24" customFormat="1" hidden="1" outlineLevel="2" x14ac:dyDescent="0.25">
      <c r="A60" s="25"/>
      <c r="B60" s="11" t="str">
        <f>CONCATENATE("          ", "6381", " - ", "BANK/CREDIT CARD FEES")</f>
        <v xml:space="preserve">          6381 - BANK/CREDIT CARD FEES</v>
      </c>
      <c r="C60" s="11"/>
      <c r="D60" s="6">
        <v>896.72</v>
      </c>
      <c r="E60" s="2"/>
      <c r="F60" s="7">
        <f t="shared" si="33"/>
        <v>1.0925821818648805E-2</v>
      </c>
      <c r="G60" s="2"/>
      <c r="H60" s="6">
        <v>18389.73</v>
      </c>
      <c r="I60" s="2"/>
      <c r="J60" s="7">
        <f t="shared" si="34"/>
        <v>3.1091079603292961E-2</v>
      </c>
      <c r="K60" s="2"/>
      <c r="L60" s="6">
        <f t="shared" si="35"/>
        <v>-17493.009999999998</v>
      </c>
      <c r="M60" s="2"/>
      <c r="N60" s="7">
        <f t="shared" si="36"/>
        <v>-0.95123800077543275</v>
      </c>
      <c r="O60" s="11"/>
      <c r="P60" s="6">
        <v>5064.8100000000004</v>
      </c>
      <c r="Q60" s="2"/>
      <c r="R60" s="7">
        <f t="shared" si="37"/>
        <v>1.8161647451233609E-2</v>
      </c>
      <c r="S60" s="2"/>
      <c r="T60" s="6">
        <v>178516.53</v>
      </c>
      <c r="U60" s="2"/>
      <c r="V60" s="7">
        <f t="shared" si="38"/>
        <v>3.3583330268315156E-2</v>
      </c>
      <c r="W60" s="2"/>
      <c r="X60" s="6">
        <f t="shared" si="39"/>
        <v>-173451.72</v>
      </c>
      <c r="Y60" s="2"/>
      <c r="Z60" s="7">
        <f t="shared" si="40"/>
        <v>-0.97162834164432843</v>
      </c>
    </row>
    <row r="61" spans="1:26" s="26" customFormat="1" outlineLevel="1" collapsed="1" x14ac:dyDescent="0.25">
      <c r="A61" s="27"/>
      <c r="B61" s="13" t="str">
        <f>CONCATENATE("     ","Depreciation                                      ")</f>
        <v xml:space="preserve">     Depreciation                                      </v>
      </c>
      <c r="C61" s="13"/>
      <c r="D61" s="1">
        <f>SUM(OSRRefD22_5x_0)</f>
        <v>45872.85</v>
      </c>
      <c r="E61" s="1"/>
      <c r="F61" s="5">
        <f t="shared" si="33"/>
        <v>0.55892428563386987</v>
      </c>
      <c r="G61" s="1"/>
      <c r="H61" s="1">
        <f>SUM(OSRRefH22_5x_0)</f>
        <v>49292.520000000004</v>
      </c>
      <c r="I61" s="1"/>
      <c r="J61" s="5">
        <f t="shared" si="34"/>
        <v>8.3337692460243321E-2</v>
      </c>
      <c r="K61" s="1"/>
      <c r="L61" s="1">
        <f t="shared" si="35"/>
        <v>-3419.6700000000055</v>
      </c>
      <c r="M61" s="1"/>
      <c r="N61" s="5">
        <f t="shared" si="36"/>
        <v>-6.9375028909051617E-2</v>
      </c>
      <c r="O61" s="13"/>
      <c r="P61" s="1">
        <f>SUM(OSRRefP22_5x_0)</f>
        <v>324114.75</v>
      </c>
      <c r="Q61" s="1"/>
      <c r="R61" s="5">
        <f t="shared" si="37"/>
        <v>1.1622267811121676</v>
      </c>
      <c r="S61" s="1"/>
      <c r="T61" s="1">
        <f>SUM(OSRRefT22_5x_0)</f>
        <v>338457.68999999994</v>
      </c>
      <c r="U61" s="1"/>
      <c r="V61" s="5">
        <f t="shared" si="38"/>
        <v>6.3672178621895836E-2</v>
      </c>
      <c r="W61" s="1"/>
      <c r="X61" s="1">
        <f t="shared" si="39"/>
        <v>-14342.939999999944</v>
      </c>
      <c r="Y61" s="1"/>
      <c r="Z61" s="5">
        <f t="shared" si="40"/>
        <v>-4.2377350031550312E-2</v>
      </c>
    </row>
    <row r="62" spans="1:26" s="24" customFormat="1" hidden="1" outlineLevel="2" x14ac:dyDescent="0.25">
      <c r="A62" s="25"/>
      <c r="B62" s="11" t="str">
        <f>CONCATENATE("          ", "6321", " - ", "BUILDING DEPRECIATION")</f>
        <v xml:space="preserve">          6321 - BUILDING DEPRECIATION</v>
      </c>
      <c r="C62" s="11"/>
      <c r="D62" s="6">
        <v>28664</v>
      </c>
      <c r="E62" s="2"/>
      <c r="F62" s="7">
        <f t="shared" si="33"/>
        <v>0.34924810042125676</v>
      </c>
      <c r="G62" s="2"/>
      <c r="H62" s="6">
        <v>29123.47</v>
      </c>
      <c r="I62" s="2"/>
      <c r="J62" s="7">
        <f t="shared" si="34"/>
        <v>4.9238358806470484E-2</v>
      </c>
      <c r="K62" s="2"/>
      <c r="L62" s="6">
        <f t="shared" si="35"/>
        <v>-459.47000000000116</v>
      </c>
      <c r="M62" s="2"/>
      <c r="N62" s="7">
        <f t="shared" si="36"/>
        <v>-1.5776622771943079E-2</v>
      </c>
      <c r="O62" s="11"/>
      <c r="P62" s="6">
        <v>201432.19</v>
      </c>
      <c r="Q62" s="2"/>
      <c r="R62" s="7">
        <f t="shared" si="37"/>
        <v>0.72230555936153651</v>
      </c>
      <c r="S62" s="2"/>
      <c r="T62" s="6">
        <v>203864.28999999998</v>
      </c>
      <c r="U62" s="2"/>
      <c r="V62" s="7">
        <f t="shared" si="38"/>
        <v>3.8351864563945862E-2</v>
      </c>
      <c r="W62" s="2"/>
      <c r="X62" s="6">
        <f t="shared" si="39"/>
        <v>-2432.0999999999767</v>
      </c>
      <c r="Y62" s="2"/>
      <c r="Z62" s="7">
        <f t="shared" si="40"/>
        <v>-1.1929995194351973E-2</v>
      </c>
    </row>
    <row r="63" spans="1:26" s="24" customFormat="1" hidden="1" outlineLevel="2" x14ac:dyDescent="0.25">
      <c r="A63" s="25"/>
      <c r="B63" s="11" t="str">
        <f>CONCATENATE("          ", "6322", " - ", "EQUIPMENT DEPRECIATION EXPENSE")</f>
        <v xml:space="preserve">          6322 - EQUIPMENT DEPRECIATION EXPENSE</v>
      </c>
      <c r="C63" s="11"/>
      <c r="D63" s="6">
        <v>17208.849999999999</v>
      </c>
      <c r="E63" s="2"/>
      <c r="F63" s="7">
        <f t="shared" si="33"/>
        <v>0.20967618521261316</v>
      </c>
      <c r="G63" s="2"/>
      <c r="H63" s="6">
        <v>19744.8</v>
      </c>
      <c r="I63" s="2"/>
      <c r="J63" s="7">
        <f t="shared" si="34"/>
        <v>3.3382064258208187E-2</v>
      </c>
      <c r="K63" s="2"/>
      <c r="L63" s="6">
        <f t="shared" si="35"/>
        <v>-2535.9500000000007</v>
      </c>
      <c r="M63" s="2"/>
      <c r="N63" s="7">
        <f t="shared" si="36"/>
        <v>-0.12843634779790125</v>
      </c>
      <c r="O63" s="11"/>
      <c r="P63" s="6">
        <v>122682.56</v>
      </c>
      <c r="Q63" s="2"/>
      <c r="R63" s="7">
        <f t="shared" si="37"/>
        <v>0.43992122175063109</v>
      </c>
      <c r="S63" s="2"/>
      <c r="T63" s="6">
        <v>131623.65</v>
      </c>
      <c r="U63" s="2"/>
      <c r="V63" s="7">
        <f t="shared" si="38"/>
        <v>2.4761631368653201E-2</v>
      </c>
      <c r="W63" s="2"/>
      <c r="X63" s="6">
        <f t="shared" si="39"/>
        <v>-8941.0899999999965</v>
      </c>
      <c r="Y63" s="2"/>
      <c r="Z63" s="7">
        <f t="shared" si="40"/>
        <v>-6.792920573164471E-2</v>
      </c>
    </row>
    <row r="64" spans="1:26" s="24" customFormat="1" hidden="1" outlineLevel="2" x14ac:dyDescent="0.25">
      <c r="A64" s="25"/>
      <c r="B64" s="11" t="str">
        <f>CONCATENATE("          ", "6326", " - ", "VEHICLES DEPRECIATION EXPENSE")</f>
        <v xml:space="preserve">          6326 - VEHICLES DEPRECIATION EXPENSE</v>
      </c>
      <c r="C64" s="11"/>
      <c r="D64" s="6"/>
      <c r="E64" s="2"/>
      <c r="F64" s="7">
        <f t="shared" si="33"/>
        <v>0</v>
      </c>
      <c r="G64" s="2"/>
      <c r="H64" s="6">
        <v>424.25</v>
      </c>
      <c r="I64" s="2"/>
      <c r="J64" s="7">
        <f t="shared" si="34"/>
        <v>7.1726939556464612E-4</v>
      </c>
      <c r="K64" s="2"/>
      <c r="L64" s="6">
        <f t="shared" si="35"/>
        <v>-424.25</v>
      </c>
      <c r="M64" s="2"/>
      <c r="N64" s="7">
        <f t="shared" si="36"/>
        <v>-1</v>
      </c>
      <c r="O64" s="11"/>
      <c r="P64" s="6"/>
      <c r="Q64" s="2"/>
      <c r="R64" s="7">
        <f t="shared" si="37"/>
        <v>0</v>
      </c>
      <c r="S64" s="2"/>
      <c r="T64" s="6">
        <v>2969.75</v>
      </c>
      <c r="U64" s="2"/>
      <c r="V64" s="7">
        <f t="shared" si="38"/>
        <v>5.5868268929677787E-4</v>
      </c>
      <c r="W64" s="2"/>
      <c r="X64" s="6">
        <f t="shared" si="39"/>
        <v>-2969.75</v>
      </c>
      <c r="Y64" s="2"/>
      <c r="Z64" s="7">
        <f t="shared" si="40"/>
        <v>-1</v>
      </c>
    </row>
    <row r="65" spans="1:26" s="26" customFormat="1" outlineLevel="1" collapsed="1" x14ac:dyDescent="0.25">
      <c r="A65" s="27"/>
      <c r="B65" s="13" t="str">
        <f>CONCATENATE("     ","Discounts and Markdowns                           ")</f>
        <v xml:space="preserve">     Discounts and Markdowns                           </v>
      </c>
      <c r="C65" s="13"/>
      <c r="D65" s="1">
        <f>SUM(OSRRefD22_6x_0)</f>
        <v>0</v>
      </c>
      <c r="E65" s="1"/>
      <c r="F65" s="5">
        <f t="shared" ref="F65:F75" si="41">IF(D$12=0,0,D65/D$12)</f>
        <v>0</v>
      </c>
      <c r="G65" s="1"/>
      <c r="H65" s="1">
        <f>SUM(OSRRefH22_6x_0)</f>
        <v>31.87</v>
      </c>
      <c r="I65" s="1"/>
      <c r="J65" s="5">
        <f t="shared" ref="J65:J75" si="42">IF(H$12=0,0,H65/H$12)</f>
        <v>5.3881851824738412E-5</v>
      </c>
      <c r="K65" s="1"/>
      <c r="L65" s="1">
        <f t="shared" ref="L65:L75" si="43">+D65-H65</f>
        <v>-31.87</v>
      </c>
      <c r="M65" s="1"/>
      <c r="N65" s="5">
        <f t="shared" ref="N65:N75" si="44">IF(H65=0,0,L65/H65)</f>
        <v>-1</v>
      </c>
      <c r="O65" s="13"/>
      <c r="P65" s="1">
        <f>SUM(OSRRefP22_6x_0)</f>
        <v>0</v>
      </c>
      <c r="Q65" s="1"/>
      <c r="R65" s="5">
        <f t="shared" ref="R65:R75" si="45">IF(P$12=0,0,P65/P$12)</f>
        <v>0</v>
      </c>
      <c r="S65" s="1"/>
      <c r="T65" s="1">
        <f>SUM(OSRRefT22_6x_0)</f>
        <v>108.24</v>
      </c>
      <c r="U65" s="1"/>
      <c r="V65" s="5">
        <f t="shared" ref="V65:V75" si="46">IF(T$12=0,0,T65/T$12)</f>
        <v>2.0362594255234697E-5</v>
      </c>
      <c r="W65" s="1"/>
      <c r="X65" s="1">
        <f t="shared" ref="X65:X75" si="47">+P65-T65</f>
        <v>-108.24</v>
      </c>
      <c r="Y65" s="1"/>
      <c r="Z65" s="5">
        <f t="shared" ref="Z65:Z75" si="48">IF(T65=0,0,X65/T65)</f>
        <v>-1</v>
      </c>
    </row>
    <row r="66" spans="1:26" s="24" customFormat="1" hidden="1" outlineLevel="2" x14ac:dyDescent="0.25">
      <c r="A66" s="25"/>
      <c r="B66" s="11" t="str">
        <f>CONCATENATE("          ", "6382", " - ", "DISCOUNTS/MARK DOWNS")</f>
        <v xml:space="preserve">          6382 - DISCOUNTS/MARK DOWNS</v>
      </c>
      <c r="C66" s="11"/>
      <c r="D66" s="6"/>
      <c r="E66" s="2"/>
      <c r="F66" s="7">
        <f t="shared" si="41"/>
        <v>0</v>
      </c>
      <c r="G66" s="2"/>
      <c r="H66" s="6">
        <v>31.87</v>
      </c>
      <c r="I66" s="2"/>
      <c r="J66" s="7">
        <f t="shared" si="42"/>
        <v>5.3881851824738412E-5</v>
      </c>
      <c r="K66" s="2"/>
      <c r="L66" s="6">
        <f t="shared" si="43"/>
        <v>-31.87</v>
      </c>
      <c r="M66" s="2"/>
      <c r="N66" s="7">
        <f t="shared" si="44"/>
        <v>-1</v>
      </c>
      <c r="O66" s="11"/>
      <c r="P66" s="6"/>
      <c r="Q66" s="2"/>
      <c r="R66" s="7">
        <f t="shared" si="45"/>
        <v>0</v>
      </c>
      <c r="S66" s="2"/>
      <c r="T66" s="6">
        <v>108.24</v>
      </c>
      <c r="U66" s="2"/>
      <c r="V66" s="7">
        <f t="shared" si="46"/>
        <v>2.0362594255234697E-5</v>
      </c>
      <c r="W66" s="2"/>
      <c r="X66" s="6">
        <f t="shared" si="47"/>
        <v>-108.24</v>
      </c>
      <c r="Y66" s="2"/>
      <c r="Z66" s="7">
        <f t="shared" si="48"/>
        <v>-1</v>
      </c>
    </row>
    <row r="67" spans="1:26" s="26" customFormat="1" outlineLevel="1" collapsed="1" x14ac:dyDescent="0.25">
      <c r="A67" s="27"/>
      <c r="B67" s="13" t="str">
        <f>CONCATENATE("     ","Donations                                         ")</f>
        <v xml:space="preserve">     Donations                                         </v>
      </c>
      <c r="C67" s="13"/>
      <c r="D67" s="1">
        <f>SUM(OSRRefD22_7x_0)</f>
        <v>0</v>
      </c>
      <c r="E67" s="1"/>
      <c r="F67" s="5">
        <f t="shared" si="41"/>
        <v>0</v>
      </c>
      <c r="G67" s="1"/>
      <c r="H67" s="1">
        <f>SUM(OSRRefH22_7x_0)</f>
        <v>0</v>
      </c>
      <c r="I67" s="1"/>
      <c r="J67" s="5">
        <f t="shared" si="42"/>
        <v>0</v>
      </c>
      <c r="K67" s="1"/>
      <c r="L67" s="1">
        <f t="shared" si="43"/>
        <v>0</v>
      </c>
      <c r="M67" s="1"/>
      <c r="N67" s="5">
        <f t="shared" si="44"/>
        <v>0</v>
      </c>
      <c r="O67" s="13"/>
      <c r="P67" s="1">
        <f>SUM(OSRRefP22_7x_0)</f>
        <v>0</v>
      </c>
      <c r="Q67" s="1"/>
      <c r="R67" s="5">
        <f t="shared" si="45"/>
        <v>0</v>
      </c>
      <c r="S67" s="1"/>
      <c r="T67" s="1">
        <f>SUM(OSRRefT22_7x_0)</f>
        <v>236.68</v>
      </c>
      <c r="U67" s="1"/>
      <c r="V67" s="5">
        <f t="shared" si="46"/>
        <v>4.4525303107251922E-5</v>
      </c>
      <c r="W67" s="1"/>
      <c r="X67" s="1">
        <f t="shared" si="47"/>
        <v>-236.68</v>
      </c>
      <c r="Y67" s="1"/>
      <c r="Z67" s="5">
        <f t="shared" si="48"/>
        <v>-1</v>
      </c>
    </row>
    <row r="68" spans="1:26" s="24" customFormat="1" hidden="1" outlineLevel="2" x14ac:dyDescent="0.25">
      <c r="A68" s="25"/>
      <c r="B68" s="11" t="str">
        <f>CONCATENATE("          ", "6399", " - ", "DONATION-ON CAMPUS")</f>
        <v xml:space="preserve">          6399 - DONATION-ON CAMPUS</v>
      </c>
      <c r="C68" s="11"/>
      <c r="D68" s="6"/>
      <c r="E68" s="2"/>
      <c r="F68" s="7">
        <f t="shared" si="41"/>
        <v>0</v>
      </c>
      <c r="G68" s="2"/>
      <c r="H68" s="6"/>
      <c r="I68" s="2"/>
      <c r="J68" s="7">
        <f t="shared" si="42"/>
        <v>0</v>
      </c>
      <c r="K68" s="2"/>
      <c r="L68" s="6">
        <f t="shared" si="43"/>
        <v>0</v>
      </c>
      <c r="M68" s="2"/>
      <c r="N68" s="7">
        <f t="shared" si="44"/>
        <v>0</v>
      </c>
      <c r="O68" s="11"/>
      <c r="P68" s="6"/>
      <c r="Q68" s="2"/>
      <c r="R68" s="7">
        <f t="shared" si="45"/>
        <v>0</v>
      </c>
      <c r="S68" s="2"/>
      <c r="T68" s="6">
        <v>236.68</v>
      </c>
      <c r="U68" s="2"/>
      <c r="V68" s="7">
        <f t="shared" si="46"/>
        <v>4.4525303107251922E-5</v>
      </c>
      <c r="W68" s="2"/>
      <c r="X68" s="6">
        <f t="shared" si="47"/>
        <v>-236.68</v>
      </c>
      <c r="Y68" s="2"/>
      <c r="Z68" s="7">
        <f t="shared" si="48"/>
        <v>-1</v>
      </c>
    </row>
    <row r="69" spans="1:26" s="26" customFormat="1" outlineLevel="1" collapsed="1" x14ac:dyDescent="0.25">
      <c r="A69" s="27"/>
      <c r="B69" s="13" t="str">
        <f>CONCATENATE("     ","Employees' Appreciation                           ")</f>
        <v xml:space="preserve">     Employees' Appreciation                           </v>
      </c>
      <c r="C69" s="13"/>
      <c r="D69" s="1">
        <f>SUM(OSRRefD22_8x_0)</f>
        <v>0</v>
      </c>
      <c r="E69" s="1"/>
      <c r="F69" s="5">
        <f t="shared" si="41"/>
        <v>0</v>
      </c>
      <c r="G69" s="1"/>
      <c r="H69" s="1">
        <f>SUM(OSRRefH22_8x_0)</f>
        <v>202.7</v>
      </c>
      <c r="I69" s="1"/>
      <c r="J69" s="5">
        <f t="shared" si="42"/>
        <v>3.427000742037802E-4</v>
      </c>
      <c r="K69" s="1"/>
      <c r="L69" s="1">
        <f t="shared" si="43"/>
        <v>-202.7</v>
      </c>
      <c r="M69" s="1"/>
      <c r="N69" s="5">
        <f t="shared" si="44"/>
        <v>-1</v>
      </c>
      <c r="O69" s="13"/>
      <c r="P69" s="1">
        <f>SUM(OSRRefP22_8x_0)</f>
        <v>10</v>
      </c>
      <c r="Q69" s="1"/>
      <c r="R69" s="5">
        <f t="shared" si="45"/>
        <v>3.5858497063529742E-5</v>
      </c>
      <c r="S69" s="1"/>
      <c r="T69" s="1">
        <f>SUM(OSRRefT22_8x_0)</f>
        <v>1509.48</v>
      </c>
      <c r="U69" s="1"/>
      <c r="V69" s="5">
        <f t="shared" si="46"/>
        <v>2.8397014760154907E-4</v>
      </c>
      <c r="W69" s="1"/>
      <c r="X69" s="1">
        <f t="shared" si="47"/>
        <v>-1499.48</v>
      </c>
      <c r="Y69" s="1"/>
      <c r="Z69" s="5">
        <f t="shared" si="48"/>
        <v>-0.99337520205633734</v>
      </c>
    </row>
    <row r="70" spans="1:26" s="24" customFormat="1" hidden="1" outlineLevel="2" x14ac:dyDescent="0.25">
      <c r="A70" s="25"/>
      <c r="B70" s="11" t="str">
        <f>CONCATENATE("          ", "6277", " - ", "EMPLOYEE APPRECIATION")</f>
        <v xml:space="preserve">          6277 - EMPLOYEE APPRECIATION</v>
      </c>
      <c r="C70" s="11"/>
      <c r="D70" s="6"/>
      <c r="E70" s="2"/>
      <c r="F70" s="7">
        <f t="shared" si="41"/>
        <v>0</v>
      </c>
      <c r="G70" s="2"/>
      <c r="H70" s="6">
        <v>202.7</v>
      </c>
      <c r="I70" s="2"/>
      <c r="J70" s="7">
        <f t="shared" si="42"/>
        <v>3.427000742037802E-4</v>
      </c>
      <c r="K70" s="2"/>
      <c r="L70" s="6">
        <f t="shared" si="43"/>
        <v>-202.7</v>
      </c>
      <c r="M70" s="2"/>
      <c r="N70" s="7">
        <f t="shared" si="44"/>
        <v>-1</v>
      </c>
      <c r="O70" s="11"/>
      <c r="P70" s="6">
        <v>10</v>
      </c>
      <c r="Q70" s="2"/>
      <c r="R70" s="7">
        <f t="shared" si="45"/>
        <v>3.5858497063529742E-5</v>
      </c>
      <c r="S70" s="2"/>
      <c r="T70" s="6">
        <v>1509.48</v>
      </c>
      <c r="U70" s="2"/>
      <c r="V70" s="7">
        <f t="shared" si="46"/>
        <v>2.8397014760154907E-4</v>
      </c>
      <c r="W70" s="2"/>
      <c r="X70" s="6">
        <f t="shared" si="47"/>
        <v>-1499.48</v>
      </c>
      <c r="Y70" s="2"/>
      <c r="Z70" s="7">
        <f t="shared" si="48"/>
        <v>-0.99337520205633734</v>
      </c>
    </row>
    <row r="71" spans="1:26" s="26" customFormat="1" outlineLevel="1" collapsed="1" x14ac:dyDescent="0.25">
      <c r="A71" s="27"/>
      <c r="B71" s="13" t="str">
        <f>CONCATENATE("     ","Equipment Rental                                  ")</f>
        <v xml:space="preserve">     Equipment Rental                                  </v>
      </c>
      <c r="C71" s="13"/>
      <c r="D71" s="1">
        <f>SUM(OSRRefD22_9x_0)</f>
        <v>267.66000000000003</v>
      </c>
      <c r="E71" s="1"/>
      <c r="F71" s="5">
        <f t="shared" si="41"/>
        <v>3.2612247613296673E-3</v>
      </c>
      <c r="G71" s="1"/>
      <c r="H71" s="1">
        <f>SUM(OSRRefH22_9x_0)</f>
        <v>4769.88</v>
      </c>
      <c r="I71" s="1"/>
      <c r="J71" s="5">
        <f t="shared" si="42"/>
        <v>8.0643227920233207E-3</v>
      </c>
      <c r="K71" s="1"/>
      <c r="L71" s="1">
        <f t="shared" si="43"/>
        <v>-4502.22</v>
      </c>
      <c r="M71" s="1"/>
      <c r="N71" s="5">
        <f t="shared" si="44"/>
        <v>-0.94388538076429596</v>
      </c>
      <c r="O71" s="13"/>
      <c r="P71" s="1">
        <f>SUM(OSRRefP22_9x_0)</f>
        <v>4729.43</v>
      </c>
      <c r="Q71" s="1"/>
      <c r="R71" s="5">
        <f t="shared" si="45"/>
        <v>1.6959025176716946E-2</v>
      </c>
      <c r="S71" s="1"/>
      <c r="T71" s="1">
        <f>SUM(OSRRefT22_9x_0)</f>
        <v>20333.86</v>
      </c>
      <c r="U71" s="1"/>
      <c r="V71" s="5">
        <f t="shared" si="46"/>
        <v>3.8252969403431876E-3</v>
      </c>
      <c r="W71" s="1"/>
      <c r="X71" s="1">
        <f t="shared" si="47"/>
        <v>-15604.43</v>
      </c>
      <c r="Y71" s="1"/>
      <c r="Z71" s="5">
        <f t="shared" si="48"/>
        <v>-0.76741110640085064</v>
      </c>
    </row>
    <row r="72" spans="1:26" s="24" customFormat="1" hidden="1" outlineLevel="2" x14ac:dyDescent="0.25">
      <c r="A72" s="25"/>
      <c r="B72" s="11" t="str">
        <f>CONCATENATE("          ", "6351", " - ", "EQUIPMENT RENTAL")</f>
        <v xml:space="preserve">          6351 - EQUIPMENT RENTAL</v>
      </c>
      <c r="C72" s="11"/>
      <c r="D72" s="6">
        <v>267.66000000000003</v>
      </c>
      <c r="E72" s="2"/>
      <c r="F72" s="7">
        <f t="shared" si="41"/>
        <v>3.2612247613296673E-3</v>
      </c>
      <c r="G72" s="2"/>
      <c r="H72" s="6">
        <v>4769.88</v>
      </c>
      <c r="I72" s="2"/>
      <c r="J72" s="7">
        <f t="shared" si="42"/>
        <v>8.0643227920233207E-3</v>
      </c>
      <c r="K72" s="2"/>
      <c r="L72" s="6">
        <f t="shared" si="43"/>
        <v>-4502.22</v>
      </c>
      <c r="M72" s="2"/>
      <c r="N72" s="7">
        <f t="shared" si="44"/>
        <v>-0.94388538076429596</v>
      </c>
      <c r="O72" s="11"/>
      <c r="P72" s="6">
        <v>4729.43</v>
      </c>
      <c r="Q72" s="2"/>
      <c r="R72" s="7">
        <f t="shared" si="45"/>
        <v>1.6959025176716946E-2</v>
      </c>
      <c r="S72" s="2"/>
      <c r="T72" s="6">
        <v>20333.86</v>
      </c>
      <c r="U72" s="2"/>
      <c r="V72" s="7">
        <f t="shared" si="46"/>
        <v>3.8252969403431876E-3</v>
      </c>
      <c r="W72" s="2"/>
      <c r="X72" s="6">
        <f t="shared" si="47"/>
        <v>-15604.43</v>
      </c>
      <c r="Y72" s="2"/>
      <c r="Z72" s="7">
        <f t="shared" si="48"/>
        <v>-0.76741110640085064</v>
      </c>
    </row>
    <row r="73" spans="1:26" s="26" customFormat="1" outlineLevel="1" collapsed="1" x14ac:dyDescent="0.25">
      <c r="A73" s="27"/>
      <c r="B73" s="13" t="str">
        <f>CONCATENATE("     ","Freight out/Postage                               ")</f>
        <v xml:space="preserve">     Freight out/Postage                               </v>
      </c>
      <c r="C73" s="13"/>
      <c r="D73" s="1">
        <f>SUM(OSRRefD22_10x_0)</f>
        <v>8.17</v>
      </c>
      <c r="E73" s="1"/>
      <c r="F73" s="5">
        <f t="shared" si="41"/>
        <v>9.9544968617138829E-5</v>
      </c>
      <c r="G73" s="1"/>
      <c r="H73" s="1">
        <f>SUM(OSRRefH22_10x_0)</f>
        <v>7.64</v>
      </c>
      <c r="I73" s="1"/>
      <c r="J73" s="5">
        <f t="shared" si="42"/>
        <v>1.2916766487009772E-5</v>
      </c>
      <c r="K73" s="1"/>
      <c r="L73" s="1">
        <f t="shared" si="43"/>
        <v>0.53000000000000025</v>
      </c>
      <c r="M73" s="1"/>
      <c r="N73" s="5">
        <f t="shared" si="44"/>
        <v>6.9371727748691131E-2</v>
      </c>
      <c r="O73" s="13"/>
      <c r="P73" s="1">
        <f>SUM(OSRRefP22_10x_0)</f>
        <v>112.02000000000001</v>
      </c>
      <c r="Q73" s="1"/>
      <c r="R73" s="5">
        <f t="shared" si="45"/>
        <v>4.0168688410566016E-4</v>
      </c>
      <c r="S73" s="1"/>
      <c r="T73" s="1">
        <f>SUM(OSRRefT22_10x_0)</f>
        <v>233.63</v>
      </c>
      <c r="U73" s="1"/>
      <c r="V73" s="5">
        <f t="shared" si="46"/>
        <v>4.3951523428034761E-5</v>
      </c>
      <c r="W73" s="1"/>
      <c r="X73" s="1">
        <f t="shared" si="47"/>
        <v>-121.60999999999999</v>
      </c>
      <c r="Y73" s="1"/>
      <c r="Z73" s="5">
        <f t="shared" si="48"/>
        <v>-0.52052390532037829</v>
      </c>
    </row>
    <row r="74" spans="1:26" s="24" customFormat="1" hidden="1" outlineLevel="2" x14ac:dyDescent="0.25">
      <c r="A74" s="25"/>
      <c r="B74" s="11" t="str">
        <f>CONCATENATE("          ", "6305", " - ", "FREIGHT OUT")</f>
        <v xml:space="preserve">          6305 - FREIGHT OUT</v>
      </c>
      <c r="C74" s="11"/>
      <c r="D74" s="6">
        <v>8.17</v>
      </c>
      <c r="E74" s="2"/>
      <c r="F74" s="7">
        <f t="shared" si="41"/>
        <v>9.9544968617138829E-5</v>
      </c>
      <c r="G74" s="2"/>
      <c r="H74" s="6">
        <v>7.64</v>
      </c>
      <c r="I74" s="2"/>
      <c r="J74" s="7">
        <f t="shared" si="42"/>
        <v>1.2916766487009772E-5</v>
      </c>
      <c r="K74" s="2"/>
      <c r="L74" s="6">
        <f t="shared" si="43"/>
        <v>0.53000000000000025</v>
      </c>
      <c r="M74" s="2"/>
      <c r="N74" s="7">
        <f t="shared" si="44"/>
        <v>6.9371727748691131E-2</v>
      </c>
      <c r="O74" s="11"/>
      <c r="P74" s="6">
        <v>117.43</v>
      </c>
      <c r="Q74" s="2"/>
      <c r="R74" s="7">
        <f t="shared" si="45"/>
        <v>4.2108633101702975E-4</v>
      </c>
      <c r="S74" s="2"/>
      <c r="T74" s="6">
        <v>233.63</v>
      </c>
      <c r="U74" s="2"/>
      <c r="V74" s="7">
        <f t="shared" si="46"/>
        <v>4.3951523428034761E-5</v>
      </c>
      <c r="W74" s="2"/>
      <c r="X74" s="6">
        <f t="shared" si="47"/>
        <v>-116.19999999999999</v>
      </c>
      <c r="Y74" s="2"/>
      <c r="Z74" s="7">
        <f t="shared" si="48"/>
        <v>-0.49736763258143213</v>
      </c>
    </row>
    <row r="75" spans="1:26" s="24" customFormat="1" hidden="1" outlineLevel="2" x14ac:dyDescent="0.25">
      <c r="A75" s="25"/>
      <c r="B75" s="11" t="str">
        <f>CONCATENATE("          ", "6307", " - ", "POSTAGE")</f>
        <v xml:space="preserve">          6307 - POSTAGE</v>
      </c>
      <c r="C75" s="11"/>
      <c r="D75" s="6"/>
      <c r="E75" s="2"/>
      <c r="F75" s="7">
        <f t="shared" si="41"/>
        <v>0</v>
      </c>
      <c r="G75" s="2"/>
      <c r="H75" s="6"/>
      <c r="I75" s="2"/>
      <c r="J75" s="7">
        <f t="shared" si="42"/>
        <v>0</v>
      </c>
      <c r="K75" s="2"/>
      <c r="L75" s="6">
        <f t="shared" si="43"/>
        <v>0</v>
      </c>
      <c r="M75" s="2"/>
      <c r="N75" s="7">
        <f t="shared" si="44"/>
        <v>0</v>
      </c>
      <c r="O75" s="11"/>
      <c r="P75" s="6">
        <v>-5.41</v>
      </c>
      <c r="Q75" s="2"/>
      <c r="R75" s="7">
        <f t="shared" si="45"/>
        <v>-1.9399446911369591E-5</v>
      </c>
      <c r="S75" s="2"/>
      <c r="T75" s="6"/>
      <c r="U75" s="2"/>
      <c r="V75" s="7">
        <f t="shared" si="46"/>
        <v>0</v>
      </c>
      <c r="W75" s="2"/>
      <c r="X75" s="6">
        <f t="shared" si="47"/>
        <v>-5.41</v>
      </c>
      <c r="Y75" s="2"/>
      <c r="Z75" s="7">
        <f t="shared" si="48"/>
        <v>0</v>
      </c>
    </row>
    <row r="76" spans="1:26" s="26" customFormat="1" outlineLevel="1" collapsed="1" x14ac:dyDescent="0.25">
      <c r="A76" s="27"/>
      <c r="B76" s="13" t="str">
        <f>CONCATENATE("     ","General                                           ")</f>
        <v xml:space="preserve">     General                                           </v>
      </c>
      <c r="C76" s="13"/>
      <c r="D76" s="1">
        <f>SUM(OSRRefD22_11x_0)</f>
        <v>-24.99</v>
      </c>
      <c r="E76" s="1"/>
      <c r="F76" s="5">
        <f t="shared" ref="F76:F78" si="49">IF(D$12=0,0,D76/D$12)</f>
        <v>-3.0448332506025696E-4</v>
      </c>
      <c r="G76" s="1"/>
      <c r="H76" s="1">
        <f>SUM(OSRRefH22_11x_0)</f>
        <v>13174.79</v>
      </c>
      <c r="I76" s="1"/>
      <c r="J76" s="5">
        <f t="shared" ref="J76:J78" si="50">IF(H$12=0,0,H76/H$12)</f>
        <v>2.2274304443114071E-2</v>
      </c>
      <c r="K76" s="1"/>
      <c r="L76" s="1">
        <f t="shared" ref="L76:L78" si="51">+D76-H76</f>
        <v>-13199.78</v>
      </c>
      <c r="M76" s="1"/>
      <c r="N76" s="5">
        <f t="shared" ref="N76:N78" si="52">IF(H76=0,0,L76/H76)</f>
        <v>-1.0018968044272432</v>
      </c>
      <c r="O76" s="13"/>
      <c r="P76" s="1">
        <f>SUM(OSRRefP22_11x_0)</f>
        <v>7865.94</v>
      </c>
      <c r="Q76" s="1"/>
      <c r="R76" s="5">
        <f t="shared" ref="R76:R78" si="53">IF(P$12=0,0,P76/P$12)</f>
        <v>2.820607863919011E-2</v>
      </c>
      <c r="S76" s="1"/>
      <c r="T76" s="1">
        <f>SUM(OSRRefT22_11x_0)</f>
        <v>85579.44</v>
      </c>
      <c r="U76" s="1"/>
      <c r="V76" s="5">
        <f t="shared" ref="V76:V78" si="54">IF(T$12=0,0,T76/T$12)</f>
        <v>1.6099588075667061E-2</v>
      </c>
      <c r="W76" s="1"/>
      <c r="X76" s="1">
        <f t="shared" ref="X76:X78" si="55">+P76-T76</f>
        <v>-77713.5</v>
      </c>
      <c r="Y76" s="1"/>
      <c r="Z76" s="5">
        <f t="shared" ref="Z76:Z78" si="56">IF(T76=0,0,X76/T76)</f>
        <v>-0.90808610105417842</v>
      </c>
    </row>
    <row r="77" spans="1:26" s="24" customFormat="1" hidden="1" outlineLevel="2" x14ac:dyDescent="0.25">
      <c r="A77" s="25"/>
      <c r="B77" s="11" t="str">
        <f>CONCATENATE("          ", "6269", " - ", "ENTERTAINMENT")</f>
        <v xml:space="preserve">          6269 - ENTERTAINMENT</v>
      </c>
      <c r="C77" s="11"/>
      <c r="D77" s="6"/>
      <c r="E77" s="2"/>
      <c r="F77" s="7">
        <f t="shared" si="49"/>
        <v>0</v>
      </c>
      <c r="G77" s="2"/>
      <c r="H77" s="6"/>
      <c r="I77" s="2"/>
      <c r="J77" s="7">
        <f t="shared" si="50"/>
        <v>0</v>
      </c>
      <c r="K77" s="2"/>
      <c r="L77" s="6">
        <f t="shared" si="51"/>
        <v>0</v>
      </c>
      <c r="M77" s="2"/>
      <c r="N77" s="7">
        <f t="shared" si="52"/>
        <v>0</v>
      </c>
      <c r="O77" s="11"/>
      <c r="P77" s="6"/>
      <c r="Q77" s="2"/>
      <c r="R77" s="7">
        <f t="shared" si="53"/>
        <v>0</v>
      </c>
      <c r="S77" s="2"/>
      <c r="T77" s="6">
        <v>7350</v>
      </c>
      <c r="U77" s="2"/>
      <c r="V77" s="7">
        <f t="shared" si="54"/>
        <v>1.3827149646708705E-3</v>
      </c>
      <c r="W77" s="2"/>
      <c r="X77" s="6">
        <f t="shared" si="55"/>
        <v>-7350</v>
      </c>
      <c r="Y77" s="2"/>
      <c r="Z77" s="7">
        <f t="shared" si="56"/>
        <v>-1</v>
      </c>
    </row>
    <row r="78" spans="1:26" s="24" customFormat="1" hidden="1" outlineLevel="2" x14ac:dyDescent="0.25">
      <c r="A78" s="25"/>
      <c r="B78" s="11" t="str">
        <f>CONCATENATE("          ", "6279", " - ", "GENERAL EXPENSE")</f>
        <v xml:space="preserve">          6279 - GENERAL EXPENSE</v>
      </c>
      <c r="C78" s="11"/>
      <c r="D78" s="6">
        <v>-24.99</v>
      </c>
      <c r="E78" s="2"/>
      <c r="F78" s="7">
        <f t="shared" si="49"/>
        <v>-3.0448332506025696E-4</v>
      </c>
      <c r="G78" s="2"/>
      <c r="H78" s="6">
        <v>13174.79</v>
      </c>
      <c r="I78" s="2"/>
      <c r="J78" s="7">
        <f t="shared" si="50"/>
        <v>2.2274304443114071E-2</v>
      </c>
      <c r="K78" s="2"/>
      <c r="L78" s="6">
        <f t="shared" si="51"/>
        <v>-13199.78</v>
      </c>
      <c r="M78" s="2"/>
      <c r="N78" s="7">
        <f t="shared" si="52"/>
        <v>-1.0018968044272432</v>
      </c>
      <c r="O78" s="11"/>
      <c r="P78" s="6">
        <v>7865.94</v>
      </c>
      <c r="Q78" s="2"/>
      <c r="R78" s="7">
        <f t="shared" si="53"/>
        <v>2.820607863919011E-2</v>
      </c>
      <c r="S78" s="2"/>
      <c r="T78" s="6">
        <v>78229.440000000002</v>
      </c>
      <c r="U78" s="2"/>
      <c r="V78" s="7">
        <f t="shared" si="54"/>
        <v>1.471687311099619E-2</v>
      </c>
      <c r="W78" s="2"/>
      <c r="X78" s="6">
        <f t="shared" si="55"/>
        <v>-70363.5</v>
      </c>
      <c r="Y78" s="2"/>
      <c r="Z78" s="7">
        <f t="shared" si="56"/>
        <v>-0.89945038594166082</v>
      </c>
    </row>
    <row r="79" spans="1:26" s="26" customFormat="1" outlineLevel="1" collapsed="1" x14ac:dyDescent="0.25">
      <c r="A79" s="27"/>
      <c r="B79" s="13" t="str">
        <f>CONCATENATE("     ","Insurance                                         ")</f>
        <v xml:space="preserve">     Insurance                                         </v>
      </c>
      <c r="C79" s="13"/>
      <c r="D79" s="1">
        <f>SUM(OSRRefD22_12x_0)</f>
        <v>4483.67</v>
      </c>
      <c r="E79" s="1"/>
      <c r="F79" s="5">
        <f t="shared" ref="F79:F91" si="57">IF(D$12=0,0,D79/D$12)</f>
        <v>5.4629961987711979E-2</v>
      </c>
      <c r="G79" s="1"/>
      <c r="H79" s="1">
        <f>SUM(OSRRefH22_12x_0)</f>
        <v>4483.67</v>
      </c>
      <c r="I79" s="1"/>
      <c r="J79" s="5">
        <f t="shared" ref="J79:J91" si="58">IF(H$12=0,0,H79/H$12)</f>
        <v>7.580434344870564E-3</v>
      </c>
      <c r="K79" s="1"/>
      <c r="L79" s="1">
        <f t="shared" ref="L79:L91" si="59">+D79-H79</f>
        <v>0</v>
      </c>
      <c r="M79" s="1"/>
      <c r="N79" s="5">
        <f t="shared" ref="N79:N91" si="60">IF(H79=0,0,L79/H79)</f>
        <v>0</v>
      </c>
      <c r="O79" s="13"/>
      <c r="P79" s="1">
        <f>SUM(OSRRefP22_12x_0)</f>
        <v>37497.689999999995</v>
      </c>
      <c r="Q79" s="1"/>
      <c r="R79" s="5">
        <f t="shared" ref="R79:R91" si="61">IF(P$12=0,0,P79/P$12)</f>
        <v>0.13446108067541482</v>
      </c>
      <c r="S79" s="1"/>
      <c r="T79" s="1">
        <f>SUM(OSRRefT22_12x_0)</f>
        <v>31385.69</v>
      </c>
      <c r="U79" s="1"/>
      <c r="V79" s="5">
        <f t="shared" ref="V79:V91" si="62">IF(T$12=0,0,T79/T$12)</f>
        <v>5.9044167672817538E-3</v>
      </c>
      <c r="W79" s="1"/>
      <c r="X79" s="1">
        <f t="shared" ref="X79:X91" si="63">+P79-T79</f>
        <v>6111.9999999999964</v>
      </c>
      <c r="Y79" s="1"/>
      <c r="Z79" s="5">
        <f t="shared" ref="Z79:Z91" si="64">IF(T79=0,0,X79/T79)</f>
        <v>0.19473843015718298</v>
      </c>
    </row>
    <row r="80" spans="1:26" s="24" customFormat="1" hidden="1" outlineLevel="2" x14ac:dyDescent="0.25">
      <c r="A80" s="25"/>
      <c r="B80" s="11" t="str">
        <f>CONCATENATE("          ", "6314", " - ", "LIABILITY INSURANCE")</f>
        <v xml:space="preserve">          6314 - LIABILITY INSURANCE</v>
      </c>
      <c r="C80" s="11"/>
      <c r="D80" s="6">
        <v>4483.67</v>
      </c>
      <c r="E80" s="2"/>
      <c r="F80" s="7">
        <f t="shared" si="57"/>
        <v>5.4629961987711979E-2</v>
      </c>
      <c r="G80" s="2"/>
      <c r="H80" s="6">
        <v>4483.67</v>
      </c>
      <c r="I80" s="2"/>
      <c r="J80" s="7">
        <f t="shared" si="58"/>
        <v>7.580434344870564E-3</v>
      </c>
      <c r="K80" s="2"/>
      <c r="L80" s="6">
        <f t="shared" si="59"/>
        <v>0</v>
      </c>
      <c r="M80" s="2"/>
      <c r="N80" s="7">
        <f t="shared" si="60"/>
        <v>0</v>
      </c>
      <c r="O80" s="11"/>
      <c r="P80" s="6">
        <v>37497.689999999995</v>
      </c>
      <c r="Q80" s="2"/>
      <c r="R80" s="7">
        <f t="shared" si="61"/>
        <v>0.13446108067541482</v>
      </c>
      <c r="S80" s="2"/>
      <c r="T80" s="6">
        <v>31385.69</v>
      </c>
      <c r="U80" s="2"/>
      <c r="V80" s="7">
        <f t="shared" si="62"/>
        <v>5.9044167672817538E-3</v>
      </c>
      <c r="W80" s="2"/>
      <c r="X80" s="6">
        <f t="shared" si="63"/>
        <v>6111.9999999999964</v>
      </c>
      <c r="Y80" s="2"/>
      <c r="Z80" s="7">
        <f t="shared" si="64"/>
        <v>0.19473843015718298</v>
      </c>
    </row>
    <row r="81" spans="1:26" s="26" customFormat="1" outlineLevel="1" collapsed="1" x14ac:dyDescent="0.25">
      <c r="A81" s="27"/>
      <c r="B81" s="13" t="str">
        <f>CONCATENATE("     ","Interest                                          ")</f>
        <v xml:space="preserve">     Interest                                          </v>
      </c>
      <c r="C81" s="13"/>
      <c r="D81" s="1">
        <f>SUM(OSRRefD22_13x_0)</f>
        <v>11554</v>
      </c>
      <c r="E81" s="1"/>
      <c r="F81" s="5">
        <f t="shared" si="57"/>
        <v>0.14077632403946413</v>
      </c>
      <c r="G81" s="1"/>
      <c r="H81" s="1">
        <f>SUM(OSRRefH22_13x_0)</f>
        <v>11929</v>
      </c>
      <c r="I81" s="1"/>
      <c r="J81" s="5">
        <f t="shared" si="58"/>
        <v>2.0168076887897849E-2</v>
      </c>
      <c r="K81" s="1"/>
      <c r="L81" s="1">
        <f t="shared" si="59"/>
        <v>-375</v>
      </c>
      <c r="M81" s="1"/>
      <c r="N81" s="5">
        <f t="shared" si="60"/>
        <v>-3.1435996311509763E-2</v>
      </c>
      <c r="O81" s="13"/>
      <c r="P81" s="1">
        <f>SUM(OSRRefP22_13x_0)</f>
        <v>80129</v>
      </c>
      <c r="Q81" s="1"/>
      <c r="R81" s="5">
        <f t="shared" si="61"/>
        <v>0.28733055112035744</v>
      </c>
      <c r="S81" s="1"/>
      <c r="T81" s="1">
        <f>SUM(OSRRefT22_13x_0)</f>
        <v>82904</v>
      </c>
      <c r="U81" s="1"/>
      <c r="V81" s="5">
        <f t="shared" si="62"/>
        <v>1.5596272303547463E-2</v>
      </c>
      <c r="W81" s="1"/>
      <c r="X81" s="1">
        <f t="shared" si="63"/>
        <v>-2775</v>
      </c>
      <c r="Y81" s="1"/>
      <c r="Z81" s="5">
        <f t="shared" si="64"/>
        <v>-3.3472450062723147E-2</v>
      </c>
    </row>
    <row r="82" spans="1:26" s="24" customFormat="1" hidden="1" outlineLevel="2" x14ac:dyDescent="0.25">
      <c r="A82" s="25"/>
      <c r="B82" s="11" t="str">
        <f>CONCATENATE("          ", "6401", " - ", "INTEREST EXPENSE")</f>
        <v xml:space="preserve">          6401 - INTEREST EXPENSE</v>
      </c>
      <c r="C82" s="11"/>
      <c r="D82" s="6">
        <v>11554</v>
      </c>
      <c r="E82" s="2"/>
      <c r="F82" s="7">
        <f t="shared" si="57"/>
        <v>0.14077632403946413</v>
      </c>
      <c r="G82" s="2"/>
      <c r="H82" s="6">
        <v>11929</v>
      </c>
      <c r="I82" s="2"/>
      <c r="J82" s="7">
        <f t="shared" si="58"/>
        <v>2.0168076887897849E-2</v>
      </c>
      <c r="K82" s="2"/>
      <c r="L82" s="6">
        <f t="shared" si="59"/>
        <v>-375</v>
      </c>
      <c r="M82" s="2"/>
      <c r="N82" s="7">
        <f t="shared" si="60"/>
        <v>-3.1435996311509763E-2</v>
      </c>
      <c r="O82" s="11"/>
      <c r="P82" s="6">
        <v>80129</v>
      </c>
      <c r="Q82" s="2"/>
      <c r="R82" s="7">
        <f t="shared" si="61"/>
        <v>0.28733055112035744</v>
      </c>
      <c r="S82" s="2"/>
      <c r="T82" s="6">
        <v>82904</v>
      </c>
      <c r="U82" s="2"/>
      <c r="V82" s="7">
        <f t="shared" si="62"/>
        <v>1.5596272303547463E-2</v>
      </c>
      <c r="W82" s="2"/>
      <c r="X82" s="6">
        <f t="shared" si="63"/>
        <v>-2775</v>
      </c>
      <c r="Y82" s="2"/>
      <c r="Z82" s="7">
        <f t="shared" si="64"/>
        <v>-3.3472450062723147E-2</v>
      </c>
    </row>
    <row r="83" spans="1:26" s="26" customFormat="1" outlineLevel="1" collapsed="1" x14ac:dyDescent="0.25">
      <c r="A83" s="27"/>
      <c r="B83" s="13" t="str">
        <f>CONCATENATE("     ","Professional Services                             ")</f>
        <v xml:space="preserve">     Professional Services                             </v>
      </c>
      <c r="C83" s="13"/>
      <c r="D83" s="1">
        <f>SUM(OSRRefD22_14x_0)</f>
        <v>0</v>
      </c>
      <c r="E83" s="1"/>
      <c r="F83" s="5">
        <f t="shared" si="57"/>
        <v>0</v>
      </c>
      <c r="G83" s="1"/>
      <c r="H83" s="1">
        <f>SUM(OSRRefH22_14x_0)</f>
        <v>0</v>
      </c>
      <c r="I83" s="1"/>
      <c r="J83" s="5">
        <f t="shared" si="58"/>
        <v>0</v>
      </c>
      <c r="K83" s="1"/>
      <c r="L83" s="1">
        <f t="shared" si="59"/>
        <v>0</v>
      </c>
      <c r="M83" s="1"/>
      <c r="N83" s="5">
        <f t="shared" si="60"/>
        <v>0</v>
      </c>
      <c r="O83" s="13"/>
      <c r="P83" s="1">
        <f>SUM(OSRRefP22_14x_0)</f>
        <v>0</v>
      </c>
      <c r="Q83" s="1"/>
      <c r="R83" s="5">
        <f t="shared" si="61"/>
        <v>0</v>
      </c>
      <c r="S83" s="1"/>
      <c r="T83" s="1">
        <f>SUM(OSRRefT22_14x_0)</f>
        <v>125</v>
      </c>
      <c r="U83" s="1"/>
      <c r="V83" s="5">
        <f t="shared" si="62"/>
        <v>2.3515560623654262E-5</v>
      </c>
      <c r="W83" s="1"/>
      <c r="X83" s="1">
        <f t="shared" si="63"/>
        <v>-125</v>
      </c>
      <c r="Y83" s="1"/>
      <c r="Z83" s="5">
        <f t="shared" si="64"/>
        <v>-1</v>
      </c>
    </row>
    <row r="84" spans="1:26" s="24" customFormat="1" hidden="1" outlineLevel="2" x14ac:dyDescent="0.25">
      <c r="A84" s="25"/>
      <c r="B84" s="11" t="str">
        <f>CONCATENATE("          ", "6336", " - ", "PROFESSIONAL SERVICES")</f>
        <v xml:space="preserve">          6336 - PROFESSIONAL SERVICES</v>
      </c>
      <c r="C84" s="11"/>
      <c r="D84" s="6"/>
      <c r="E84" s="2"/>
      <c r="F84" s="7">
        <f t="shared" si="57"/>
        <v>0</v>
      </c>
      <c r="G84" s="2"/>
      <c r="H84" s="6"/>
      <c r="I84" s="2"/>
      <c r="J84" s="7">
        <f t="shared" si="58"/>
        <v>0</v>
      </c>
      <c r="K84" s="2"/>
      <c r="L84" s="6">
        <f t="shared" si="59"/>
        <v>0</v>
      </c>
      <c r="M84" s="2"/>
      <c r="N84" s="7">
        <f t="shared" si="60"/>
        <v>0</v>
      </c>
      <c r="O84" s="11"/>
      <c r="P84" s="6"/>
      <c r="Q84" s="2"/>
      <c r="R84" s="7">
        <f t="shared" si="61"/>
        <v>0</v>
      </c>
      <c r="S84" s="2"/>
      <c r="T84" s="6">
        <v>125</v>
      </c>
      <c r="U84" s="2"/>
      <c r="V84" s="7">
        <f t="shared" si="62"/>
        <v>2.3515560623654262E-5</v>
      </c>
      <c r="W84" s="2"/>
      <c r="X84" s="6">
        <f t="shared" si="63"/>
        <v>-125</v>
      </c>
      <c r="Y84" s="2"/>
      <c r="Z84" s="7">
        <f t="shared" si="64"/>
        <v>-1</v>
      </c>
    </row>
    <row r="85" spans="1:26" s="26" customFormat="1" outlineLevel="1" collapsed="1" x14ac:dyDescent="0.25">
      <c r="A85" s="27"/>
      <c r="B85" s="13" t="str">
        <f>CONCATENATE("     ","Rent                                              ")</f>
        <v xml:space="preserve">     Rent                                              </v>
      </c>
      <c r="C85" s="13"/>
      <c r="D85" s="1">
        <f>SUM(OSRRefD22_15x_0)</f>
        <v>0</v>
      </c>
      <c r="E85" s="1"/>
      <c r="F85" s="5">
        <f t="shared" si="57"/>
        <v>0</v>
      </c>
      <c r="G85" s="1"/>
      <c r="H85" s="1">
        <f>SUM(OSRRefH22_15x_0)</f>
        <v>3000</v>
      </c>
      <c r="I85" s="1"/>
      <c r="J85" s="5">
        <f t="shared" si="58"/>
        <v>5.0720287252656177E-3</v>
      </c>
      <c r="K85" s="1"/>
      <c r="L85" s="1">
        <f t="shared" si="59"/>
        <v>-3000</v>
      </c>
      <c r="M85" s="1"/>
      <c r="N85" s="5">
        <f t="shared" si="60"/>
        <v>-1</v>
      </c>
      <c r="O85" s="13"/>
      <c r="P85" s="1">
        <f>SUM(OSRRefP22_15x_0)</f>
        <v>11100</v>
      </c>
      <c r="Q85" s="1"/>
      <c r="R85" s="5">
        <f t="shared" si="61"/>
        <v>3.9802931740518008E-2</v>
      </c>
      <c r="S85" s="1"/>
      <c r="T85" s="1">
        <f>SUM(OSRRefT22_15x_0)</f>
        <v>21000</v>
      </c>
      <c r="U85" s="1"/>
      <c r="V85" s="5">
        <f t="shared" si="62"/>
        <v>3.9506141847739156E-3</v>
      </c>
      <c r="W85" s="1"/>
      <c r="X85" s="1">
        <f t="shared" si="63"/>
        <v>-9900</v>
      </c>
      <c r="Y85" s="1"/>
      <c r="Z85" s="5">
        <f t="shared" si="64"/>
        <v>-0.47142857142857142</v>
      </c>
    </row>
    <row r="86" spans="1:26" s="24" customFormat="1" hidden="1" outlineLevel="2" x14ac:dyDescent="0.25">
      <c r="A86" s="25"/>
      <c r="B86" s="11" t="str">
        <f>CONCATENATE("          ", "6273", " - ", "RENT")</f>
        <v xml:space="preserve">          6273 - RENT</v>
      </c>
      <c r="C86" s="11"/>
      <c r="D86" s="6"/>
      <c r="E86" s="2"/>
      <c r="F86" s="7">
        <f t="shared" si="57"/>
        <v>0</v>
      </c>
      <c r="G86" s="2"/>
      <c r="H86" s="6">
        <v>3000</v>
      </c>
      <c r="I86" s="2"/>
      <c r="J86" s="7">
        <f t="shared" si="58"/>
        <v>5.0720287252656177E-3</v>
      </c>
      <c r="K86" s="2"/>
      <c r="L86" s="6">
        <f t="shared" si="59"/>
        <v>-3000</v>
      </c>
      <c r="M86" s="2"/>
      <c r="N86" s="7">
        <f t="shared" si="60"/>
        <v>-1</v>
      </c>
      <c r="O86" s="11"/>
      <c r="P86" s="6">
        <v>11100</v>
      </c>
      <c r="Q86" s="2"/>
      <c r="R86" s="7">
        <f t="shared" si="61"/>
        <v>3.9802931740518008E-2</v>
      </c>
      <c r="S86" s="2"/>
      <c r="T86" s="6">
        <v>21000</v>
      </c>
      <c r="U86" s="2"/>
      <c r="V86" s="7">
        <f t="shared" si="62"/>
        <v>3.9506141847739156E-3</v>
      </c>
      <c r="W86" s="2"/>
      <c r="X86" s="6">
        <f t="shared" si="63"/>
        <v>-9900</v>
      </c>
      <c r="Y86" s="2"/>
      <c r="Z86" s="7">
        <f t="shared" si="64"/>
        <v>-0.47142857142857142</v>
      </c>
    </row>
    <row r="87" spans="1:26" s="26" customFormat="1" outlineLevel="1" collapsed="1" x14ac:dyDescent="0.25">
      <c r="A87" s="27"/>
      <c r="B87" s="13" t="str">
        <f>CONCATENATE("     ","Repair and Maintenance                            ")</f>
        <v xml:space="preserve">     Repair and Maintenance                            </v>
      </c>
      <c r="C87" s="13"/>
      <c r="D87" s="1">
        <f>SUM(OSRRefD22_16x_0)</f>
        <v>2909.21</v>
      </c>
      <c r="E87" s="1"/>
      <c r="F87" s="5">
        <f t="shared" si="57"/>
        <v>3.5446415930314133E-2</v>
      </c>
      <c r="G87" s="1"/>
      <c r="H87" s="1">
        <f>SUM(OSRRefH22_16x_0)</f>
        <v>33008.340000000004</v>
      </c>
      <c r="I87" s="1"/>
      <c r="J87" s="5">
        <f t="shared" si="58"/>
        <v>5.5806416217778036E-2</v>
      </c>
      <c r="K87" s="1"/>
      <c r="L87" s="1">
        <f t="shared" si="59"/>
        <v>-30099.130000000005</v>
      </c>
      <c r="M87" s="1"/>
      <c r="N87" s="5">
        <f t="shared" si="60"/>
        <v>-0.91186439548308096</v>
      </c>
      <c r="O87" s="13"/>
      <c r="P87" s="1">
        <f>SUM(OSRRefP22_16x_0)</f>
        <v>25060.04</v>
      </c>
      <c r="Q87" s="1"/>
      <c r="R87" s="5">
        <f t="shared" si="61"/>
        <v>8.9861537075193787E-2</v>
      </c>
      <c r="S87" s="1"/>
      <c r="T87" s="1">
        <f>SUM(OSRRefT22_16x_0)</f>
        <v>191845.33</v>
      </c>
      <c r="U87" s="1"/>
      <c r="V87" s="5">
        <f t="shared" si="62"/>
        <v>3.6090803903839661E-2</v>
      </c>
      <c r="W87" s="1"/>
      <c r="X87" s="1">
        <f t="shared" si="63"/>
        <v>-166785.28999999998</v>
      </c>
      <c r="Y87" s="1"/>
      <c r="Z87" s="5">
        <f t="shared" si="64"/>
        <v>-0.86937372934749046</v>
      </c>
    </row>
    <row r="88" spans="1:26" s="24" customFormat="1" hidden="1" outlineLevel="2" x14ac:dyDescent="0.25">
      <c r="A88" s="25"/>
      <c r="B88" s="11" t="str">
        <f>CONCATENATE("          ", "6371", " - ", "COMPUTER SOFTWARE MAINTENANCE")</f>
        <v xml:space="preserve">          6371 - COMPUTER SOFTWARE MAINTENANCE</v>
      </c>
      <c r="C88" s="11"/>
      <c r="D88" s="6"/>
      <c r="E88" s="2"/>
      <c r="F88" s="7">
        <f t="shared" si="57"/>
        <v>0</v>
      </c>
      <c r="G88" s="2"/>
      <c r="H88" s="6"/>
      <c r="I88" s="2"/>
      <c r="J88" s="7">
        <f t="shared" si="58"/>
        <v>0</v>
      </c>
      <c r="K88" s="2"/>
      <c r="L88" s="6">
        <f t="shared" si="59"/>
        <v>0</v>
      </c>
      <c r="M88" s="2"/>
      <c r="N88" s="7">
        <f t="shared" si="60"/>
        <v>0</v>
      </c>
      <c r="O88" s="11"/>
      <c r="P88" s="6"/>
      <c r="Q88" s="2"/>
      <c r="R88" s="7">
        <f t="shared" si="61"/>
        <v>0</v>
      </c>
      <c r="S88" s="2"/>
      <c r="T88" s="6">
        <v>12244.62</v>
      </c>
      <c r="U88" s="2"/>
      <c r="V88" s="7">
        <f t="shared" si="62"/>
        <v>2.3035128313888755E-3</v>
      </c>
      <c r="W88" s="2"/>
      <c r="X88" s="6">
        <f t="shared" si="63"/>
        <v>-12244.62</v>
      </c>
      <c r="Y88" s="2"/>
      <c r="Z88" s="7">
        <f t="shared" si="64"/>
        <v>-1</v>
      </c>
    </row>
    <row r="89" spans="1:26" s="24" customFormat="1" hidden="1" outlineLevel="2" x14ac:dyDescent="0.25">
      <c r="A89" s="25"/>
      <c r="B89" s="11" t="str">
        <f>CONCATENATE("          ", "6372", " - ", "COMPUTER HARDWARE MAINTENANCE")</f>
        <v xml:space="preserve">          6372 - COMPUTER HARDWARE MAINTENANCE</v>
      </c>
      <c r="C89" s="11"/>
      <c r="D89" s="6"/>
      <c r="E89" s="2"/>
      <c r="F89" s="7">
        <f t="shared" si="57"/>
        <v>0</v>
      </c>
      <c r="G89" s="2"/>
      <c r="H89" s="6">
        <v>-0.01</v>
      </c>
      <c r="I89" s="2"/>
      <c r="J89" s="7">
        <f t="shared" si="58"/>
        <v>-1.6906762417552059E-8</v>
      </c>
      <c r="K89" s="2"/>
      <c r="L89" s="6">
        <f t="shared" si="59"/>
        <v>0.01</v>
      </c>
      <c r="M89" s="2"/>
      <c r="N89" s="7">
        <f t="shared" si="60"/>
        <v>-1</v>
      </c>
      <c r="O89" s="11"/>
      <c r="P89" s="6"/>
      <c r="Q89" s="2"/>
      <c r="R89" s="7">
        <f t="shared" si="61"/>
        <v>0</v>
      </c>
      <c r="S89" s="2"/>
      <c r="T89" s="6">
        <v>-0.01</v>
      </c>
      <c r="U89" s="2"/>
      <c r="V89" s="7">
        <f t="shared" si="62"/>
        <v>-1.8812448498923407E-9</v>
      </c>
      <c r="W89" s="2"/>
      <c r="X89" s="6">
        <f t="shared" si="63"/>
        <v>0.01</v>
      </c>
      <c r="Y89" s="2"/>
      <c r="Z89" s="7">
        <f t="shared" si="64"/>
        <v>-1</v>
      </c>
    </row>
    <row r="90" spans="1:26" s="24" customFormat="1" hidden="1" outlineLevel="2" x14ac:dyDescent="0.25">
      <c r="A90" s="25"/>
      <c r="B90" s="11" t="str">
        <f>CONCATENATE("          ", "6373", " - ", "MAINTENANCE CONTRACTS")</f>
        <v xml:space="preserve">          6373 - MAINTENANCE CONTRACTS</v>
      </c>
      <c r="C90" s="11"/>
      <c r="D90" s="6"/>
      <c r="E90" s="2"/>
      <c r="F90" s="7">
        <f t="shared" si="57"/>
        <v>0</v>
      </c>
      <c r="G90" s="2"/>
      <c r="H90" s="6">
        <v>6799</v>
      </c>
      <c r="I90" s="2"/>
      <c r="J90" s="7">
        <f t="shared" si="58"/>
        <v>1.1494907767693645E-2</v>
      </c>
      <c r="K90" s="2"/>
      <c r="L90" s="6">
        <f t="shared" si="59"/>
        <v>-6799</v>
      </c>
      <c r="M90" s="2"/>
      <c r="N90" s="7">
        <f t="shared" si="60"/>
        <v>-1</v>
      </c>
      <c r="O90" s="11"/>
      <c r="P90" s="6">
        <v>11978.04</v>
      </c>
      <c r="Q90" s="2"/>
      <c r="R90" s="7">
        <f t="shared" si="61"/>
        <v>4.2951451216684179E-2</v>
      </c>
      <c r="S90" s="2"/>
      <c r="T90" s="6">
        <v>65703.239999999991</v>
      </c>
      <c r="U90" s="2"/>
      <c r="V90" s="7">
        <f t="shared" si="62"/>
        <v>1.2360388187124044E-2</v>
      </c>
      <c r="W90" s="2"/>
      <c r="X90" s="6">
        <f t="shared" si="63"/>
        <v>-53725.19999999999</v>
      </c>
      <c r="Y90" s="2"/>
      <c r="Z90" s="7">
        <f t="shared" si="64"/>
        <v>-0.81769483514055008</v>
      </c>
    </row>
    <row r="91" spans="1:26" s="24" customFormat="1" hidden="1" outlineLevel="2" x14ac:dyDescent="0.25">
      <c r="A91" s="25"/>
      <c r="B91" s="11" t="str">
        <f>CONCATENATE("          ", "6375", " - ", "OUTSIDE REPAIRS &amp; MAINTENANCE")</f>
        <v xml:space="preserve">          6375 - OUTSIDE REPAIRS &amp; MAINTENANCE</v>
      </c>
      <c r="C91" s="11"/>
      <c r="D91" s="6">
        <v>2909.21</v>
      </c>
      <c r="E91" s="2"/>
      <c r="F91" s="7">
        <f t="shared" si="57"/>
        <v>3.5446415930314133E-2</v>
      </c>
      <c r="G91" s="2"/>
      <c r="H91" s="6">
        <v>26209.350000000002</v>
      </c>
      <c r="I91" s="2"/>
      <c r="J91" s="7">
        <f t="shared" si="58"/>
        <v>4.4311525356846806E-2</v>
      </c>
      <c r="K91" s="2"/>
      <c r="L91" s="6">
        <f t="shared" si="59"/>
        <v>-23300.140000000003</v>
      </c>
      <c r="M91" s="2"/>
      <c r="N91" s="7">
        <f t="shared" si="60"/>
        <v>-0.88900106259788969</v>
      </c>
      <c r="O91" s="11"/>
      <c r="P91" s="6">
        <v>13082</v>
      </c>
      <c r="Q91" s="2"/>
      <c r="R91" s="7">
        <f t="shared" si="61"/>
        <v>4.6910085858509608E-2</v>
      </c>
      <c r="S91" s="2"/>
      <c r="T91" s="6">
        <v>113897.48</v>
      </c>
      <c r="U91" s="2"/>
      <c r="V91" s="7">
        <f t="shared" si="62"/>
        <v>2.1426904766571588E-2</v>
      </c>
      <c r="W91" s="2"/>
      <c r="X91" s="6">
        <f t="shared" si="63"/>
        <v>-100815.48</v>
      </c>
      <c r="Y91" s="2"/>
      <c r="Z91" s="7">
        <f t="shared" si="64"/>
        <v>-0.88514232272742122</v>
      </c>
    </row>
    <row r="92" spans="1:26" s="26" customFormat="1" outlineLevel="1" collapsed="1" x14ac:dyDescent="0.25">
      <c r="A92" s="27"/>
      <c r="B92" s="13" t="str">
        <f>CONCATENATE("     ","Royalty &amp; Commissions                             ")</f>
        <v xml:space="preserve">     Royalty &amp; Commissions                             </v>
      </c>
      <c r="C92" s="13"/>
      <c r="D92" s="1">
        <f>SUM(OSRRefD22_17x_0)</f>
        <v>0</v>
      </c>
      <c r="E92" s="1"/>
      <c r="F92" s="5">
        <f t="shared" ref="F92:F94" si="65">IF(D$12=0,0,D92/D$12)</f>
        <v>0</v>
      </c>
      <c r="G92" s="1"/>
      <c r="H92" s="1">
        <f>SUM(OSRRefH22_17x_0)</f>
        <v>25849.93</v>
      </c>
      <c r="I92" s="1"/>
      <c r="J92" s="5">
        <f t="shared" ref="J92:J94" si="66">IF(H$12=0,0,H92/H$12)</f>
        <v>4.3703862502035146E-2</v>
      </c>
      <c r="K92" s="1"/>
      <c r="L92" s="1">
        <f t="shared" ref="L92:L94" si="67">+D92-H92</f>
        <v>-25849.93</v>
      </c>
      <c r="M92" s="1"/>
      <c r="N92" s="5">
        <f t="shared" ref="N92:N94" si="68">IF(H92=0,0,L92/H92)</f>
        <v>-1</v>
      </c>
      <c r="O92" s="13"/>
      <c r="P92" s="1">
        <f>SUM(OSRRefP22_17x_0)</f>
        <v>185.7</v>
      </c>
      <c r="Q92" s="1"/>
      <c r="R92" s="5">
        <f t="shared" ref="R92:R94" si="69">IF(P$12=0,0,P92/P$12)</f>
        <v>6.6589229046974717E-4</v>
      </c>
      <c r="S92" s="1"/>
      <c r="T92" s="1">
        <f>SUM(OSRRefT22_17x_0)</f>
        <v>174856.9</v>
      </c>
      <c r="U92" s="1"/>
      <c r="V92" s="5">
        <f t="shared" ref="V92:V94" si="70">IF(T$12=0,0,T92/T$12)</f>
        <v>3.2894864259314004E-2</v>
      </c>
      <c r="W92" s="1"/>
      <c r="X92" s="1">
        <f t="shared" ref="X92:X94" si="71">+P92-T92</f>
        <v>-174671.19999999998</v>
      </c>
      <c r="Y92" s="1"/>
      <c r="Z92" s="5">
        <f t="shared" ref="Z92:Z94" si="72">IF(T92=0,0,X92/T92)</f>
        <v>-0.99893798872106265</v>
      </c>
    </row>
    <row r="93" spans="1:26" s="24" customFormat="1" hidden="1" outlineLevel="2" x14ac:dyDescent="0.25">
      <c r="A93" s="25"/>
      <c r="B93" s="11" t="str">
        <f>CONCATENATE("          ", "6254", " - ", "ROYALTY &amp; COMMISSIONS")</f>
        <v xml:space="preserve">          6254 - ROYALTY &amp; COMMISSIONS</v>
      </c>
      <c r="C93" s="11"/>
      <c r="D93" s="6"/>
      <c r="E93" s="2"/>
      <c r="F93" s="7">
        <f t="shared" si="65"/>
        <v>0</v>
      </c>
      <c r="G93" s="2"/>
      <c r="H93" s="6">
        <v>17641.37</v>
      </c>
      <c r="I93" s="2"/>
      <c r="J93" s="7">
        <f t="shared" si="66"/>
        <v>2.9825845131013034E-2</v>
      </c>
      <c r="K93" s="2"/>
      <c r="L93" s="6">
        <f t="shared" si="67"/>
        <v>-17641.37</v>
      </c>
      <c r="M93" s="2"/>
      <c r="N93" s="7">
        <f t="shared" si="68"/>
        <v>-1</v>
      </c>
      <c r="O93" s="11"/>
      <c r="P93" s="6">
        <v>185.7</v>
      </c>
      <c r="Q93" s="2"/>
      <c r="R93" s="7">
        <f t="shared" si="69"/>
        <v>6.6589229046974717E-4</v>
      </c>
      <c r="S93" s="2"/>
      <c r="T93" s="6">
        <v>94003.22</v>
      </c>
      <c r="U93" s="2"/>
      <c r="V93" s="7">
        <f t="shared" si="70"/>
        <v>1.7684307349829669E-2</v>
      </c>
      <c r="W93" s="2"/>
      <c r="X93" s="6">
        <f t="shared" si="71"/>
        <v>-93817.52</v>
      </c>
      <c r="Y93" s="2"/>
      <c r="Z93" s="7">
        <f t="shared" si="72"/>
        <v>-0.99802453575526462</v>
      </c>
    </row>
    <row r="94" spans="1:26" s="24" customFormat="1" hidden="1" outlineLevel="2" x14ac:dyDescent="0.25">
      <c r="A94" s="25"/>
      <c r="B94" s="11" t="str">
        <f>CONCATENATE("          ", "6259", " - ", "ROYALTY &amp; COMMISSIONS")</f>
        <v xml:space="preserve">          6259 - ROYALTY &amp; COMMISSIONS</v>
      </c>
      <c r="C94" s="11"/>
      <c r="D94" s="6"/>
      <c r="E94" s="2"/>
      <c r="F94" s="7">
        <f t="shared" si="65"/>
        <v>0</v>
      </c>
      <c r="G94" s="2"/>
      <c r="H94" s="6">
        <v>8208.56</v>
      </c>
      <c r="I94" s="2"/>
      <c r="J94" s="7">
        <f t="shared" si="66"/>
        <v>1.3878017371022112E-2</v>
      </c>
      <c r="K94" s="2"/>
      <c r="L94" s="6">
        <f t="shared" si="67"/>
        <v>-8208.56</v>
      </c>
      <c r="M94" s="2"/>
      <c r="N94" s="7">
        <f t="shared" si="68"/>
        <v>-1</v>
      </c>
      <c r="O94" s="11"/>
      <c r="P94" s="6"/>
      <c r="Q94" s="2"/>
      <c r="R94" s="7">
        <f t="shared" si="69"/>
        <v>0</v>
      </c>
      <c r="S94" s="2"/>
      <c r="T94" s="6">
        <v>80853.679999999993</v>
      </c>
      <c r="U94" s="2"/>
      <c r="V94" s="7">
        <f t="shared" si="70"/>
        <v>1.5210556909484335E-2</v>
      </c>
      <c r="W94" s="2"/>
      <c r="X94" s="6">
        <f t="shared" si="71"/>
        <v>-80853.679999999993</v>
      </c>
      <c r="Y94" s="2"/>
      <c r="Z94" s="7">
        <f t="shared" si="72"/>
        <v>-1</v>
      </c>
    </row>
    <row r="95" spans="1:26" s="26" customFormat="1" outlineLevel="1" collapsed="1" x14ac:dyDescent="0.25">
      <c r="A95" s="27"/>
      <c r="B95" s="13" t="str">
        <f>CONCATENATE("     ","Services                                          ")</f>
        <v xml:space="preserve">     Services                                          </v>
      </c>
      <c r="C95" s="13"/>
      <c r="D95" s="1">
        <f>SUM(OSRRefD22_18x_0)</f>
        <v>8369.75</v>
      </c>
      <c r="E95" s="1"/>
      <c r="F95" s="5">
        <f t="shared" ref="F95:F100" si="73">IF(D$12=0,0,D95/D$12)</f>
        <v>0.10197876390248442</v>
      </c>
      <c r="G95" s="1"/>
      <c r="H95" s="1">
        <f>SUM(OSRRefH22_18x_0)</f>
        <v>26964.460000000003</v>
      </c>
      <c r="I95" s="1"/>
      <c r="J95" s="5">
        <f t="shared" ref="J95:J100" si="74">IF(H$12=0,0,H95/H$12)</f>
        <v>4.5588171893758585E-2</v>
      </c>
      <c r="K95" s="1"/>
      <c r="L95" s="1">
        <f t="shared" ref="L95:L100" si="75">+D95-H95</f>
        <v>-18594.710000000003</v>
      </c>
      <c r="M95" s="1"/>
      <c r="N95" s="5">
        <f t="shared" ref="N95:N100" si="76">IF(H95=0,0,L95/H95)</f>
        <v>-0.68960068178632172</v>
      </c>
      <c r="O95" s="13"/>
      <c r="P95" s="1">
        <f>SUM(OSRRefP22_18x_0)</f>
        <v>45412.9</v>
      </c>
      <c r="Q95" s="1"/>
      <c r="R95" s="5">
        <f t="shared" ref="R95:R100" si="77">IF(P$12=0,0,P95/P$12)</f>
        <v>0.16284383412963699</v>
      </c>
      <c r="S95" s="1"/>
      <c r="T95" s="1">
        <f>SUM(OSRRefT22_18x_0)</f>
        <v>169588.72</v>
      </c>
      <c r="U95" s="1"/>
      <c r="V95" s="5">
        <f t="shared" ref="V95:V100" si="78">IF(T$12=0,0,T95/T$12)</f>
        <v>3.1903790609983419E-2</v>
      </c>
      <c r="W95" s="1"/>
      <c r="X95" s="1">
        <f t="shared" ref="X95:X100" si="79">+P95-T95</f>
        <v>-124175.82</v>
      </c>
      <c r="Y95" s="1"/>
      <c r="Z95" s="5">
        <f t="shared" ref="Z95:Z100" si="80">IF(T95=0,0,X95/T95)</f>
        <v>-0.73221744936809485</v>
      </c>
    </row>
    <row r="96" spans="1:26" s="24" customFormat="1" hidden="1" outlineLevel="2" x14ac:dyDescent="0.25">
      <c r="A96" s="25"/>
      <c r="B96" s="11" t="str">
        <f>CONCATENATE("          ", "6282", " - ", "JANITORIAL/EXTERMINATOR EXPENS")</f>
        <v xml:space="preserve">          6282 - JANITORIAL/EXTERMINATOR EXPENS</v>
      </c>
      <c r="C96" s="11"/>
      <c r="D96" s="6">
        <v>2711.75</v>
      </c>
      <c r="E96" s="2"/>
      <c r="F96" s="7">
        <f t="shared" si="73"/>
        <v>3.3040522478277386E-2</v>
      </c>
      <c r="G96" s="2"/>
      <c r="H96" s="6">
        <v>1434.77</v>
      </c>
      <c r="I96" s="2"/>
      <c r="J96" s="7">
        <f t="shared" si="74"/>
        <v>2.4257315513831167E-3</v>
      </c>
      <c r="K96" s="2"/>
      <c r="L96" s="6">
        <f t="shared" si="75"/>
        <v>1276.98</v>
      </c>
      <c r="M96" s="2"/>
      <c r="N96" s="7">
        <f t="shared" si="76"/>
        <v>0.89002418506102021</v>
      </c>
      <c r="O96" s="11"/>
      <c r="P96" s="6">
        <v>7549.93</v>
      </c>
      <c r="Q96" s="2"/>
      <c r="R96" s="7">
        <f t="shared" si="77"/>
        <v>2.7072914273485509E-2</v>
      </c>
      <c r="S96" s="2"/>
      <c r="T96" s="6">
        <v>14529.39</v>
      </c>
      <c r="U96" s="2"/>
      <c r="V96" s="7">
        <f t="shared" si="78"/>
        <v>2.7333340109577278E-3</v>
      </c>
      <c r="W96" s="2"/>
      <c r="X96" s="6">
        <f t="shared" si="79"/>
        <v>-6979.4599999999991</v>
      </c>
      <c r="Y96" s="2"/>
      <c r="Z96" s="7">
        <f t="shared" si="80"/>
        <v>-0.48036841188790441</v>
      </c>
    </row>
    <row r="97" spans="1:26" s="24" customFormat="1" hidden="1" outlineLevel="2" x14ac:dyDescent="0.25">
      <c r="A97" s="25"/>
      <c r="B97" s="11" t="str">
        <f>CONCATENATE("          ", "6283", " - ", "PLANT SERVICE")</f>
        <v xml:space="preserve">          6283 - PLANT SERVICE</v>
      </c>
      <c r="C97" s="11"/>
      <c r="D97" s="6"/>
      <c r="E97" s="2"/>
      <c r="F97" s="7">
        <f t="shared" si="73"/>
        <v>0</v>
      </c>
      <c r="G97" s="2"/>
      <c r="H97" s="6"/>
      <c r="I97" s="2"/>
      <c r="J97" s="7">
        <f t="shared" si="74"/>
        <v>0</v>
      </c>
      <c r="K97" s="2"/>
      <c r="L97" s="6">
        <f t="shared" si="75"/>
        <v>0</v>
      </c>
      <c r="M97" s="2"/>
      <c r="N97" s="7">
        <f t="shared" si="76"/>
        <v>0</v>
      </c>
      <c r="O97" s="11"/>
      <c r="P97" s="6"/>
      <c r="Q97" s="2"/>
      <c r="R97" s="7">
        <f t="shared" si="77"/>
        <v>0</v>
      </c>
      <c r="S97" s="2"/>
      <c r="T97" s="6">
        <v>799.12</v>
      </c>
      <c r="U97" s="2"/>
      <c r="V97" s="7">
        <f t="shared" si="78"/>
        <v>1.5033403844459675E-4</v>
      </c>
      <c r="W97" s="2"/>
      <c r="X97" s="6">
        <f t="shared" si="79"/>
        <v>-799.12</v>
      </c>
      <c r="Y97" s="2"/>
      <c r="Z97" s="7">
        <f t="shared" si="80"/>
        <v>-1</v>
      </c>
    </row>
    <row r="98" spans="1:26" s="24" customFormat="1" hidden="1" outlineLevel="2" x14ac:dyDescent="0.25">
      <c r="A98" s="25"/>
      <c r="B98" s="11" t="str">
        <f>CONCATENATE("          ", "6284", " - ", "TRASH REMOVAL EXPENSE")</f>
        <v xml:space="preserve">          6284 - TRASH REMOVAL EXPENSE</v>
      </c>
      <c r="C98" s="11"/>
      <c r="D98" s="6">
        <v>5658</v>
      </c>
      <c r="E98" s="2"/>
      <c r="F98" s="7">
        <f t="shared" si="73"/>
        <v>6.8938241424207042E-2</v>
      </c>
      <c r="G98" s="2"/>
      <c r="H98" s="6">
        <v>5419</v>
      </c>
      <c r="I98" s="2"/>
      <c r="J98" s="7">
        <f t="shared" si="74"/>
        <v>9.1617745540714599E-3</v>
      </c>
      <c r="K98" s="2"/>
      <c r="L98" s="6">
        <f t="shared" si="75"/>
        <v>239</v>
      </c>
      <c r="M98" s="2"/>
      <c r="N98" s="7">
        <f t="shared" si="76"/>
        <v>4.4104078243218305E-2</v>
      </c>
      <c r="O98" s="11"/>
      <c r="P98" s="6">
        <v>25104</v>
      </c>
      <c r="Q98" s="2"/>
      <c r="R98" s="7">
        <f t="shared" si="77"/>
        <v>9.0019171028285064E-2</v>
      </c>
      <c r="S98" s="2"/>
      <c r="T98" s="6">
        <v>30045</v>
      </c>
      <c r="U98" s="2"/>
      <c r="V98" s="7">
        <f t="shared" si="78"/>
        <v>5.6522001515015383E-3</v>
      </c>
      <c r="W98" s="2"/>
      <c r="X98" s="6">
        <f t="shared" si="79"/>
        <v>-4941</v>
      </c>
      <c r="Y98" s="2"/>
      <c r="Z98" s="7">
        <f t="shared" si="80"/>
        <v>-0.16445332001997004</v>
      </c>
    </row>
    <row r="99" spans="1:26" s="24" customFormat="1" hidden="1" outlineLevel="2" x14ac:dyDescent="0.25">
      <c r="A99" s="25"/>
      <c r="B99" s="11" t="str">
        <f>CONCATENATE("          ", "6285", " - ", "JANITORIAL SERVICES")</f>
        <v xml:space="preserve">          6285 - JANITORIAL SERVICES</v>
      </c>
      <c r="C99" s="11"/>
      <c r="D99" s="6"/>
      <c r="E99" s="2"/>
      <c r="F99" s="7">
        <f t="shared" si="73"/>
        <v>0</v>
      </c>
      <c r="G99" s="2"/>
      <c r="H99" s="6">
        <v>16303.92</v>
      </c>
      <c r="I99" s="2"/>
      <c r="J99" s="7">
        <f t="shared" si="74"/>
        <v>2.7564650191477535E-2</v>
      </c>
      <c r="K99" s="2"/>
      <c r="L99" s="6">
        <f t="shared" si="75"/>
        <v>-16303.92</v>
      </c>
      <c r="M99" s="2"/>
      <c r="N99" s="7">
        <f t="shared" si="76"/>
        <v>-1</v>
      </c>
      <c r="O99" s="11"/>
      <c r="P99" s="6">
        <v>11966.21</v>
      </c>
      <c r="Q99" s="2"/>
      <c r="R99" s="7">
        <f t="shared" si="77"/>
        <v>4.290903061465802E-2</v>
      </c>
      <c r="S99" s="2"/>
      <c r="T99" s="6">
        <v>96602.06</v>
      </c>
      <c r="U99" s="2"/>
      <c r="V99" s="7">
        <f t="shared" si="78"/>
        <v>1.8173212786399089E-2</v>
      </c>
      <c r="W99" s="2"/>
      <c r="X99" s="6">
        <f t="shared" si="79"/>
        <v>-84635.85</v>
      </c>
      <c r="Y99" s="2"/>
      <c r="Z99" s="7">
        <f t="shared" si="80"/>
        <v>-0.87612883203525893</v>
      </c>
    </row>
    <row r="100" spans="1:26" s="24" customFormat="1" hidden="1" outlineLevel="2" x14ac:dyDescent="0.25">
      <c r="A100" s="25"/>
      <c r="B100" s="11" t="str">
        <f>CONCATENATE("          ", "6286", " - ", "LAUNDRY EXPENSE")</f>
        <v xml:space="preserve">          6286 - LAUNDRY EXPENSE</v>
      </c>
      <c r="C100" s="11"/>
      <c r="D100" s="6"/>
      <c r="E100" s="2"/>
      <c r="F100" s="7">
        <f t="shared" si="73"/>
        <v>0</v>
      </c>
      <c r="G100" s="2"/>
      <c r="H100" s="6">
        <v>3806.77</v>
      </c>
      <c r="I100" s="2"/>
      <c r="J100" s="7">
        <f t="shared" si="74"/>
        <v>6.4360155968264648E-3</v>
      </c>
      <c r="K100" s="2"/>
      <c r="L100" s="6">
        <f t="shared" si="75"/>
        <v>-3806.77</v>
      </c>
      <c r="M100" s="2"/>
      <c r="N100" s="7">
        <f t="shared" si="76"/>
        <v>-1</v>
      </c>
      <c r="O100" s="11"/>
      <c r="P100" s="6">
        <v>792.76</v>
      </c>
      <c r="Q100" s="2"/>
      <c r="R100" s="7">
        <f t="shared" si="77"/>
        <v>2.8427182132083834E-3</v>
      </c>
      <c r="S100" s="2"/>
      <c r="T100" s="6">
        <v>27613.15</v>
      </c>
      <c r="U100" s="2"/>
      <c r="V100" s="7">
        <f t="shared" si="78"/>
        <v>5.1947096226804693E-3</v>
      </c>
      <c r="W100" s="2"/>
      <c r="X100" s="6">
        <f t="shared" si="79"/>
        <v>-26820.390000000003</v>
      </c>
      <c r="Y100" s="2"/>
      <c r="Z100" s="7">
        <f t="shared" si="80"/>
        <v>-0.971290490219334</v>
      </c>
    </row>
    <row r="101" spans="1:26" s="26" customFormat="1" outlineLevel="1" collapsed="1" x14ac:dyDescent="0.25">
      <c r="A101" s="27"/>
      <c r="B101" s="13" t="str">
        <f>CONCATENATE("     ","Subscriptions &amp; Dues                              ")</f>
        <v xml:space="preserve">     Subscriptions &amp; Dues                              </v>
      </c>
      <c r="C101" s="13"/>
      <c r="D101" s="1">
        <f>SUM(OSRRefD22_19x_0)</f>
        <v>0</v>
      </c>
      <c r="E101" s="1"/>
      <c r="F101" s="5">
        <f t="shared" ref="F101:F103" si="81">IF(D$12=0,0,D101/D$12)</f>
        <v>0</v>
      </c>
      <c r="G101" s="1"/>
      <c r="H101" s="1">
        <f>SUM(OSRRefH22_19x_0)</f>
        <v>762.37999999999988</v>
      </c>
      <c r="I101" s="1"/>
      <c r="J101" s="5">
        <f t="shared" ref="J101:J103" si="82">IF(H$12=0,0,H101/H$12)</f>
        <v>1.2889377531893336E-3</v>
      </c>
      <c r="K101" s="1"/>
      <c r="L101" s="1">
        <f t="shared" ref="L101:L103" si="83">+D101-H101</f>
        <v>-762.37999999999988</v>
      </c>
      <c r="M101" s="1"/>
      <c r="N101" s="5">
        <f t="shared" ref="N101:N103" si="84">IF(H101=0,0,L101/H101)</f>
        <v>-1</v>
      </c>
      <c r="O101" s="13"/>
      <c r="P101" s="1">
        <f>SUM(OSRRefP22_19x_0)</f>
        <v>534.16999999999996</v>
      </c>
      <c r="Q101" s="1"/>
      <c r="R101" s="5">
        <f t="shared" ref="R101:R103" si="85">IF(P$12=0,0,P101/P$12)</f>
        <v>1.9154533376425679E-3</v>
      </c>
      <c r="S101" s="1"/>
      <c r="T101" s="1">
        <f>SUM(OSRRefT22_19x_0)</f>
        <v>8095.38</v>
      </c>
      <c r="U101" s="1"/>
      <c r="V101" s="5">
        <f t="shared" ref="V101:V103" si="86">IF(T$12=0,0,T101/T$12)</f>
        <v>1.5229391932921458E-3</v>
      </c>
      <c r="W101" s="1"/>
      <c r="X101" s="1">
        <f t="shared" ref="X101:X103" si="87">+P101-T101</f>
        <v>-7561.21</v>
      </c>
      <c r="Y101" s="1"/>
      <c r="Z101" s="5">
        <f t="shared" ref="Z101:Z103" si="88">IF(T101=0,0,X101/T101)</f>
        <v>-0.93401545078798032</v>
      </c>
    </row>
    <row r="102" spans="1:26" s="24" customFormat="1" hidden="1" outlineLevel="2" x14ac:dyDescent="0.25">
      <c r="A102" s="25"/>
      <c r="B102" s="11" t="str">
        <f>CONCATENATE("          ", "6258", " - ", "MEMBERSHIP DUES")</f>
        <v xml:space="preserve">          6258 - MEMBERSHIP DUES</v>
      </c>
      <c r="C102" s="11"/>
      <c r="D102" s="6"/>
      <c r="E102" s="2"/>
      <c r="F102" s="7">
        <f t="shared" si="81"/>
        <v>0</v>
      </c>
      <c r="G102" s="2"/>
      <c r="H102" s="6">
        <v>131.19999999999999</v>
      </c>
      <c r="I102" s="2"/>
      <c r="J102" s="7">
        <f t="shared" si="82"/>
        <v>2.2181672291828299E-4</v>
      </c>
      <c r="K102" s="2"/>
      <c r="L102" s="6">
        <f t="shared" si="83"/>
        <v>-131.19999999999999</v>
      </c>
      <c r="M102" s="2"/>
      <c r="N102" s="7">
        <f t="shared" si="84"/>
        <v>-1</v>
      </c>
      <c r="O102" s="11"/>
      <c r="P102" s="6"/>
      <c r="Q102" s="2"/>
      <c r="R102" s="7">
        <f t="shared" si="85"/>
        <v>0</v>
      </c>
      <c r="S102" s="2"/>
      <c r="T102" s="6">
        <v>3861.2</v>
      </c>
      <c r="U102" s="2"/>
      <c r="V102" s="7">
        <f t="shared" si="86"/>
        <v>7.2638626144043059E-4</v>
      </c>
      <c r="W102" s="2"/>
      <c r="X102" s="6">
        <f t="shared" si="87"/>
        <v>-3861.2</v>
      </c>
      <c r="Y102" s="2"/>
      <c r="Z102" s="7">
        <f t="shared" si="88"/>
        <v>-1</v>
      </c>
    </row>
    <row r="103" spans="1:26" s="24" customFormat="1" hidden="1" outlineLevel="2" x14ac:dyDescent="0.25">
      <c r="A103" s="25"/>
      <c r="B103" s="11" t="str">
        <f>CONCATENATE("          ", "6275", " - ", "SUBSCRIPTIONS")</f>
        <v xml:space="preserve">          6275 - SUBSCRIPTIONS</v>
      </c>
      <c r="C103" s="11"/>
      <c r="D103" s="6"/>
      <c r="E103" s="2"/>
      <c r="F103" s="7">
        <f t="shared" si="81"/>
        <v>0</v>
      </c>
      <c r="G103" s="2"/>
      <c r="H103" s="6">
        <v>631.17999999999995</v>
      </c>
      <c r="I103" s="2"/>
      <c r="J103" s="7">
        <f t="shared" si="82"/>
        <v>1.0671210302710507E-3</v>
      </c>
      <c r="K103" s="2"/>
      <c r="L103" s="6">
        <f t="shared" si="83"/>
        <v>-631.17999999999995</v>
      </c>
      <c r="M103" s="2"/>
      <c r="N103" s="7">
        <f t="shared" si="84"/>
        <v>-1</v>
      </c>
      <c r="O103" s="11"/>
      <c r="P103" s="6">
        <v>534.16999999999996</v>
      </c>
      <c r="Q103" s="2"/>
      <c r="R103" s="7">
        <f t="shared" si="85"/>
        <v>1.9154533376425679E-3</v>
      </c>
      <c r="S103" s="2"/>
      <c r="T103" s="6">
        <v>4234.18</v>
      </c>
      <c r="U103" s="2"/>
      <c r="V103" s="7">
        <f t="shared" si="86"/>
        <v>7.9655293185171522E-4</v>
      </c>
      <c r="W103" s="2"/>
      <c r="X103" s="6">
        <f t="shared" si="87"/>
        <v>-3700.01</v>
      </c>
      <c r="Y103" s="2"/>
      <c r="Z103" s="7">
        <f t="shared" si="88"/>
        <v>-0.87384334156790688</v>
      </c>
    </row>
    <row r="104" spans="1:26" s="26" customFormat="1" outlineLevel="1" collapsed="1" x14ac:dyDescent="0.25">
      <c r="A104" s="27"/>
      <c r="B104" s="13" t="str">
        <f>CONCATENATE("     ","Supplies                                          ")</f>
        <v xml:space="preserve">     Supplies                                          </v>
      </c>
      <c r="C104" s="13"/>
      <c r="D104" s="1">
        <f>SUM(OSRRefD22_20x_0)</f>
        <v>116.72999999999999</v>
      </c>
      <c r="E104" s="1"/>
      <c r="F104" s="5">
        <f t="shared" ref="F104:F113" si="89">IF(D$12=0,0,D104/D$12)</f>
        <v>1.4222624463498916E-3</v>
      </c>
      <c r="G104" s="1"/>
      <c r="H104" s="1">
        <f>SUM(OSRRefH22_20x_0)</f>
        <v>18146.360000000004</v>
      </c>
      <c r="I104" s="1"/>
      <c r="J104" s="5">
        <f t="shared" ref="J104:J113" si="90">IF(H$12=0,0,H104/H$12)</f>
        <v>3.0679619726337003E-2</v>
      </c>
      <c r="K104" s="1"/>
      <c r="L104" s="1">
        <f t="shared" ref="L104:L113" si="91">+D104-H104</f>
        <v>-18029.630000000005</v>
      </c>
      <c r="M104" s="1"/>
      <c r="N104" s="5">
        <f t="shared" ref="N104:N113" si="92">IF(H104=0,0,L104/H104)</f>
        <v>-0.99356730495812939</v>
      </c>
      <c r="O104" s="13"/>
      <c r="P104" s="1">
        <f>SUM(OSRRefP22_20x_0)</f>
        <v>-20335.499999999996</v>
      </c>
      <c r="Q104" s="1"/>
      <c r="R104" s="5">
        <f t="shared" ref="R104:R113" si="93">IF(P$12=0,0,P104/P$12)</f>
        <v>-7.2920046703540894E-2</v>
      </c>
      <c r="S104" s="1"/>
      <c r="T104" s="1">
        <f>SUM(OSRRefT22_20x_0)</f>
        <v>172431.55</v>
      </c>
      <c r="U104" s="1"/>
      <c r="V104" s="5">
        <f t="shared" ref="V104:V113" si="94">IF(T$12=0,0,T104/T$12)</f>
        <v>3.2438596539645363E-2</v>
      </c>
      <c r="W104" s="1"/>
      <c r="X104" s="1">
        <f t="shared" ref="X104:X113" si="95">+P104-T104</f>
        <v>-192767.05</v>
      </c>
      <c r="Y104" s="1"/>
      <c r="Z104" s="5">
        <f t="shared" ref="Z104:Z113" si="96">IF(T104=0,0,X104/T104)</f>
        <v>-1.1179337540026753</v>
      </c>
    </row>
    <row r="105" spans="1:26" s="24" customFormat="1" hidden="1" outlineLevel="2" x14ac:dyDescent="0.25">
      <c r="A105" s="25"/>
      <c r="B105" s="11" t="str">
        <f>CONCATENATE("          ", "6234", " - ", "EXPENDABLE SUPPLIES &amp; EQUIPMEN")</f>
        <v xml:space="preserve">          6234 - EXPENDABLE SUPPLIES &amp; EQUIPMEN</v>
      </c>
      <c r="C105" s="11"/>
      <c r="D105" s="6"/>
      <c r="E105" s="2"/>
      <c r="F105" s="7">
        <f t="shared" si="89"/>
        <v>0</v>
      </c>
      <c r="G105" s="2"/>
      <c r="H105" s="6">
        <v>1008.79</v>
      </c>
      <c r="I105" s="2"/>
      <c r="J105" s="7">
        <f t="shared" si="90"/>
        <v>1.7055372859202341E-3</v>
      </c>
      <c r="K105" s="2"/>
      <c r="L105" s="6">
        <f t="shared" si="91"/>
        <v>-1008.79</v>
      </c>
      <c r="M105" s="2"/>
      <c r="N105" s="7">
        <f t="shared" si="92"/>
        <v>-1</v>
      </c>
      <c r="O105" s="11"/>
      <c r="P105" s="6">
        <v>627.58000000000004</v>
      </c>
      <c r="Q105" s="2"/>
      <c r="R105" s="7">
        <f t="shared" si="93"/>
        <v>2.2504075587129998E-3</v>
      </c>
      <c r="S105" s="2"/>
      <c r="T105" s="6">
        <v>14303.97</v>
      </c>
      <c r="U105" s="2"/>
      <c r="V105" s="7">
        <f t="shared" si="94"/>
        <v>2.6909269895514544E-3</v>
      </c>
      <c r="W105" s="2"/>
      <c r="X105" s="6">
        <f t="shared" si="95"/>
        <v>-13676.39</v>
      </c>
      <c r="Y105" s="2"/>
      <c r="Z105" s="7">
        <f t="shared" si="96"/>
        <v>-0.95612546726538161</v>
      </c>
    </row>
    <row r="106" spans="1:26" s="24" customFormat="1" hidden="1" outlineLevel="2" x14ac:dyDescent="0.25">
      <c r="A106" s="25"/>
      <c r="B106" s="11" t="str">
        <f>CONCATENATE("          ", "6235", " - ", "COVID-19 EXPENSES")</f>
        <v xml:space="preserve">          6235 - COVID-19 EXPENSES</v>
      </c>
      <c r="C106" s="11"/>
      <c r="D106" s="6"/>
      <c r="E106" s="2"/>
      <c r="F106" s="7">
        <f t="shared" si="89"/>
        <v>0</v>
      </c>
      <c r="G106" s="2"/>
      <c r="H106" s="6"/>
      <c r="I106" s="2"/>
      <c r="J106" s="7">
        <f t="shared" si="90"/>
        <v>0</v>
      </c>
      <c r="K106" s="2"/>
      <c r="L106" s="6">
        <f t="shared" si="91"/>
        <v>0</v>
      </c>
      <c r="M106" s="2"/>
      <c r="N106" s="7">
        <f t="shared" si="92"/>
        <v>0</v>
      </c>
      <c r="O106" s="11"/>
      <c r="P106" s="6">
        <v>7089.13</v>
      </c>
      <c r="Q106" s="2"/>
      <c r="R106" s="7">
        <f t="shared" si="93"/>
        <v>2.5420554728798058E-2</v>
      </c>
      <c r="S106" s="2"/>
      <c r="T106" s="6"/>
      <c r="U106" s="2"/>
      <c r="V106" s="7">
        <f t="shared" si="94"/>
        <v>0</v>
      </c>
      <c r="W106" s="2"/>
      <c r="X106" s="6">
        <f t="shared" si="95"/>
        <v>7089.13</v>
      </c>
      <c r="Y106" s="2"/>
      <c r="Z106" s="7">
        <f t="shared" si="96"/>
        <v>0</v>
      </c>
    </row>
    <row r="107" spans="1:26" s="24" customFormat="1" hidden="1" outlineLevel="2" x14ac:dyDescent="0.25">
      <c r="A107" s="25"/>
      <c r="B107" s="11" t="str">
        <f>CONCATENATE("          ", "6237", " - ", "JANITORIAL SUPPLIES")</f>
        <v xml:space="preserve">          6237 - JANITORIAL SUPPLIES</v>
      </c>
      <c r="C107" s="11"/>
      <c r="D107" s="6"/>
      <c r="E107" s="2"/>
      <c r="F107" s="7">
        <f t="shared" si="89"/>
        <v>0</v>
      </c>
      <c r="G107" s="2"/>
      <c r="H107" s="6">
        <v>6298.01</v>
      </c>
      <c r="I107" s="2"/>
      <c r="J107" s="7">
        <f t="shared" si="90"/>
        <v>1.0647895877336704E-2</v>
      </c>
      <c r="K107" s="2"/>
      <c r="L107" s="6">
        <f t="shared" si="91"/>
        <v>-6298.01</v>
      </c>
      <c r="M107" s="2"/>
      <c r="N107" s="7">
        <f t="shared" si="92"/>
        <v>-1</v>
      </c>
      <c r="O107" s="11"/>
      <c r="P107" s="6">
        <v>676.48</v>
      </c>
      <c r="Q107" s="2"/>
      <c r="R107" s="7">
        <f t="shared" si="93"/>
        <v>2.4257556093536599E-3</v>
      </c>
      <c r="S107" s="2"/>
      <c r="T107" s="6">
        <v>39295.919999999998</v>
      </c>
      <c r="U107" s="2"/>
      <c r="V107" s="7">
        <f t="shared" si="94"/>
        <v>7.392524712178143E-3</v>
      </c>
      <c r="W107" s="2"/>
      <c r="X107" s="6">
        <f t="shared" si="95"/>
        <v>-38619.439999999995</v>
      </c>
      <c r="Y107" s="2"/>
      <c r="Z107" s="7">
        <f t="shared" si="96"/>
        <v>-0.98278498123978253</v>
      </c>
    </row>
    <row r="108" spans="1:26" s="24" customFormat="1" hidden="1" outlineLevel="2" x14ac:dyDescent="0.25">
      <c r="A108" s="25"/>
      <c r="B108" s="11" t="str">
        <f>CONCATENATE("          ", "6239", " - ", "KITCHEN SUPPLIES")</f>
        <v xml:space="preserve">          6239 - KITCHEN SUPPLIES</v>
      </c>
      <c r="C108" s="11"/>
      <c r="D108" s="6"/>
      <c r="E108" s="2"/>
      <c r="F108" s="7">
        <f t="shared" si="89"/>
        <v>0</v>
      </c>
      <c r="G108" s="2"/>
      <c r="H108" s="6">
        <v>2478.48</v>
      </c>
      <c r="I108" s="2"/>
      <c r="J108" s="7">
        <f t="shared" si="90"/>
        <v>4.1903072516654427E-3</v>
      </c>
      <c r="K108" s="2"/>
      <c r="L108" s="6">
        <f t="shared" si="91"/>
        <v>-2478.48</v>
      </c>
      <c r="M108" s="2"/>
      <c r="N108" s="7">
        <f t="shared" si="92"/>
        <v>-1</v>
      </c>
      <c r="O108" s="11"/>
      <c r="P108" s="6">
        <v>19.829999999999998</v>
      </c>
      <c r="Q108" s="2"/>
      <c r="R108" s="7">
        <f t="shared" si="93"/>
        <v>7.1107399676979469E-5</v>
      </c>
      <c r="S108" s="2"/>
      <c r="T108" s="6">
        <v>35912.32</v>
      </c>
      <c r="U108" s="2"/>
      <c r="V108" s="7">
        <f t="shared" si="94"/>
        <v>6.755986704768571E-3</v>
      </c>
      <c r="W108" s="2"/>
      <c r="X108" s="6">
        <f t="shared" si="95"/>
        <v>-35892.49</v>
      </c>
      <c r="Y108" s="2"/>
      <c r="Z108" s="7">
        <f t="shared" si="96"/>
        <v>-0.99944782180599856</v>
      </c>
    </row>
    <row r="109" spans="1:26" s="24" customFormat="1" hidden="1" outlineLevel="2" x14ac:dyDescent="0.25">
      <c r="A109" s="25"/>
      <c r="B109" s="11" t="str">
        <f>CONCATENATE("          ", "6241", " - ", "OFFICE EXPENSE")</f>
        <v xml:space="preserve">          6241 - OFFICE EXPENSE</v>
      </c>
      <c r="C109" s="11"/>
      <c r="D109" s="6">
        <v>51.24</v>
      </c>
      <c r="E109" s="2"/>
      <c r="F109" s="7">
        <f t="shared" si="89"/>
        <v>6.2431875054372017E-4</v>
      </c>
      <c r="G109" s="2"/>
      <c r="H109" s="6">
        <v>1032.5999999999999</v>
      </c>
      <c r="I109" s="2"/>
      <c r="J109" s="7">
        <f t="shared" si="90"/>
        <v>1.7457922872364253E-3</v>
      </c>
      <c r="K109" s="2"/>
      <c r="L109" s="6">
        <f t="shared" si="91"/>
        <v>-981.3599999999999</v>
      </c>
      <c r="M109" s="2"/>
      <c r="N109" s="7">
        <f t="shared" si="92"/>
        <v>-0.95037768739105166</v>
      </c>
      <c r="O109" s="11"/>
      <c r="P109" s="6">
        <v>-28935.289999999997</v>
      </c>
      <c r="Q109" s="2"/>
      <c r="R109" s="7">
        <f t="shared" si="93"/>
        <v>-0.10375760114973813</v>
      </c>
      <c r="S109" s="2"/>
      <c r="T109" s="6">
        <v>17441.88</v>
      </c>
      <c r="U109" s="2"/>
      <c r="V109" s="7">
        <f t="shared" si="94"/>
        <v>3.2812446922440225E-3</v>
      </c>
      <c r="W109" s="2"/>
      <c r="X109" s="6">
        <f t="shared" si="95"/>
        <v>-46377.17</v>
      </c>
      <c r="Y109" s="2"/>
      <c r="Z109" s="7">
        <f t="shared" si="96"/>
        <v>-2.6589547686373254</v>
      </c>
    </row>
    <row r="110" spans="1:26" s="24" customFormat="1" hidden="1" outlineLevel="2" x14ac:dyDescent="0.25">
      <c r="A110" s="25"/>
      <c r="B110" s="11" t="str">
        <f>CONCATENATE("          ", "6243", " - ", "PAPER SUPPLIES")</f>
        <v xml:space="preserve">          6243 - PAPER SUPPLIES</v>
      </c>
      <c r="C110" s="11"/>
      <c r="D110" s="6">
        <v>65.489999999999995</v>
      </c>
      <c r="E110" s="2"/>
      <c r="F110" s="7">
        <f t="shared" si="89"/>
        <v>7.9794369580617154E-4</v>
      </c>
      <c r="G110" s="2"/>
      <c r="H110" s="6">
        <v>5443.22</v>
      </c>
      <c r="I110" s="2"/>
      <c r="J110" s="7">
        <f t="shared" si="90"/>
        <v>9.2027227326467714E-3</v>
      </c>
      <c r="K110" s="2"/>
      <c r="L110" s="6">
        <f t="shared" si="91"/>
        <v>-5377.7300000000005</v>
      </c>
      <c r="M110" s="2"/>
      <c r="N110" s="7">
        <f t="shared" si="92"/>
        <v>-0.98796851863419088</v>
      </c>
      <c r="O110" s="11"/>
      <c r="P110" s="6">
        <v>65.489999999999995</v>
      </c>
      <c r="Q110" s="2"/>
      <c r="R110" s="7">
        <f t="shared" si="93"/>
        <v>2.3483729726905624E-4</v>
      </c>
      <c r="S110" s="2"/>
      <c r="T110" s="6">
        <v>27642.070000000003</v>
      </c>
      <c r="U110" s="2"/>
      <c r="V110" s="7">
        <f t="shared" si="94"/>
        <v>5.2001501827863587E-3</v>
      </c>
      <c r="W110" s="2"/>
      <c r="X110" s="6">
        <f t="shared" si="95"/>
        <v>-27576.58</v>
      </c>
      <c r="Y110" s="2"/>
      <c r="Z110" s="7">
        <f t="shared" si="96"/>
        <v>-0.99763078524871684</v>
      </c>
    </row>
    <row r="111" spans="1:26" s="24" customFormat="1" hidden="1" outlineLevel="2" x14ac:dyDescent="0.25">
      <c r="A111" s="25"/>
      <c r="B111" s="11" t="str">
        <f>CONCATENATE("          ", "6245", " - ", "PRINTING")</f>
        <v xml:space="preserve">          6245 - PRINTING</v>
      </c>
      <c r="C111" s="11"/>
      <c r="D111" s="6"/>
      <c r="E111" s="2"/>
      <c r="F111" s="7">
        <f t="shared" si="89"/>
        <v>0</v>
      </c>
      <c r="G111" s="2"/>
      <c r="H111" s="6">
        <v>260.38</v>
      </c>
      <c r="I111" s="2"/>
      <c r="J111" s="7">
        <f t="shared" si="90"/>
        <v>4.4021827982822047E-4</v>
      </c>
      <c r="K111" s="2"/>
      <c r="L111" s="6">
        <f t="shared" si="91"/>
        <v>-260.38</v>
      </c>
      <c r="M111" s="2"/>
      <c r="N111" s="7">
        <f t="shared" si="92"/>
        <v>-1</v>
      </c>
      <c r="O111" s="11"/>
      <c r="P111" s="6"/>
      <c r="Q111" s="2"/>
      <c r="R111" s="7">
        <f t="shared" si="93"/>
        <v>0</v>
      </c>
      <c r="S111" s="2"/>
      <c r="T111" s="6">
        <v>613.02</v>
      </c>
      <c r="U111" s="2"/>
      <c r="V111" s="7">
        <f t="shared" si="94"/>
        <v>1.1532407178810028E-4</v>
      </c>
      <c r="W111" s="2"/>
      <c r="X111" s="6">
        <f t="shared" si="95"/>
        <v>-613.02</v>
      </c>
      <c r="Y111" s="2"/>
      <c r="Z111" s="7">
        <f t="shared" si="96"/>
        <v>-1</v>
      </c>
    </row>
    <row r="112" spans="1:26" s="24" customFormat="1" hidden="1" outlineLevel="2" x14ac:dyDescent="0.25">
      <c r="A112" s="25"/>
      <c r="B112" s="11" t="str">
        <f>CONCATENATE("          ", "6247", " - ", "STORE SUPPLIES")</f>
        <v xml:space="preserve">          6247 - STORE SUPPLIES</v>
      </c>
      <c r="C112" s="11"/>
      <c r="D112" s="6"/>
      <c r="E112" s="2"/>
      <c r="F112" s="7">
        <f t="shared" si="89"/>
        <v>0</v>
      </c>
      <c r="G112" s="2"/>
      <c r="H112" s="6">
        <v>1475.93</v>
      </c>
      <c r="I112" s="2"/>
      <c r="J112" s="7">
        <f t="shared" si="90"/>
        <v>2.4953197854937609E-3</v>
      </c>
      <c r="K112" s="2"/>
      <c r="L112" s="6">
        <f t="shared" si="91"/>
        <v>-1475.93</v>
      </c>
      <c r="M112" s="2"/>
      <c r="N112" s="7">
        <f t="shared" si="92"/>
        <v>-1</v>
      </c>
      <c r="O112" s="11"/>
      <c r="P112" s="6">
        <v>121.28</v>
      </c>
      <c r="Q112" s="2"/>
      <c r="R112" s="7">
        <f t="shared" si="93"/>
        <v>4.3489185238648867E-4</v>
      </c>
      <c r="S112" s="2"/>
      <c r="T112" s="6">
        <v>33339.67</v>
      </c>
      <c r="U112" s="2"/>
      <c r="V112" s="7">
        <f t="shared" si="94"/>
        <v>6.2720082484610173E-3</v>
      </c>
      <c r="W112" s="2"/>
      <c r="X112" s="6">
        <f t="shared" si="95"/>
        <v>-33218.39</v>
      </c>
      <c r="Y112" s="2"/>
      <c r="Z112" s="7">
        <f t="shared" si="96"/>
        <v>-0.99636229152838052</v>
      </c>
    </row>
    <row r="113" spans="1:26" s="24" customFormat="1" hidden="1" outlineLevel="2" x14ac:dyDescent="0.25">
      <c r="A113" s="25"/>
      <c r="B113" s="11" t="str">
        <f>CONCATENATE("          ", "6248", " - ", "UNIFORMS")</f>
        <v xml:space="preserve">          6248 - UNIFORMS</v>
      </c>
      <c r="C113" s="11"/>
      <c r="D113" s="6"/>
      <c r="E113" s="2"/>
      <c r="F113" s="7">
        <f t="shared" si="89"/>
        <v>0</v>
      </c>
      <c r="G113" s="2"/>
      <c r="H113" s="6">
        <v>148.94999999999999</v>
      </c>
      <c r="I113" s="2"/>
      <c r="J113" s="7">
        <f t="shared" si="90"/>
        <v>2.5182622620943787E-4</v>
      </c>
      <c r="K113" s="2"/>
      <c r="L113" s="6">
        <f t="shared" si="91"/>
        <v>-148.94999999999999</v>
      </c>
      <c r="M113" s="2"/>
      <c r="N113" s="7">
        <f t="shared" si="92"/>
        <v>-1</v>
      </c>
      <c r="O113" s="11"/>
      <c r="P113" s="6"/>
      <c r="Q113" s="2"/>
      <c r="R113" s="7">
        <f t="shared" si="93"/>
        <v>0</v>
      </c>
      <c r="S113" s="2"/>
      <c r="T113" s="6">
        <v>3882.7</v>
      </c>
      <c r="U113" s="2"/>
      <c r="V113" s="7">
        <f t="shared" si="94"/>
        <v>7.304309378676991E-4</v>
      </c>
      <c r="W113" s="2"/>
      <c r="X113" s="6">
        <f t="shared" si="95"/>
        <v>-3882.7</v>
      </c>
      <c r="Y113" s="2"/>
      <c r="Z113" s="7">
        <f t="shared" si="96"/>
        <v>-1</v>
      </c>
    </row>
    <row r="114" spans="1:26" s="26" customFormat="1" outlineLevel="1" collapsed="1" x14ac:dyDescent="0.25">
      <c r="A114" s="27"/>
      <c r="B114" s="13" t="str">
        <f>CONCATENATE("     ","Telephone/Data Lines                              ")</f>
        <v xml:space="preserve">     Telephone/Data Lines                              </v>
      </c>
      <c r="C114" s="13"/>
      <c r="D114" s="1">
        <f>SUM(OSRRefD22_21x_0)</f>
        <v>573.5</v>
      </c>
      <c r="E114" s="1"/>
      <c r="F114" s="5">
        <f t="shared" ref="F114:F121" si="97">IF(D$12=0,0,D114/D$12)</f>
        <v>6.9876425338958534E-3</v>
      </c>
      <c r="G114" s="1"/>
      <c r="H114" s="1">
        <f>SUM(OSRRefH22_21x_0)</f>
        <v>3306.87</v>
      </c>
      <c r="I114" s="1"/>
      <c r="J114" s="5">
        <f t="shared" ref="J114:J121" si="98">IF(H$12=0,0,H114/H$12)</f>
        <v>5.5908465435730373E-3</v>
      </c>
      <c r="K114" s="1"/>
      <c r="L114" s="1">
        <f t="shared" ref="L114:L121" si="99">+D114-H114</f>
        <v>-2733.37</v>
      </c>
      <c r="M114" s="1"/>
      <c r="N114" s="5">
        <f t="shared" ref="N114:N121" si="100">IF(H114=0,0,L114/H114)</f>
        <v>-0.82657316435178885</v>
      </c>
      <c r="O114" s="13"/>
      <c r="P114" s="1">
        <f>SUM(OSRRefP22_21x_0)</f>
        <v>7885.06</v>
      </c>
      <c r="Q114" s="1"/>
      <c r="R114" s="5">
        <f t="shared" ref="R114:R121" si="101">IF(P$12=0,0,P114/P$12)</f>
        <v>2.8274640085575582E-2</v>
      </c>
      <c r="S114" s="1"/>
      <c r="T114" s="1">
        <f>SUM(OSRRefT22_21x_0)</f>
        <v>15851.649999999998</v>
      </c>
      <c r="U114" s="1"/>
      <c r="V114" s="5">
        <f t="shared" ref="V114:V121" si="102">IF(T$12=0,0,T114/T$12)</f>
        <v>2.9820834924795922E-3</v>
      </c>
      <c r="W114" s="1"/>
      <c r="X114" s="1">
        <f t="shared" ref="X114:X121" si="103">+P114-T114</f>
        <v>-7966.5899999999974</v>
      </c>
      <c r="Y114" s="1"/>
      <c r="Z114" s="5">
        <f t="shared" ref="Z114:Z121" si="104">IF(T114=0,0,X114/T114)</f>
        <v>-0.50257165657833713</v>
      </c>
    </row>
    <row r="115" spans="1:26" s="24" customFormat="1" hidden="1" outlineLevel="2" x14ac:dyDescent="0.25">
      <c r="A115" s="25"/>
      <c r="B115" s="11" t="str">
        <f>CONCATENATE("          ", "6309", " - ", "TELEPHONE")</f>
        <v xml:space="preserve">          6309 - TELEPHONE</v>
      </c>
      <c r="C115" s="11"/>
      <c r="D115" s="6">
        <v>573.5</v>
      </c>
      <c r="E115" s="2"/>
      <c r="F115" s="7">
        <f t="shared" si="97"/>
        <v>6.9876425338958534E-3</v>
      </c>
      <c r="G115" s="2"/>
      <c r="H115" s="6">
        <v>3306.87</v>
      </c>
      <c r="I115" s="2"/>
      <c r="J115" s="7">
        <f t="shared" si="98"/>
        <v>5.5908465435730373E-3</v>
      </c>
      <c r="K115" s="2"/>
      <c r="L115" s="6">
        <f t="shared" si="99"/>
        <v>-2733.37</v>
      </c>
      <c r="M115" s="2"/>
      <c r="N115" s="7">
        <f t="shared" si="100"/>
        <v>-0.82657316435178885</v>
      </c>
      <c r="O115" s="11"/>
      <c r="P115" s="6">
        <v>7885.06</v>
      </c>
      <c r="Q115" s="2"/>
      <c r="R115" s="7">
        <f t="shared" si="101"/>
        <v>2.8274640085575582E-2</v>
      </c>
      <c r="S115" s="2"/>
      <c r="T115" s="6">
        <v>15851.649999999998</v>
      </c>
      <c r="U115" s="2"/>
      <c r="V115" s="7">
        <f t="shared" si="102"/>
        <v>2.9820834924795922E-3</v>
      </c>
      <c r="W115" s="2"/>
      <c r="X115" s="6">
        <f t="shared" si="103"/>
        <v>-7966.5899999999974</v>
      </c>
      <c r="Y115" s="2"/>
      <c r="Z115" s="7">
        <f t="shared" si="104"/>
        <v>-0.50257165657833713</v>
      </c>
    </row>
    <row r="116" spans="1:26" s="26" customFormat="1" outlineLevel="1" collapsed="1" x14ac:dyDescent="0.25">
      <c r="A116" s="27"/>
      <c r="B116" s="13" t="str">
        <f>CONCATENATE("     ","Training                                          ")</f>
        <v xml:space="preserve">     Training                                          </v>
      </c>
      <c r="C116" s="13"/>
      <c r="D116" s="1">
        <f>SUM(OSRRefD22_22x_0)</f>
        <v>0</v>
      </c>
      <c r="E116" s="1"/>
      <c r="F116" s="5">
        <f t="shared" si="97"/>
        <v>0</v>
      </c>
      <c r="G116" s="1"/>
      <c r="H116" s="1">
        <f>SUM(OSRRefH22_22x_0)</f>
        <v>0</v>
      </c>
      <c r="I116" s="1"/>
      <c r="J116" s="5">
        <f t="shared" si="98"/>
        <v>0</v>
      </c>
      <c r="K116" s="1"/>
      <c r="L116" s="1">
        <f t="shared" si="99"/>
        <v>0</v>
      </c>
      <c r="M116" s="1"/>
      <c r="N116" s="5">
        <f t="shared" si="100"/>
        <v>0</v>
      </c>
      <c r="O116" s="13"/>
      <c r="P116" s="1">
        <f>SUM(OSRRefP22_22x_0)</f>
        <v>400</v>
      </c>
      <c r="Q116" s="1"/>
      <c r="R116" s="5">
        <f t="shared" si="101"/>
        <v>1.4343398825411896E-3</v>
      </c>
      <c r="S116" s="1"/>
      <c r="T116" s="1">
        <f>SUM(OSRRefT22_22x_0)</f>
        <v>1907.5</v>
      </c>
      <c r="U116" s="1"/>
      <c r="V116" s="5">
        <f t="shared" si="102"/>
        <v>3.58847455116964E-4</v>
      </c>
      <c r="W116" s="1"/>
      <c r="X116" s="1">
        <f t="shared" si="103"/>
        <v>-1507.5</v>
      </c>
      <c r="Y116" s="1"/>
      <c r="Z116" s="5">
        <f t="shared" si="104"/>
        <v>-0.79030144167758842</v>
      </c>
    </row>
    <row r="117" spans="1:26" s="24" customFormat="1" hidden="1" outlineLevel="2" x14ac:dyDescent="0.25">
      <c r="A117" s="25"/>
      <c r="B117" s="11" t="str">
        <f>CONCATENATE("          ", "6376", " - ", "TRAINING")</f>
        <v xml:space="preserve">          6376 - TRAINING</v>
      </c>
      <c r="C117" s="11"/>
      <c r="D117" s="6"/>
      <c r="E117" s="2"/>
      <c r="F117" s="7">
        <f t="shared" si="97"/>
        <v>0</v>
      </c>
      <c r="G117" s="2"/>
      <c r="H117" s="6"/>
      <c r="I117" s="2"/>
      <c r="J117" s="7">
        <f t="shared" si="98"/>
        <v>0</v>
      </c>
      <c r="K117" s="2"/>
      <c r="L117" s="6">
        <f t="shared" si="99"/>
        <v>0</v>
      </c>
      <c r="M117" s="2"/>
      <c r="N117" s="7">
        <f t="shared" si="100"/>
        <v>0</v>
      </c>
      <c r="O117" s="11"/>
      <c r="P117" s="6">
        <v>400</v>
      </c>
      <c r="Q117" s="2"/>
      <c r="R117" s="7">
        <f t="shared" si="101"/>
        <v>1.4343398825411896E-3</v>
      </c>
      <c r="S117" s="2"/>
      <c r="T117" s="6">
        <v>1907.5</v>
      </c>
      <c r="U117" s="2"/>
      <c r="V117" s="7">
        <f t="shared" si="102"/>
        <v>3.58847455116964E-4</v>
      </c>
      <c r="W117" s="2"/>
      <c r="X117" s="6">
        <f t="shared" si="103"/>
        <v>-1507.5</v>
      </c>
      <c r="Y117" s="2"/>
      <c r="Z117" s="7">
        <f t="shared" si="104"/>
        <v>-0.79030144167758842</v>
      </c>
    </row>
    <row r="118" spans="1:26" s="26" customFormat="1" outlineLevel="1" collapsed="1" x14ac:dyDescent="0.25">
      <c r="A118" s="27"/>
      <c r="B118" s="13" t="str">
        <f>CONCATENATE("     ","Travel                                            ")</f>
        <v xml:space="preserve">     Travel                                            </v>
      </c>
      <c r="C118" s="13"/>
      <c r="D118" s="1">
        <f>SUM(OSRRefD22_23x_0)</f>
        <v>0</v>
      </c>
      <c r="E118" s="1"/>
      <c r="F118" s="5">
        <f t="shared" si="97"/>
        <v>0</v>
      </c>
      <c r="G118" s="1"/>
      <c r="H118" s="1">
        <f>SUM(OSRRefH22_23x_0)</f>
        <v>125.53</v>
      </c>
      <c r="I118" s="1"/>
      <c r="J118" s="5">
        <f t="shared" si="98"/>
        <v>2.1223058862753099E-4</v>
      </c>
      <c r="K118" s="1"/>
      <c r="L118" s="1">
        <f t="shared" si="99"/>
        <v>-125.53</v>
      </c>
      <c r="M118" s="1"/>
      <c r="N118" s="5">
        <f t="shared" si="100"/>
        <v>-1</v>
      </c>
      <c r="O118" s="13"/>
      <c r="P118" s="1">
        <f>SUM(OSRRefP22_23x_0)</f>
        <v>332.21</v>
      </c>
      <c r="Q118" s="1"/>
      <c r="R118" s="5">
        <f t="shared" si="101"/>
        <v>1.1912551309475215E-3</v>
      </c>
      <c r="S118" s="1"/>
      <c r="T118" s="1">
        <f>SUM(OSRRefT22_23x_0)</f>
        <v>3069.35</v>
      </c>
      <c r="U118" s="1"/>
      <c r="V118" s="5">
        <f t="shared" si="102"/>
        <v>5.7741988800170561E-4</v>
      </c>
      <c r="W118" s="1"/>
      <c r="X118" s="1">
        <f t="shared" si="103"/>
        <v>-2737.14</v>
      </c>
      <c r="Y118" s="1"/>
      <c r="Z118" s="5">
        <f t="shared" si="104"/>
        <v>-0.89176535748611263</v>
      </c>
    </row>
    <row r="119" spans="1:26" s="24" customFormat="1" hidden="1" outlineLevel="2" x14ac:dyDescent="0.25">
      <c r="A119" s="25"/>
      <c r="B119" s="11" t="str">
        <f>CONCATENATE("          ", "6292", " - ", "TRAVEL/CONFERENCE")</f>
        <v xml:space="preserve">          6292 - TRAVEL/CONFERENCE</v>
      </c>
      <c r="C119" s="11"/>
      <c r="D119" s="6"/>
      <c r="E119" s="2"/>
      <c r="F119" s="7">
        <f t="shared" si="97"/>
        <v>0</v>
      </c>
      <c r="G119" s="2"/>
      <c r="H119" s="6">
        <v>21.44</v>
      </c>
      <c r="I119" s="2"/>
      <c r="J119" s="7">
        <f t="shared" si="98"/>
        <v>3.6248098623231614E-5</v>
      </c>
      <c r="K119" s="2"/>
      <c r="L119" s="6">
        <f t="shared" si="99"/>
        <v>-21.44</v>
      </c>
      <c r="M119" s="2"/>
      <c r="N119" s="7">
        <f t="shared" si="100"/>
        <v>-1</v>
      </c>
      <c r="O119" s="11"/>
      <c r="P119" s="6"/>
      <c r="Q119" s="2"/>
      <c r="R119" s="7">
        <f t="shared" si="101"/>
        <v>0</v>
      </c>
      <c r="S119" s="2"/>
      <c r="T119" s="6">
        <v>2147.04</v>
      </c>
      <c r="U119" s="2"/>
      <c r="V119" s="7">
        <f t="shared" si="102"/>
        <v>4.0391079425128513E-4</v>
      </c>
      <c r="W119" s="2"/>
      <c r="X119" s="6">
        <f t="shared" si="103"/>
        <v>-2147.04</v>
      </c>
      <c r="Y119" s="2"/>
      <c r="Z119" s="7">
        <f t="shared" si="104"/>
        <v>-1</v>
      </c>
    </row>
    <row r="120" spans="1:26" s="24" customFormat="1" hidden="1" outlineLevel="2" x14ac:dyDescent="0.25">
      <c r="A120" s="25"/>
      <c r="B120" s="11" t="str">
        <f>CONCATENATE("          ", "6294", " - ", "TRAVEL OPERATIONAL")</f>
        <v xml:space="preserve">          6294 - TRAVEL OPERATIONAL</v>
      </c>
      <c r="C120" s="11"/>
      <c r="D120" s="6"/>
      <c r="E120" s="2"/>
      <c r="F120" s="7">
        <f t="shared" si="97"/>
        <v>0</v>
      </c>
      <c r="G120" s="2"/>
      <c r="H120" s="6"/>
      <c r="I120" s="2"/>
      <c r="J120" s="7">
        <f t="shared" si="98"/>
        <v>0</v>
      </c>
      <c r="K120" s="2"/>
      <c r="L120" s="6">
        <f t="shared" si="99"/>
        <v>0</v>
      </c>
      <c r="M120" s="2"/>
      <c r="N120" s="7">
        <f t="shared" si="100"/>
        <v>0</v>
      </c>
      <c r="O120" s="11"/>
      <c r="P120" s="6"/>
      <c r="Q120" s="2"/>
      <c r="R120" s="7">
        <f t="shared" si="101"/>
        <v>0</v>
      </c>
      <c r="S120" s="2"/>
      <c r="T120" s="6">
        <v>45.49</v>
      </c>
      <c r="U120" s="2"/>
      <c r="V120" s="7">
        <f t="shared" si="102"/>
        <v>8.5577828221602588E-6</v>
      </c>
      <c r="W120" s="2"/>
      <c r="X120" s="6">
        <f t="shared" si="103"/>
        <v>-45.49</v>
      </c>
      <c r="Y120" s="2"/>
      <c r="Z120" s="7">
        <f t="shared" si="104"/>
        <v>-1</v>
      </c>
    </row>
    <row r="121" spans="1:26" s="24" customFormat="1" hidden="1" outlineLevel="2" x14ac:dyDescent="0.25">
      <c r="A121" s="25"/>
      <c r="B121" s="11" t="str">
        <f>CONCATENATE("          ", "6298", " - ", "VEHICLE MILEAGE")</f>
        <v xml:space="preserve">          6298 - VEHICLE MILEAGE</v>
      </c>
      <c r="C121" s="11"/>
      <c r="D121" s="6"/>
      <c r="E121" s="2"/>
      <c r="F121" s="7">
        <f t="shared" si="97"/>
        <v>0</v>
      </c>
      <c r="G121" s="2"/>
      <c r="H121" s="6">
        <v>104.09</v>
      </c>
      <c r="I121" s="2"/>
      <c r="J121" s="7">
        <f t="shared" si="98"/>
        <v>1.7598249000429938E-4</v>
      </c>
      <c r="K121" s="2"/>
      <c r="L121" s="6">
        <f t="shared" si="99"/>
        <v>-104.09</v>
      </c>
      <c r="M121" s="2"/>
      <c r="N121" s="7">
        <f t="shared" si="100"/>
        <v>-1</v>
      </c>
      <c r="O121" s="11"/>
      <c r="P121" s="6">
        <v>332.21</v>
      </c>
      <c r="Q121" s="2"/>
      <c r="R121" s="7">
        <f t="shared" si="101"/>
        <v>1.1912551309475215E-3</v>
      </c>
      <c r="S121" s="2"/>
      <c r="T121" s="6">
        <v>876.82</v>
      </c>
      <c r="U121" s="2"/>
      <c r="V121" s="7">
        <f t="shared" si="102"/>
        <v>1.6495131092826023E-4</v>
      </c>
      <c r="W121" s="2"/>
      <c r="X121" s="6">
        <f t="shared" si="103"/>
        <v>-544.61000000000013</v>
      </c>
      <c r="Y121" s="2"/>
      <c r="Z121" s="7">
        <f t="shared" si="104"/>
        <v>-0.62111950001140492</v>
      </c>
    </row>
    <row r="122" spans="1:26" s="26" customFormat="1" outlineLevel="1" collapsed="1" x14ac:dyDescent="0.25">
      <c r="A122" s="27"/>
      <c r="B122" s="13" t="str">
        <f>CONCATENATE("     ","Utilities                                         ")</f>
        <v xml:space="preserve">     Utilities                                         </v>
      </c>
      <c r="C122" s="13"/>
      <c r="D122" s="1">
        <f>SUM(OSRRefD22_24x_0)</f>
        <v>4796</v>
      </c>
      <c r="E122" s="1"/>
      <c r="F122" s="5">
        <f t="shared" ref="F122:F123" si="105">IF(D$12=0,0,D122/D$12)</f>
        <v>5.8435455261664361E-2</v>
      </c>
      <c r="G122" s="1"/>
      <c r="H122" s="1">
        <f>SUM(OSRRefH22_24x_0)</f>
        <v>16688</v>
      </c>
      <c r="I122" s="1"/>
      <c r="J122" s="5">
        <f t="shared" ref="J122:J123" si="106">IF(H$12=0,0,H122/H$12)</f>
        <v>2.8214005122410873E-2</v>
      </c>
      <c r="K122" s="1"/>
      <c r="L122" s="1">
        <f t="shared" ref="L122:L123" si="107">+D122-H122</f>
        <v>-11892</v>
      </c>
      <c r="M122" s="1"/>
      <c r="N122" s="5">
        <f t="shared" ref="N122:N123" si="108">IF(H122=0,0,L122/H122)</f>
        <v>-0.71260786193672099</v>
      </c>
      <c r="O122" s="13"/>
      <c r="P122" s="1">
        <f>SUM(OSRRefP22_24x_0)</f>
        <v>9346</v>
      </c>
      <c r="Q122" s="1"/>
      <c r="R122" s="5">
        <f t="shared" ref="R122:R123" si="109">IF(P$12=0,0,P122/P$12)</f>
        <v>3.3513351355574893E-2</v>
      </c>
      <c r="S122" s="1"/>
      <c r="T122" s="1">
        <f>SUM(OSRRefT22_24x_0)</f>
        <v>119025.12</v>
      </c>
      <c r="U122" s="1"/>
      <c r="V122" s="5">
        <f t="shared" ref="V122:V123" si="110">IF(T$12=0,0,T122/T$12)</f>
        <v>2.2391539400781785E-2</v>
      </c>
      <c r="W122" s="1"/>
      <c r="X122" s="1">
        <f t="shared" ref="X122:X123" si="111">+P122-T122</f>
        <v>-109679.12</v>
      </c>
      <c r="Y122" s="1"/>
      <c r="Z122" s="5">
        <f t="shared" ref="Z122:Z123" si="112">IF(T122=0,0,X122/T122)</f>
        <v>-0.92147876011383145</v>
      </c>
    </row>
    <row r="123" spans="1:26" s="24" customFormat="1" hidden="1" outlineLevel="2" x14ac:dyDescent="0.25">
      <c r="A123" s="25"/>
      <c r="B123" s="11" t="str">
        <f>CONCATENATE("          ", "6274", " - ", "UTILITIES")</f>
        <v xml:space="preserve">          6274 - UTILITIES</v>
      </c>
      <c r="C123" s="11"/>
      <c r="D123" s="6">
        <v>4796</v>
      </c>
      <c r="E123" s="2"/>
      <c r="F123" s="7">
        <f t="shared" si="105"/>
        <v>5.8435455261664361E-2</v>
      </c>
      <c r="G123" s="2"/>
      <c r="H123" s="6">
        <v>16688</v>
      </c>
      <c r="I123" s="2"/>
      <c r="J123" s="7">
        <f t="shared" si="106"/>
        <v>2.8214005122410873E-2</v>
      </c>
      <c r="K123" s="2"/>
      <c r="L123" s="6">
        <f t="shared" si="107"/>
        <v>-11892</v>
      </c>
      <c r="M123" s="2"/>
      <c r="N123" s="7">
        <f t="shared" si="108"/>
        <v>-0.71260786193672099</v>
      </c>
      <c r="O123" s="11"/>
      <c r="P123" s="6">
        <v>9346</v>
      </c>
      <c r="Q123" s="2"/>
      <c r="R123" s="7">
        <f t="shared" si="109"/>
        <v>3.3513351355574893E-2</v>
      </c>
      <c r="S123" s="2"/>
      <c r="T123" s="6">
        <v>119025.12</v>
      </c>
      <c r="U123" s="2"/>
      <c r="V123" s="7">
        <f t="shared" si="110"/>
        <v>2.2391539400781785E-2</v>
      </c>
      <c r="W123" s="2"/>
      <c r="X123" s="6">
        <f t="shared" si="111"/>
        <v>-109679.12</v>
      </c>
      <c r="Y123" s="2"/>
      <c r="Z123" s="7">
        <f t="shared" si="112"/>
        <v>-0.92147876011383145</v>
      </c>
    </row>
    <row r="124" spans="1:26" s="61" customFormat="1" x14ac:dyDescent="0.25">
      <c r="A124" s="37"/>
      <c r="B124" s="37"/>
      <c r="C124" s="37"/>
      <c r="D124" s="1"/>
      <c r="E124" s="1"/>
      <c r="F124" s="5"/>
      <c r="G124" s="1"/>
      <c r="H124" s="1"/>
      <c r="I124" s="1"/>
      <c r="J124" s="5"/>
      <c r="K124" s="1"/>
      <c r="L124" s="1"/>
      <c r="M124" s="1"/>
      <c r="N124" s="5"/>
      <c r="O124" s="37"/>
      <c r="P124" s="1"/>
      <c r="Q124" s="1"/>
      <c r="R124" s="5"/>
      <c r="S124" s="1"/>
      <c r="T124" s="1"/>
      <c r="U124" s="1"/>
      <c r="V124" s="5"/>
      <c r="W124" s="1"/>
      <c r="X124" s="1"/>
      <c r="Y124" s="1"/>
      <c r="Z124" s="5"/>
    </row>
    <row r="125" spans="1:26" s="23" customFormat="1" collapsed="1" x14ac:dyDescent="0.25">
      <c r="A125" s="10"/>
      <c r="B125" s="29" t="s">
        <v>0</v>
      </c>
      <c r="C125" s="10"/>
      <c r="D125" s="4">
        <f>SUM(OSRRefD25x_0)</f>
        <v>976.87</v>
      </c>
      <c r="E125" s="4"/>
      <c r="F125" s="12">
        <f t="shared" ref="F125:F128" si="113">IF(D$12=0,0,D125/D$12)</f>
        <v>1.1902385984458313E-2</v>
      </c>
      <c r="G125" s="4"/>
      <c r="H125" s="4">
        <f>SUM(OSRRefH25x_0)</f>
        <v>65507.39</v>
      </c>
      <c r="I125" s="4"/>
      <c r="J125" s="12">
        <f t="shared" ref="J125:J128" si="114">IF(H$12=0,0,H125/H$12)</f>
        <v>0.11075178793239256</v>
      </c>
      <c r="K125" s="4"/>
      <c r="L125" s="4">
        <f t="shared" ref="L125:L128" si="115">+D125-H125</f>
        <v>-64530.52</v>
      </c>
      <c r="M125" s="4"/>
      <c r="N125" s="12">
        <f t="shared" ref="N125:N128" si="116">IF(H125=0,0,L125/H125)</f>
        <v>-0.98508763667732746</v>
      </c>
      <c r="O125" s="10"/>
      <c r="P125" s="4">
        <f>SUM(OSRRefP25x_0)</f>
        <v>16348.34</v>
      </c>
      <c r="Q125" s="4"/>
      <c r="R125" s="12">
        <f t="shared" ref="R125:R128" si="117">IF(P$12=0,0,P125/P$12)</f>
        <v>5.8622690188358577E-2</v>
      </c>
      <c r="S125" s="4"/>
      <c r="T125" s="4">
        <f>SUM(OSRRefT25x_0)</f>
        <v>579944.91999999993</v>
      </c>
      <c r="U125" s="4"/>
      <c r="V125" s="12">
        <f t="shared" ref="V125:V128" si="118">IF(T$12=0,0,T125/T$12)</f>
        <v>0.10910183939712255</v>
      </c>
      <c r="W125" s="4"/>
      <c r="X125" s="4">
        <f t="shared" ref="X125:X128" si="119">+P125-T125</f>
        <v>-563596.57999999996</v>
      </c>
      <c r="Y125" s="4"/>
      <c r="Z125" s="12">
        <f t="shared" ref="Z125:Z128" si="120">IF(T125=0,0,X125/T125)</f>
        <v>-0.97181052986894001</v>
      </c>
    </row>
    <row r="126" spans="1:26" s="24" customFormat="1" hidden="1" outlineLevel="1" x14ac:dyDescent="0.25">
      <c r="A126" s="44"/>
      <c r="B126" s="11" t="str">
        <f>CONCATENATE("          ", "9150", " - ", "MISC. INCOME")</f>
        <v xml:space="preserve">          9150 - MISC. INCOME</v>
      </c>
      <c r="C126" s="11"/>
      <c r="D126" s="2">
        <f>0</f>
        <v>0</v>
      </c>
      <c r="E126" s="2"/>
      <c r="F126" s="19">
        <f t="shared" si="113"/>
        <v>0</v>
      </c>
      <c r="G126" s="2"/>
      <c r="H126" s="2">
        <f>--47160.59</f>
        <v>47160.59</v>
      </c>
      <c r="I126" s="2"/>
      <c r="J126" s="19">
        <f t="shared" si="114"/>
        <v>7.9733289060158141E-2</v>
      </c>
      <c r="K126" s="2"/>
      <c r="L126" s="2">
        <f t="shared" si="115"/>
        <v>-47160.59</v>
      </c>
      <c r="M126" s="2"/>
      <c r="N126" s="19">
        <f t="shared" si="116"/>
        <v>-1</v>
      </c>
      <c r="O126" s="11"/>
      <c r="P126" s="2">
        <f>--1728.05</f>
        <v>1728.05</v>
      </c>
      <c r="Q126" s="2"/>
      <c r="R126" s="19">
        <f t="shared" si="117"/>
        <v>6.1965275850632568E-3</v>
      </c>
      <c r="S126" s="2"/>
      <c r="T126" s="2">
        <f>--230131.86</f>
        <v>230131.86</v>
      </c>
      <c r="U126" s="2"/>
      <c r="V126" s="19">
        <f t="shared" si="118"/>
        <v>4.3293437642114518E-2</v>
      </c>
      <c r="W126" s="2"/>
      <c r="X126" s="2">
        <f t="shared" si="119"/>
        <v>-228403.81</v>
      </c>
      <c r="Y126" s="2"/>
      <c r="Z126" s="19">
        <f t="shared" si="120"/>
        <v>-0.99249104404752997</v>
      </c>
    </row>
    <row r="127" spans="1:26" s="24" customFormat="1" hidden="1" outlineLevel="1" x14ac:dyDescent="0.25">
      <c r="A127" s="44"/>
      <c r="B127" s="11" t="str">
        <f>CONCATENATE("          ", "9160", " - ", "MISC. INCOME")</f>
        <v xml:space="preserve">          9160 - MISC. INCOME</v>
      </c>
      <c r="C127" s="11"/>
      <c r="D127" s="2">
        <f>--189.92</f>
        <v>189.92</v>
      </c>
      <c r="E127" s="2"/>
      <c r="F127" s="19">
        <f t="shared" si="113"/>
        <v>2.3140245336312126E-3</v>
      </c>
      <c r="G127" s="2"/>
      <c r="H127" s="2">
        <f>--18346.8</f>
        <v>18346.8</v>
      </c>
      <c r="I127" s="2"/>
      <c r="J127" s="19">
        <f t="shared" si="114"/>
        <v>3.1018498872234408E-2</v>
      </c>
      <c r="K127" s="2"/>
      <c r="L127" s="2">
        <f t="shared" si="115"/>
        <v>-18156.88</v>
      </c>
      <c r="M127" s="2"/>
      <c r="N127" s="19">
        <f t="shared" si="116"/>
        <v>-0.98964833104410588</v>
      </c>
      <c r="O127" s="11"/>
      <c r="P127" s="2">
        <f>--12518.17</f>
        <v>12518.17</v>
      </c>
      <c r="Q127" s="2"/>
      <c r="R127" s="19">
        <f t="shared" si="117"/>
        <v>4.4888276218576606E-2</v>
      </c>
      <c r="S127" s="2"/>
      <c r="T127" s="2">
        <f>--122397</f>
        <v>122397</v>
      </c>
      <c r="U127" s="2"/>
      <c r="V127" s="19">
        <f t="shared" si="118"/>
        <v>2.3025872589227284E-2</v>
      </c>
      <c r="W127" s="2"/>
      <c r="X127" s="2">
        <f t="shared" si="119"/>
        <v>-109878.83</v>
      </c>
      <c r="Y127" s="2"/>
      <c r="Z127" s="19">
        <f t="shared" si="120"/>
        <v>-0.89772486253748052</v>
      </c>
    </row>
    <row r="128" spans="1:26" s="24" customFormat="1" hidden="1" outlineLevel="1" x14ac:dyDescent="0.25">
      <c r="A128" s="44"/>
      <c r="B128" s="11" t="str">
        <f>CONCATENATE("          ", "9165", " - ", "OTHER INCOME")</f>
        <v xml:space="preserve">          9165 - OTHER INCOME</v>
      </c>
      <c r="C128" s="11"/>
      <c r="D128" s="2">
        <f>--786.95</f>
        <v>786.95</v>
      </c>
      <c r="E128" s="2"/>
      <c r="F128" s="19">
        <f t="shared" si="113"/>
        <v>9.5883614508270997E-3</v>
      </c>
      <c r="G128" s="2"/>
      <c r="H128" s="2">
        <f>0</f>
        <v>0</v>
      </c>
      <c r="I128" s="2"/>
      <c r="J128" s="19">
        <f t="shared" si="114"/>
        <v>0</v>
      </c>
      <c r="K128" s="2"/>
      <c r="L128" s="2">
        <f t="shared" si="115"/>
        <v>786.95</v>
      </c>
      <c r="M128" s="2"/>
      <c r="N128" s="19">
        <f t="shared" si="116"/>
        <v>0</v>
      </c>
      <c r="O128" s="11"/>
      <c r="P128" s="2">
        <f>--2102.12</f>
        <v>2102.12</v>
      </c>
      <c r="Q128" s="2"/>
      <c r="R128" s="19">
        <f t="shared" si="117"/>
        <v>7.5378863847187132E-3</v>
      </c>
      <c r="S128" s="2"/>
      <c r="T128" s="2">
        <f>--227416.06</f>
        <v>227416.06</v>
      </c>
      <c r="U128" s="2"/>
      <c r="V128" s="19">
        <f t="shared" si="118"/>
        <v>4.2782529165780757E-2</v>
      </c>
      <c r="W128" s="2"/>
      <c r="X128" s="2">
        <f t="shared" si="119"/>
        <v>-225313.94</v>
      </c>
      <c r="Y128" s="2"/>
      <c r="Z128" s="19">
        <f t="shared" si="120"/>
        <v>-0.99075650154171169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10"/>
      <c r="B130" s="28" t="s">
        <v>3</v>
      </c>
      <c r="C130" s="28"/>
      <c r="D130" s="20">
        <f>+D34-D36+D125</f>
        <v>-45871.46</v>
      </c>
      <c r="E130" s="14"/>
      <c r="F130" s="22">
        <f>IF(D$12=0,0,D130/D$12)</f>
        <v>-0.55890734958657762</v>
      </c>
      <c r="G130" s="14"/>
      <c r="H130" s="20">
        <f>+H34-H36+H125</f>
        <v>-190426.32999999984</v>
      </c>
      <c r="I130" s="14"/>
      <c r="J130" s="22">
        <f>IF(H$12=0,0,H130/H$12)</f>
        <v>-0.32194927193563633</v>
      </c>
      <c r="K130" s="15"/>
      <c r="L130" s="20">
        <f>+D130-H130</f>
        <v>144554.86999999985</v>
      </c>
      <c r="M130" s="15"/>
      <c r="N130" s="22">
        <f>IF(H130=0,0,L130/H130)</f>
        <v>-0.75911177829242404</v>
      </c>
      <c r="O130" s="29"/>
      <c r="P130" s="20">
        <f>+P34-P36+P125</f>
        <v>-708539.08</v>
      </c>
      <c r="Q130" s="14"/>
      <c r="R130" s="22">
        <f>IF(P$12=0,0,P130/P$12)</f>
        <v>-2.540714651957606</v>
      </c>
      <c r="S130" s="14"/>
      <c r="T130" s="20">
        <f>+T34-T36+T125</f>
        <v>-250938.00999999931</v>
      </c>
      <c r="U130" s="14"/>
      <c r="V130" s="22">
        <f>IF(T$12=0,0,T130/T$12)</f>
        <v>-4.7207583895473144E-2</v>
      </c>
      <c r="W130" s="15"/>
      <c r="X130" s="20">
        <f>+P130-T130</f>
        <v>-457601.07000000065</v>
      </c>
      <c r="Y130" s="15"/>
      <c r="Z130" s="22">
        <f>IF(T130=0,0,X130/T130)</f>
        <v>1.823562201676828</v>
      </c>
    </row>
    <row r="131" spans="1:26" x14ac:dyDescent="0.25">
      <c r="A131" s="9"/>
      <c r="B131" s="10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51"/>
      <c r="B132" s="10" t="s">
        <v>13</v>
      </c>
      <c r="C132" s="10"/>
      <c r="D132" s="4">
        <v>14210.76</v>
      </c>
      <c r="E132" s="4"/>
      <c r="F132" s="12">
        <f>IF(D$12=0,0,D132/D$12)</f>
        <v>0.17314683699212874</v>
      </c>
      <c r="G132" s="4"/>
      <c r="H132" s="4">
        <v>44100.259999999995</v>
      </c>
      <c r="I132" s="4"/>
      <c r="J132" s="12">
        <f>IF(H$12=0,0,H132/H$12)</f>
        <v>7.4559261837227428E-2</v>
      </c>
      <c r="K132" s="4"/>
      <c r="L132" s="4">
        <f>+D132-H132</f>
        <v>-29889.499999999993</v>
      </c>
      <c r="M132" s="4"/>
      <c r="N132" s="12">
        <f>IF(H132=0,0,L132/H132)</f>
        <v>-0.6777624440309421</v>
      </c>
      <c r="O132" s="10"/>
      <c r="P132" s="4">
        <v>50623.009999999995</v>
      </c>
      <c r="Q132" s="4"/>
      <c r="R132" s="12">
        <f>IF(P$12=0,0,P132/P$12)</f>
        <v>0.18152650554320365</v>
      </c>
      <c r="S132" s="4"/>
      <c r="T132" s="4">
        <v>554344.83000000007</v>
      </c>
      <c r="U132" s="4"/>
      <c r="V132" s="12">
        <f>IF(T$12=0,0,T132/T$12)</f>
        <v>0.10428583565019453</v>
      </c>
      <c r="W132" s="4"/>
      <c r="X132" s="4">
        <f>+P132-T132</f>
        <v>-503721.82000000007</v>
      </c>
      <c r="Y132" s="4"/>
      <c r="Z132" s="12">
        <f>IF(T132=0,0,X132/T132)</f>
        <v>-0.90867956683207451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8" t="s">
        <v>4</v>
      </c>
      <c r="C134" s="28"/>
      <c r="D134" s="30">
        <f>+D130-D132</f>
        <v>-60082.22</v>
      </c>
      <c r="E134" s="14"/>
      <c r="F134" s="36">
        <f>IF(D$12=0,0,D134/D$12)</f>
        <v>-0.73205418657870636</v>
      </c>
      <c r="G134" s="14"/>
      <c r="H134" s="30">
        <f>+H130-H132</f>
        <v>-234526.58999999985</v>
      </c>
      <c r="I134" s="14"/>
      <c r="J134" s="36">
        <f>IF(H$12=0,0,H134/H$12)</f>
        <v>-0.39650853377286377</v>
      </c>
      <c r="K134" s="15"/>
      <c r="L134" s="30">
        <f>D134-H134</f>
        <v>174444.36999999985</v>
      </c>
      <c r="M134" s="15"/>
      <c r="N134" s="36">
        <f>IF(H134=0,0,L134/H134)</f>
        <v>-0.74381489109614374</v>
      </c>
      <c r="O134" s="29"/>
      <c r="P134" s="30">
        <f>+P130-P132</f>
        <v>-759162.09</v>
      </c>
      <c r="Q134" s="14"/>
      <c r="R134" s="36">
        <f>IF(P$12=0,0,P134/P$12)</f>
        <v>-2.7222411575008101</v>
      </c>
      <c r="S134" s="14"/>
      <c r="T134" s="30">
        <f>+T130-T132</f>
        <v>-805282.83999999939</v>
      </c>
      <c r="U134" s="14"/>
      <c r="V134" s="36">
        <f>IF(T$12=0,0,T134/T$12)</f>
        <v>-0.15149341954566767</v>
      </c>
      <c r="W134" s="15"/>
      <c r="X134" s="30">
        <f>P134-T134</f>
        <v>46120.749999999418</v>
      </c>
      <c r="Y134" s="15"/>
      <c r="Z134" s="36">
        <f>IF(T134=0,0,X134/T134)</f>
        <v>-5.7272734136492282E-2</v>
      </c>
    </row>
    <row r="135" spans="1:26" ht="15.75" thickTop="1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.75" thickBot="1" x14ac:dyDescent="0.3">
      <c r="A137" s="10"/>
      <c r="B137" s="28" t="s">
        <v>5</v>
      </c>
      <c r="C137" s="28"/>
      <c r="D137" s="32">
        <f>SUM(D134:D136)</f>
        <v>-60082.22</v>
      </c>
      <c r="E137" s="14"/>
      <c r="F137" s="31">
        <f>IF(D$12=0,0,D137/D$12)</f>
        <v>-0.73205418657870636</v>
      </c>
      <c r="G137" s="14"/>
      <c r="H137" s="32">
        <f>SUM(H134:H136)</f>
        <v>-234526.58999999985</v>
      </c>
      <c r="I137" s="14"/>
      <c r="J137" s="31">
        <f>IF(H$12=0,0,H137/H$12)</f>
        <v>-0.39650853377286377</v>
      </c>
      <c r="K137" s="15"/>
      <c r="L137" s="32">
        <f>+D137-H137</f>
        <v>174444.36999999985</v>
      </c>
      <c r="M137" s="15"/>
      <c r="N137" s="31">
        <f>IF(H137=0,0,L137/H137)</f>
        <v>-0.74381489109614374</v>
      </c>
      <c r="O137" s="29"/>
      <c r="P137" s="32">
        <f>SUM(P134:P136)</f>
        <v>-759162.09</v>
      </c>
      <c r="Q137" s="14"/>
      <c r="R137" s="31">
        <f>IF(P$12=0,0,P137/P$12)</f>
        <v>-2.7222411575008101</v>
      </c>
      <c r="S137" s="14"/>
      <c r="T137" s="32">
        <f>SUM(T134:T136)</f>
        <v>-805282.83999999939</v>
      </c>
      <c r="U137" s="14"/>
      <c r="V137" s="31">
        <f>IF(T$12=0,0,T137/T$12)</f>
        <v>-0.15149341954566767</v>
      </c>
      <c r="W137" s="15"/>
      <c r="X137" s="32">
        <f>+P137-T137</f>
        <v>46120.749999999418</v>
      </c>
      <c r="Y137" s="15"/>
      <c r="Z137" s="31">
        <f>IF(T137=0,0,X137/T137)</f>
        <v>-5.7272734136492282E-2</v>
      </c>
    </row>
    <row r="138" spans="1:26" ht="15.75" thickTop="1" x14ac:dyDescent="0.25">
      <c r="A138" s="9"/>
      <c r="C138" s="9"/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A139" s="9"/>
      <c r="B139" s="62">
        <v>44238.49593892361</v>
      </c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  <row r="140" spans="1:26" x14ac:dyDescent="0.25">
      <c r="A140" s="9"/>
      <c r="B140" s="59" t="s">
        <v>313</v>
      </c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  <row r="141" spans="1:26" x14ac:dyDescent="0.25">
      <c r="A141" s="9"/>
      <c r="B141" s="56"/>
      <c r="D141" s="18"/>
      <c r="E141" s="18"/>
      <c r="G141" s="18"/>
      <c r="H141" s="18"/>
      <c r="I141" s="18"/>
      <c r="J141" s="42"/>
      <c r="K141" s="18"/>
      <c r="L141" s="18"/>
      <c r="M141" s="18"/>
      <c r="P141" s="18"/>
      <c r="Q141" s="18"/>
      <c r="R141" s="42"/>
      <c r="S141" s="18"/>
      <c r="T141" s="18"/>
      <c r="U141" s="18"/>
      <c r="V141" s="42"/>
      <c r="W141" s="18"/>
      <c r="X141" s="18"/>
    </row>
    <row r="142" spans="1:26" x14ac:dyDescent="0.25">
      <c r="D142" s="18"/>
      <c r="E142" s="18"/>
      <c r="G142" s="18"/>
      <c r="H142" s="18"/>
      <c r="I142" s="18"/>
      <c r="J142" s="42"/>
      <c r="K142" s="18"/>
      <c r="L142" s="18"/>
      <c r="M142" s="18"/>
      <c r="P142" s="18"/>
      <c r="Q142" s="18"/>
      <c r="R142" s="42"/>
      <c r="S142" s="18"/>
      <c r="T142" s="18"/>
      <c r="U142" s="18"/>
      <c r="V142" s="42"/>
      <c r="W142" s="18"/>
      <c r="X142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299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82073.460000000006</v>
      </c>
      <c r="E12" s="4"/>
      <c r="F12" s="12"/>
      <c r="G12" s="4"/>
      <c r="H12" s="4">
        <f>SUM(OSRRefH13x_0)</f>
        <v>410288.41000000003</v>
      </c>
      <c r="I12" s="4"/>
      <c r="J12" s="12"/>
      <c r="K12" s="4"/>
      <c r="L12" s="4">
        <f t="shared" ref="L12:L21" si="0">+D12-H12</f>
        <v>-328214.95</v>
      </c>
      <c r="M12" s="4"/>
      <c r="N12" s="12">
        <f t="shared" ref="N12:N21" si="1">IF(H12=0,0,L12/H12)</f>
        <v>-0.79996154412453424</v>
      </c>
      <c r="O12" s="10"/>
      <c r="P12" s="4">
        <f>SUM(OSRRefP13x_0)</f>
        <v>276287.46000000002</v>
      </c>
      <c r="Q12" s="4"/>
      <c r="R12" s="12"/>
      <c r="S12" s="4"/>
      <c r="T12" s="4">
        <f>SUM(OSRRefT13x_0)</f>
        <v>3507645.46</v>
      </c>
      <c r="U12" s="4"/>
      <c r="V12" s="12"/>
      <c r="W12" s="4"/>
      <c r="X12" s="4">
        <f t="shared" ref="X12:X21" si="2">+P12-T12</f>
        <v>-3231358</v>
      </c>
      <c r="Y12" s="4"/>
      <c r="Z12" s="12">
        <f t="shared" ref="Z12:Z21" si="3">IF(T12=0,0,X12/T12)</f>
        <v>-0.92123278616647875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0</f>
        <v>0</v>
      </c>
      <c r="E13" s="2"/>
      <c r="F13" s="19"/>
      <c r="G13" s="2"/>
      <c r="H13" s="2">
        <f>--34536.57</f>
        <v>34536.57</v>
      </c>
      <c r="I13" s="2"/>
      <c r="J13" s="19"/>
      <c r="K13" s="2"/>
      <c r="L13" s="2">
        <f t="shared" si="0"/>
        <v>-34536.57</v>
      </c>
      <c r="M13" s="2"/>
      <c r="N13" s="19">
        <f t="shared" si="1"/>
        <v>-1</v>
      </c>
      <c r="O13" s="11"/>
      <c r="P13" s="2">
        <f>--22964.48</f>
        <v>22964.48</v>
      </c>
      <c r="Q13" s="2"/>
      <c r="R13" s="19"/>
      <c r="S13" s="2"/>
      <c r="T13" s="2">
        <f>--358262.16</f>
        <v>358262.16</v>
      </c>
      <c r="U13" s="2"/>
      <c r="V13" s="19"/>
      <c r="W13" s="2"/>
      <c r="X13" s="2">
        <f t="shared" si="2"/>
        <v>-335297.68</v>
      </c>
      <c r="Y13" s="2"/>
      <c r="Z13" s="19">
        <f t="shared" si="3"/>
        <v>-0.93590034738806915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--82073.46</f>
        <v>82073.460000000006</v>
      </c>
      <c r="E14" s="2"/>
      <c r="F14" s="19"/>
      <c r="G14" s="2"/>
      <c r="H14" s="2">
        <f>--120705.79</f>
        <v>120705.79</v>
      </c>
      <c r="I14" s="2"/>
      <c r="J14" s="19"/>
      <c r="K14" s="2"/>
      <c r="L14" s="2">
        <f t="shared" si="0"/>
        <v>-38632.329999999987</v>
      </c>
      <c r="M14" s="2"/>
      <c r="N14" s="19">
        <f t="shared" si="1"/>
        <v>-0.32005366105470162</v>
      </c>
      <c r="O14" s="11"/>
      <c r="P14" s="2">
        <f>--230176.85</f>
        <v>230176.85</v>
      </c>
      <c r="Q14" s="2"/>
      <c r="R14" s="19"/>
      <c r="S14" s="2"/>
      <c r="T14" s="2">
        <f>--657002.44</f>
        <v>657002.43999999994</v>
      </c>
      <c r="U14" s="2"/>
      <c r="V14" s="19"/>
      <c r="W14" s="2"/>
      <c r="X14" s="2">
        <f t="shared" si="2"/>
        <v>-426825.58999999997</v>
      </c>
      <c r="Y14" s="2"/>
      <c r="Z14" s="19">
        <f t="shared" si="3"/>
        <v>-0.64965601954233232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 t="shared" ref="D15:D21" si="4">0</f>
        <v>0</v>
      </c>
      <c r="E15" s="2"/>
      <c r="F15" s="19"/>
      <c r="G15" s="2"/>
      <c r="H15" s="2">
        <f>--9441.36</f>
        <v>9441.36</v>
      </c>
      <c r="I15" s="2"/>
      <c r="J15" s="19"/>
      <c r="K15" s="2"/>
      <c r="L15" s="2">
        <f t="shared" si="0"/>
        <v>-9441.36</v>
      </c>
      <c r="M15" s="2"/>
      <c r="N15" s="19">
        <f t="shared" si="1"/>
        <v>-1</v>
      </c>
      <c r="O15" s="11"/>
      <c r="P15" s="2">
        <f t="shared" ref="P15:P16" si="5">0</f>
        <v>0</v>
      </c>
      <c r="Q15" s="2"/>
      <c r="R15" s="19"/>
      <c r="S15" s="2"/>
      <c r="T15" s="2">
        <f>--95873.23</f>
        <v>95873.23</v>
      </c>
      <c r="U15" s="2"/>
      <c r="V15" s="19"/>
      <c r="W15" s="2"/>
      <c r="X15" s="2">
        <f t="shared" si="2"/>
        <v>-95873.23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si="4"/>
        <v>0</v>
      </c>
      <c r="E16" s="2"/>
      <c r="F16" s="19"/>
      <c r="G16" s="2"/>
      <c r="H16" s="2">
        <f>--31360</f>
        <v>31360</v>
      </c>
      <c r="I16" s="2"/>
      <c r="J16" s="19"/>
      <c r="K16" s="2"/>
      <c r="L16" s="2">
        <f t="shared" si="0"/>
        <v>-31360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--303213.95</f>
        <v>303213.95</v>
      </c>
      <c r="U16" s="2"/>
      <c r="V16" s="19"/>
      <c r="W16" s="2"/>
      <c r="X16" s="2">
        <f t="shared" si="2"/>
        <v>-303213.95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si="4"/>
        <v>0</v>
      </c>
      <c r="E17" s="2"/>
      <c r="F17" s="19"/>
      <c r="G17" s="2"/>
      <c r="H17" s="2">
        <f>--7736.89</f>
        <v>7736.89</v>
      </c>
      <c r="I17" s="2"/>
      <c r="J17" s="19"/>
      <c r="K17" s="2"/>
      <c r="L17" s="2">
        <f t="shared" si="0"/>
        <v>-7736.89</v>
      </c>
      <c r="M17" s="2"/>
      <c r="N17" s="19">
        <f t="shared" si="1"/>
        <v>-1</v>
      </c>
      <c r="O17" s="11"/>
      <c r="P17" s="2">
        <f>--974.91</f>
        <v>974.91</v>
      </c>
      <c r="Q17" s="2"/>
      <c r="R17" s="19"/>
      <c r="S17" s="2"/>
      <c r="T17" s="2">
        <f>--95636.1</f>
        <v>95636.1</v>
      </c>
      <c r="U17" s="2"/>
      <c r="V17" s="19"/>
      <c r="W17" s="2"/>
      <c r="X17" s="2">
        <f t="shared" si="2"/>
        <v>-94661.19</v>
      </c>
      <c r="Y17" s="2"/>
      <c r="Z17" s="19">
        <f t="shared" si="3"/>
        <v>-0.98980604604328282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 t="shared" si="4"/>
        <v>0</v>
      </c>
      <c r="E18" s="2"/>
      <c r="F18" s="19"/>
      <c r="G18" s="2"/>
      <c r="H18" s="2">
        <f>--98752.28</f>
        <v>98752.28</v>
      </c>
      <c r="I18" s="2"/>
      <c r="J18" s="19"/>
      <c r="K18" s="2"/>
      <c r="L18" s="2">
        <f t="shared" si="0"/>
        <v>-98752.28</v>
      </c>
      <c r="M18" s="2"/>
      <c r="N18" s="19">
        <f t="shared" si="1"/>
        <v>-1</v>
      </c>
      <c r="O18" s="11"/>
      <c r="P18" s="2">
        <f>--22171.22</f>
        <v>22171.22</v>
      </c>
      <c r="Q18" s="2"/>
      <c r="R18" s="19"/>
      <c r="S18" s="2"/>
      <c r="T18" s="2">
        <f>--1051930.87</f>
        <v>1051930.8700000001</v>
      </c>
      <c r="U18" s="2"/>
      <c r="V18" s="19"/>
      <c r="W18" s="2"/>
      <c r="X18" s="2">
        <f t="shared" si="2"/>
        <v>-1029759.6500000001</v>
      </c>
      <c r="Y18" s="2"/>
      <c r="Z18" s="19">
        <f t="shared" si="3"/>
        <v>-0.97892331080653616</v>
      </c>
    </row>
    <row r="19" spans="1:26" s="24" customFormat="1" hidden="1" outlineLevel="1" x14ac:dyDescent="0.25">
      <c r="A19" s="44"/>
      <c r="B19" s="11" t="str">
        <f>CONCATENATE("          ", "4152", " - ", "NON-TAXABLE SALES-FOOD")</f>
        <v xml:space="preserve">          4152 - NON-TAXABLE SALES-FOOD</v>
      </c>
      <c r="C19" s="11"/>
      <c r="D19" s="2">
        <f t="shared" si="4"/>
        <v>0</v>
      </c>
      <c r="E19" s="2"/>
      <c r="F19" s="19"/>
      <c r="G19" s="2"/>
      <c r="H19" s="2">
        <f>--4794.1</f>
        <v>4794.1000000000004</v>
      </c>
      <c r="I19" s="2"/>
      <c r="J19" s="19"/>
      <c r="K19" s="2"/>
      <c r="L19" s="2">
        <f t="shared" si="0"/>
        <v>-4794.1000000000004</v>
      </c>
      <c r="M19" s="2"/>
      <c r="N19" s="19">
        <f t="shared" si="1"/>
        <v>-1</v>
      </c>
      <c r="O19" s="11"/>
      <c r="P19" s="2">
        <f t="shared" ref="P19:P21" si="6">0</f>
        <v>0</v>
      </c>
      <c r="Q19" s="2"/>
      <c r="R19" s="19"/>
      <c r="S19" s="2"/>
      <c r="T19" s="2">
        <f>--39428.9</f>
        <v>39428.9</v>
      </c>
      <c r="U19" s="2"/>
      <c r="V19" s="19"/>
      <c r="W19" s="2"/>
      <c r="X19" s="2">
        <f t="shared" si="2"/>
        <v>-39428.9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"4155", " - ", "NON-TAXABLE SALES-FOOD")</f>
        <v xml:space="preserve">          4155 - NON-TAXABLE SALES-FOOD</v>
      </c>
      <c r="C20" s="11"/>
      <c r="D20" s="2">
        <f t="shared" si="4"/>
        <v>0</v>
      </c>
      <c r="E20" s="2"/>
      <c r="F20" s="19"/>
      <c r="G20" s="2"/>
      <c r="H20" s="2">
        <f>--58440.71</f>
        <v>58440.71</v>
      </c>
      <c r="I20" s="2"/>
      <c r="J20" s="19"/>
      <c r="K20" s="2"/>
      <c r="L20" s="2">
        <f t="shared" si="0"/>
        <v>-58440.71</v>
      </c>
      <c r="M20" s="2"/>
      <c r="N20" s="19">
        <f t="shared" si="1"/>
        <v>-1</v>
      </c>
      <c r="O20" s="11"/>
      <c r="P20" s="2">
        <f t="shared" si="6"/>
        <v>0</v>
      </c>
      <c r="Q20" s="2"/>
      <c r="R20" s="19"/>
      <c r="S20" s="2"/>
      <c r="T20" s="2">
        <f>--543161.16</f>
        <v>543161.16</v>
      </c>
      <c r="U20" s="2"/>
      <c r="V20" s="19"/>
      <c r="W20" s="2"/>
      <c r="X20" s="2">
        <f t="shared" si="2"/>
        <v>-543161.16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"4158", " - ", "NON-TAXABLE SALES-FOOD")</f>
        <v xml:space="preserve">          4158 - NON-TAXABLE SALES-FOOD</v>
      </c>
      <c r="C21" s="11"/>
      <c r="D21" s="2">
        <f t="shared" si="4"/>
        <v>0</v>
      </c>
      <c r="E21" s="2"/>
      <c r="F21" s="19"/>
      <c r="G21" s="2"/>
      <c r="H21" s="2">
        <f>--44520.71</f>
        <v>44520.71</v>
      </c>
      <c r="I21" s="2"/>
      <c r="J21" s="19"/>
      <c r="K21" s="2"/>
      <c r="L21" s="2">
        <f t="shared" si="0"/>
        <v>-44520.71</v>
      </c>
      <c r="M21" s="2"/>
      <c r="N21" s="19">
        <f t="shared" si="1"/>
        <v>-1</v>
      </c>
      <c r="O21" s="11"/>
      <c r="P21" s="2">
        <f t="shared" si="6"/>
        <v>0</v>
      </c>
      <c r="Q21" s="2"/>
      <c r="R21" s="19"/>
      <c r="S21" s="2"/>
      <c r="T21" s="2">
        <f>--363136.65</f>
        <v>363136.65</v>
      </c>
      <c r="U21" s="2"/>
      <c r="V21" s="19"/>
      <c r="W21" s="2"/>
      <c r="X21" s="2">
        <f t="shared" si="2"/>
        <v>-363136.65</v>
      </c>
      <c r="Y21" s="2"/>
      <c r="Z21" s="19">
        <f t="shared" si="3"/>
        <v>-1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9" t="s">
        <v>8</v>
      </c>
      <c r="C23" s="10"/>
      <c r="D23" s="4">
        <f>SUM(OSRRefD16x_0)</f>
        <v>1319.87</v>
      </c>
      <c r="E23" s="4"/>
      <c r="F23" s="12">
        <f t="shared" ref="F23:F25" si="7">IF(D$12=0,0,D23/D$12)</f>
        <v>1.6081568877442231E-2</v>
      </c>
      <c r="G23" s="4"/>
      <c r="H23" s="4">
        <f>SUM(OSRRefH16x_0)</f>
        <v>159952.22</v>
      </c>
      <c r="I23" s="4"/>
      <c r="J23" s="12">
        <f t="shared" ref="J23:J25" si="8">IF(H$12=0,0,H23/H$12)</f>
        <v>0.38985312794967808</v>
      </c>
      <c r="K23" s="4"/>
      <c r="L23" s="4">
        <f t="shared" ref="L23:L25" si="9">+D23-H23</f>
        <v>-158632.35</v>
      </c>
      <c r="M23" s="4"/>
      <c r="N23" s="12">
        <f t="shared" ref="N23:N25" si="10">IF(H23=0,0,L23/H23)</f>
        <v>-0.99174834835052617</v>
      </c>
      <c r="O23" s="10"/>
      <c r="P23" s="4">
        <f>SUM(OSRRefP16x_0)</f>
        <v>20173.350000000002</v>
      </c>
      <c r="Q23" s="4"/>
      <c r="R23" s="12">
        <f t="shared" ref="R23:R25" si="11">IF(P$12=0,0,P23/P$12)</f>
        <v>7.301580028279242E-2</v>
      </c>
      <c r="S23" s="4"/>
      <c r="T23" s="4">
        <f>SUM(OSRRefT16x_0)</f>
        <v>1176030.08</v>
      </c>
      <c r="U23" s="4"/>
      <c r="V23" s="12">
        <f t="shared" ref="V23:V25" si="12">IF(T$12=0,0,T23/T$12)</f>
        <v>0.33527621118241524</v>
      </c>
      <c r="W23" s="4"/>
      <c r="X23" s="4">
        <f t="shared" ref="X23:X25" si="13">+P23-T23</f>
        <v>-1155856.73</v>
      </c>
      <c r="Y23" s="4"/>
      <c r="Z23" s="12">
        <f t="shared" ref="Z23:Z25" si="14">IF(T23=0,0,X23/T23)</f>
        <v>-0.98284622957943379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1534.85</v>
      </c>
      <c r="E24" s="2"/>
      <c r="F24" s="19">
        <f t="shared" si="7"/>
        <v>1.8700929630601656E-2</v>
      </c>
      <c r="G24" s="2"/>
      <c r="H24" s="2">
        <v>159599.64000000001</v>
      </c>
      <c r="I24" s="2"/>
      <c r="J24" s="19">
        <f t="shared" si="8"/>
        <v>0.38899378122818534</v>
      </c>
      <c r="K24" s="2"/>
      <c r="L24" s="2">
        <f t="shared" si="9"/>
        <v>-158064.79</v>
      </c>
      <c r="M24" s="2"/>
      <c r="N24" s="19">
        <f t="shared" si="10"/>
        <v>-0.99038312367120629</v>
      </c>
      <c r="O24" s="11"/>
      <c r="P24" s="2">
        <v>14844.270000000002</v>
      </c>
      <c r="Q24" s="2"/>
      <c r="R24" s="19">
        <f t="shared" si="11"/>
        <v>5.3727628463485097E-2</v>
      </c>
      <c r="S24" s="2"/>
      <c r="T24" s="2">
        <v>1208389.07</v>
      </c>
      <c r="U24" s="2"/>
      <c r="V24" s="19">
        <f t="shared" si="12"/>
        <v>0.34450148505031636</v>
      </c>
      <c r="W24" s="2"/>
      <c r="X24" s="2">
        <f t="shared" si="13"/>
        <v>-1193544.8</v>
      </c>
      <c r="Y24" s="2"/>
      <c r="Z24" s="19">
        <f t="shared" si="14"/>
        <v>-0.98771565353533031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-214.98</v>
      </c>
      <c r="E25" s="2"/>
      <c r="F25" s="19">
        <f t="shared" si="7"/>
        <v>-2.6193607531594253E-3</v>
      </c>
      <c r="G25" s="2"/>
      <c r="H25" s="2">
        <v>352.58</v>
      </c>
      <c r="I25" s="2"/>
      <c r="J25" s="19">
        <f t="shared" si="8"/>
        <v>8.5934672149281513E-4</v>
      </c>
      <c r="K25" s="2"/>
      <c r="L25" s="2">
        <f t="shared" si="9"/>
        <v>-567.55999999999995</v>
      </c>
      <c r="M25" s="2"/>
      <c r="N25" s="19">
        <f t="shared" si="10"/>
        <v>-1.6097339610868455</v>
      </c>
      <c r="O25" s="11"/>
      <c r="P25" s="2">
        <v>5329.08</v>
      </c>
      <c r="Q25" s="2"/>
      <c r="R25" s="19">
        <f t="shared" si="11"/>
        <v>1.9288171819307323E-2</v>
      </c>
      <c r="S25" s="2"/>
      <c r="T25" s="2">
        <v>-32358.99</v>
      </c>
      <c r="U25" s="2"/>
      <c r="V25" s="19">
        <f t="shared" si="12"/>
        <v>-9.2252738679011199E-3</v>
      </c>
      <c r="W25" s="2"/>
      <c r="X25" s="2">
        <f t="shared" si="13"/>
        <v>37688.07</v>
      </c>
      <c r="Y25" s="2"/>
      <c r="Z25" s="19">
        <f t="shared" si="14"/>
        <v>-1.164686227845801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6</v>
      </c>
      <c r="C27" s="28"/>
      <c r="D27" s="20">
        <f>D12-D23</f>
        <v>80753.590000000011</v>
      </c>
      <c r="E27" s="14"/>
      <c r="F27" s="22">
        <f>IF(D$12=0,0,D27/D$12)</f>
        <v>0.98391843112255783</v>
      </c>
      <c r="G27" s="14"/>
      <c r="H27" s="20">
        <f>H12-H23</f>
        <v>250336.19000000003</v>
      </c>
      <c r="I27" s="14"/>
      <c r="J27" s="22">
        <f>IF(H$12=0,0,H27/H$12)</f>
        <v>0.61014687205032192</v>
      </c>
      <c r="K27" s="15"/>
      <c r="L27" s="20">
        <f>+D27-H27</f>
        <v>-169582.60000000003</v>
      </c>
      <c r="M27" s="15"/>
      <c r="N27" s="22">
        <f>IF(H27=0,0,L27/H27)</f>
        <v>-0.67741943344268363</v>
      </c>
      <c r="O27" s="29"/>
      <c r="P27" s="20">
        <f>P12-P23</f>
        <v>256114.11000000002</v>
      </c>
      <c r="Q27" s="14"/>
      <c r="R27" s="22">
        <f>IF(P$12=0,0,P27/P$12)</f>
        <v>0.92698419971720758</v>
      </c>
      <c r="S27" s="14"/>
      <c r="T27" s="20">
        <f>T12-T23</f>
        <v>2331615.38</v>
      </c>
      <c r="U27" s="14"/>
      <c r="V27" s="22">
        <f>IF(T$12=0,0,T27/T$12)</f>
        <v>0.66472378881758476</v>
      </c>
      <c r="W27" s="15"/>
      <c r="X27" s="20">
        <f>+P27-T27</f>
        <v>-2075501.2699999998</v>
      </c>
      <c r="Y27" s="15"/>
      <c r="Z27" s="22">
        <f>IF(T27=0,0,X27/T27)</f>
        <v>-0.89015593558145079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9" t="s">
        <v>9</v>
      </c>
      <c r="C29" s="10"/>
      <c r="D29" s="21">
        <f>SUM(OSRRefD22x_0)</f>
        <v>111910.68000000002</v>
      </c>
      <c r="E29" s="21"/>
      <c r="F29" s="35">
        <f t="shared" ref="F29:F39" si="15">IF(D$12=0,0,D29/D$12)</f>
        <v>1.3635428553883315</v>
      </c>
      <c r="G29" s="21"/>
      <c r="H29" s="21">
        <f>SUM(OSRRefH22x_0)</f>
        <v>505151.45000000007</v>
      </c>
      <c r="I29" s="21"/>
      <c r="J29" s="35">
        <f t="shared" ref="J29:J39" si="16">IF(H$12=0,0,H29/H$12)</f>
        <v>1.2312106257157009</v>
      </c>
      <c r="K29" s="4"/>
      <c r="L29" s="21">
        <f t="shared" ref="L29:L39" si="17">+D29-H29</f>
        <v>-393240.77</v>
      </c>
      <c r="M29" s="4"/>
      <c r="N29" s="35">
        <f t="shared" ref="N29:N39" si="18">IF(H29=0,0,L29/H29)</f>
        <v>-0.77846113279492712</v>
      </c>
      <c r="O29" s="10"/>
      <c r="P29" s="21">
        <f>SUM(OSRRefP22x_0)</f>
        <v>786753.15</v>
      </c>
      <c r="Q29" s="21"/>
      <c r="R29" s="35">
        <f t="shared" ref="R29:R39" si="19">IF(P$12=0,0,P29/P$12)</f>
        <v>2.8475890653886351</v>
      </c>
      <c r="S29" s="21"/>
      <c r="T29" s="21">
        <f>SUM(OSRRefT22x_0)</f>
        <v>3375239.6200000015</v>
      </c>
      <c r="U29" s="21"/>
      <c r="V29" s="35">
        <f t="shared" ref="V29:V39" si="20">IF(T$12=0,0,T29/T$12)</f>
        <v>0.96225221690449914</v>
      </c>
      <c r="W29" s="4"/>
      <c r="X29" s="21">
        <f t="shared" ref="X29:X39" si="21">+P29-T29</f>
        <v>-2588486.4700000016</v>
      </c>
      <c r="Y29" s="4"/>
      <c r="Z29" s="35">
        <f t="shared" ref="Z29:Z39" si="22">IF(T29=0,0,X29/T29)</f>
        <v>-0.76690450499037466</v>
      </c>
    </row>
    <row r="30" spans="1:26" s="26" customFormat="1" outlineLevel="1" collapsed="1" x14ac:dyDescent="0.25">
      <c r="A30" s="27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18824.990000000002</v>
      </c>
      <c r="E30" s="1"/>
      <c r="F30" s="5">
        <f t="shared" si="15"/>
        <v>0.22936756900464536</v>
      </c>
      <c r="G30" s="1"/>
      <c r="H30" s="1">
        <f>SUM(OSRRefH22_0x_0)</f>
        <v>69437.460000000006</v>
      </c>
      <c r="I30" s="1"/>
      <c r="J30" s="5">
        <f t="shared" si="16"/>
        <v>0.16924060808834449</v>
      </c>
      <c r="K30" s="1"/>
      <c r="L30" s="1">
        <f t="shared" si="17"/>
        <v>-50612.47</v>
      </c>
      <c r="M30" s="1"/>
      <c r="N30" s="5">
        <f t="shared" si="18"/>
        <v>-0.72889287713001016</v>
      </c>
      <c r="O30" s="13"/>
      <c r="P30" s="1">
        <f>SUM(OSRRefP22_0x_0)</f>
        <v>149994.06</v>
      </c>
      <c r="Q30" s="1"/>
      <c r="R30" s="5">
        <f t="shared" si="19"/>
        <v>0.54289130603321623</v>
      </c>
      <c r="S30" s="1"/>
      <c r="T30" s="1">
        <f>SUM(OSRRefT22_0x_0)</f>
        <v>476386.70000000007</v>
      </c>
      <c r="U30" s="1"/>
      <c r="V30" s="5">
        <f t="shared" si="20"/>
        <v>0.13581381169578069</v>
      </c>
      <c r="W30" s="1"/>
      <c r="X30" s="1">
        <f t="shared" si="21"/>
        <v>-326392.64000000007</v>
      </c>
      <c r="Y30" s="1"/>
      <c r="Z30" s="5">
        <f t="shared" si="22"/>
        <v>-0.68514221744645687</v>
      </c>
    </row>
    <row r="31" spans="1:26" s="24" customFormat="1" hidden="1" outlineLevel="2" x14ac:dyDescent="0.25">
      <c r="A31" s="25"/>
      <c r="B31" s="11" t="str">
        <f>CONCATENATE("          ", "6111", " - ", "F.I.C.A.")</f>
        <v xml:space="preserve">          6111 - F.I.C.A.</v>
      </c>
      <c r="C31" s="11"/>
      <c r="D31" s="6">
        <v>2030.81</v>
      </c>
      <c r="E31" s="2"/>
      <c r="F31" s="7">
        <f t="shared" si="15"/>
        <v>2.4743808778136072E-2</v>
      </c>
      <c r="G31" s="2"/>
      <c r="H31" s="6">
        <v>11104.18</v>
      </c>
      <c r="I31" s="2"/>
      <c r="J31" s="7">
        <f t="shared" si="16"/>
        <v>2.7064327749350754E-2</v>
      </c>
      <c r="K31" s="2"/>
      <c r="L31" s="6">
        <f t="shared" si="17"/>
        <v>-9073.3700000000008</v>
      </c>
      <c r="M31" s="2"/>
      <c r="N31" s="7">
        <f t="shared" si="18"/>
        <v>-0.81711301509881873</v>
      </c>
      <c r="O31" s="11"/>
      <c r="P31" s="6">
        <v>17675.59</v>
      </c>
      <c r="Q31" s="2"/>
      <c r="R31" s="7">
        <f t="shared" si="19"/>
        <v>6.3975361024347602E-2</v>
      </c>
      <c r="S31" s="2"/>
      <c r="T31" s="6">
        <v>91219.56</v>
      </c>
      <c r="U31" s="2"/>
      <c r="V31" s="7">
        <f t="shared" si="20"/>
        <v>2.6005923643149499E-2</v>
      </c>
      <c r="W31" s="2"/>
      <c r="X31" s="6">
        <f t="shared" si="21"/>
        <v>-73543.97</v>
      </c>
      <c r="Y31" s="2"/>
      <c r="Z31" s="7">
        <f t="shared" si="22"/>
        <v>-0.80623026464938008</v>
      </c>
    </row>
    <row r="32" spans="1:26" s="24" customFormat="1" hidden="1" outlineLevel="2" x14ac:dyDescent="0.25">
      <c r="A32" s="25"/>
      <c r="B32" s="11" t="str">
        <f>CONCATENATE("          ", "6112", " - ", "COMPENSATION INSURANCE")</f>
        <v xml:space="preserve">          6112 - COMPENSATION INSURANCE</v>
      </c>
      <c r="C32" s="11"/>
      <c r="D32" s="6">
        <v>205.8</v>
      </c>
      <c r="E32" s="2"/>
      <c r="F32" s="7">
        <f t="shared" si="15"/>
        <v>2.5075097357903516E-3</v>
      </c>
      <c r="G32" s="2"/>
      <c r="H32" s="6">
        <v>6507.66</v>
      </c>
      <c r="I32" s="2"/>
      <c r="J32" s="7">
        <f t="shared" si="16"/>
        <v>1.5861184087554409E-2</v>
      </c>
      <c r="K32" s="2"/>
      <c r="L32" s="6">
        <f t="shared" si="17"/>
        <v>-6301.86</v>
      </c>
      <c r="M32" s="2"/>
      <c r="N32" s="7">
        <f t="shared" si="18"/>
        <v>-0.96837572952489837</v>
      </c>
      <c r="O32" s="11"/>
      <c r="P32" s="6">
        <v>5162.5</v>
      </c>
      <c r="Q32" s="2"/>
      <c r="R32" s="7">
        <f t="shared" si="19"/>
        <v>1.8685249051838979E-2</v>
      </c>
      <c r="S32" s="2"/>
      <c r="T32" s="6">
        <v>44487.67</v>
      </c>
      <c r="U32" s="2"/>
      <c r="V32" s="7">
        <f t="shared" si="20"/>
        <v>1.268305776832987E-2</v>
      </c>
      <c r="W32" s="2"/>
      <c r="X32" s="6">
        <f t="shared" si="21"/>
        <v>-39325.17</v>
      </c>
      <c r="Y32" s="2"/>
      <c r="Z32" s="7">
        <f t="shared" si="22"/>
        <v>-0.88395661089915478</v>
      </c>
    </row>
    <row r="33" spans="1:26" s="24" customFormat="1" hidden="1" outlineLevel="2" x14ac:dyDescent="0.25">
      <c r="A33" s="25"/>
      <c r="B33" s="11" t="str">
        <f>CONCATENATE("          ", "6113", " - ", "GROUP INSURANCE")</f>
        <v xml:space="preserve">          6113 - GROUP INSURANCE</v>
      </c>
      <c r="C33" s="11"/>
      <c r="D33" s="6">
        <v>8554.93</v>
      </c>
      <c r="E33" s="2"/>
      <c r="F33" s="7">
        <f t="shared" si="15"/>
        <v>0.10423503529642834</v>
      </c>
      <c r="G33" s="2"/>
      <c r="H33" s="6">
        <v>25419.919999999998</v>
      </c>
      <c r="I33" s="2"/>
      <c r="J33" s="7">
        <f t="shared" si="16"/>
        <v>6.1956222453371269E-2</v>
      </c>
      <c r="K33" s="2"/>
      <c r="L33" s="6">
        <f t="shared" si="17"/>
        <v>-16864.989999999998</v>
      </c>
      <c r="M33" s="2"/>
      <c r="N33" s="7">
        <f t="shared" si="18"/>
        <v>-0.66345566783845111</v>
      </c>
      <c r="O33" s="11"/>
      <c r="P33" s="6">
        <v>69486.78</v>
      </c>
      <c r="Q33" s="2"/>
      <c r="R33" s="7">
        <f t="shared" si="19"/>
        <v>0.25150175111096246</v>
      </c>
      <c r="S33" s="2"/>
      <c r="T33" s="6">
        <v>154410.02000000002</v>
      </c>
      <c r="U33" s="2"/>
      <c r="V33" s="7">
        <f t="shared" si="20"/>
        <v>4.40209883697881E-2</v>
      </c>
      <c r="W33" s="2"/>
      <c r="X33" s="6">
        <f t="shared" si="21"/>
        <v>-84923.24000000002</v>
      </c>
      <c r="Y33" s="2"/>
      <c r="Z33" s="7">
        <f t="shared" si="22"/>
        <v>-0.54998529240524685</v>
      </c>
    </row>
    <row r="34" spans="1:26" s="24" customFormat="1" hidden="1" outlineLevel="2" x14ac:dyDescent="0.25">
      <c r="A34" s="25"/>
      <c r="B34" s="11" t="str">
        <f>CONCATENATE("          ", "6114", " - ", "STATE UNEMPLOYMENT INSURANCE")</f>
        <v xml:space="preserve">          6114 - STATE UNEMPLOYMENT INSURANCE</v>
      </c>
      <c r="C34" s="11"/>
      <c r="D34" s="6">
        <v>164.95</v>
      </c>
      <c r="E34" s="2"/>
      <c r="F34" s="7">
        <f t="shared" si="15"/>
        <v>2.0097848927046573E-3</v>
      </c>
      <c r="G34" s="2"/>
      <c r="H34" s="6">
        <v>474.68</v>
      </c>
      <c r="I34" s="2"/>
      <c r="J34" s="7">
        <f t="shared" si="16"/>
        <v>1.1569422592268691E-3</v>
      </c>
      <c r="K34" s="2"/>
      <c r="L34" s="6">
        <f t="shared" si="17"/>
        <v>-309.73</v>
      </c>
      <c r="M34" s="2"/>
      <c r="N34" s="7">
        <f t="shared" si="18"/>
        <v>-0.65250273868711561</v>
      </c>
      <c r="O34" s="11"/>
      <c r="P34" s="6">
        <v>673.22</v>
      </c>
      <c r="Q34" s="2"/>
      <c r="R34" s="7">
        <f t="shared" si="19"/>
        <v>2.4366650589208788E-3</v>
      </c>
      <c r="S34" s="2"/>
      <c r="T34" s="6">
        <v>4153.03</v>
      </c>
      <c r="U34" s="2"/>
      <c r="V34" s="7">
        <f t="shared" si="20"/>
        <v>1.1839936639434477E-3</v>
      </c>
      <c r="W34" s="2"/>
      <c r="X34" s="6">
        <f t="shared" si="21"/>
        <v>-3479.8099999999995</v>
      </c>
      <c r="Y34" s="2"/>
      <c r="Z34" s="7">
        <f t="shared" si="22"/>
        <v>-0.83789666821573638</v>
      </c>
    </row>
    <row r="35" spans="1:26" s="24" customFormat="1" hidden="1" outlineLevel="2" x14ac:dyDescent="0.25">
      <c r="A35" s="25"/>
      <c r="B35" s="11" t="str">
        <f>CONCATENATE("          ", "6115", " - ", "P.E.R.S.")</f>
        <v xml:space="preserve">          6115 - P.E.R.S.</v>
      </c>
      <c r="C35" s="11"/>
      <c r="D35" s="6">
        <v>3958.83</v>
      </c>
      <c r="E35" s="2"/>
      <c r="F35" s="7">
        <f t="shared" si="15"/>
        <v>4.8235202951112326E-2</v>
      </c>
      <c r="G35" s="2"/>
      <c r="H35" s="6">
        <v>10259.52</v>
      </c>
      <c r="I35" s="2"/>
      <c r="J35" s="7">
        <f t="shared" si="16"/>
        <v>2.5005629576521547E-2</v>
      </c>
      <c r="K35" s="2"/>
      <c r="L35" s="6">
        <f t="shared" si="17"/>
        <v>-6300.6900000000005</v>
      </c>
      <c r="M35" s="2"/>
      <c r="N35" s="7">
        <f t="shared" si="18"/>
        <v>-0.61413107045943671</v>
      </c>
      <c r="O35" s="11"/>
      <c r="P35" s="6">
        <v>24223.11</v>
      </c>
      <c r="Q35" s="2"/>
      <c r="R35" s="7">
        <f t="shared" si="19"/>
        <v>8.7673577367572156E-2</v>
      </c>
      <c r="S35" s="2"/>
      <c r="T35" s="6">
        <v>52568.4</v>
      </c>
      <c r="U35" s="2"/>
      <c r="V35" s="7">
        <f t="shared" si="20"/>
        <v>1.4986805422461369E-2</v>
      </c>
      <c r="W35" s="2"/>
      <c r="X35" s="6">
        <f t="shared" si="21"/>
        <v>-28345.29</v>
      </c>
      <c r="Y35" s="2"/>
      <c r="Z35" s="7">
        <f t="shared" si="22"/>
        <v>-0.53920777501312578</v>
      </c>
    </row>
    <row r="36" spans="1:26" s="24" customFormat="1" hidden="1" outlineLevel="2" x14ac:dyDescent="0.25">
      <c r="A36" s="25"/>
      <c r="B36" s="11" t="str">
        <f>CONCATENATE("          ", "6117", " - ", "RETIREMENT STAFF HOURLY")</f>
        <v xml:space="preserve">          6117 - RETIREMENT STAFF HOURLY</v>
      </c>
      <c r="C36" s="11"/>
      <c r="D36" s="6"/>
      <c r="E36" s="2"/>
      <c r="F36" s="7">
        <f t="shared" si="15"/>
        <v>0</v>
      </c>
      <c r="G36" s="2"/>
      <c r="H36" s="6">
        <v>193.98</v>
      </c>
      <c r="I36" s="2"/>
      <c r="J36" s="7">
        <f t="shared" si="16"/>
        <v>4.7278937272442082E-4</v>
      </c>
      <c r="K36" s="2"/>
      <c r="L36" s="6">
        <f t="shared" si="17"/>
        <v>-193.98</v>
      </c>
      <c r="M36" s="2"/>
      <c r="N36" s="7">
        <f t="shared" si="18"/>
        <v>-1</v>
      </c>
      <c r="O36" s="11"/>
      <c r="P36" s="6"/>
      <c r="Q36" s="2"/>
      <c r="R36" s="7">
        <f t="shared" si="19"/>
        <v>0</v>
      </c>
      <c r="S36" s="2"/>
      <c r="T36" s="6">
        <v>557.98</v>
      </c>
      <c r="U36" s="2"/>
      <c r="V36" s="7">
        <f t="shared" si="20"/>
        <v>1.5907537017723566E-4</v>
      </c>
      <c r="W36" s="2"/>
      <c r="X36" s="6">
        <f t="shared" si="21"/>
        <v>-557.98</v>
      </c>
      <c r="Y36" s="2"/>
      <c r="Z36" s="7">
        <f t="shared" si="22"/>
        <v>-1</v>
      </c>
    </row>
    <row r="37" spans="1:26" s="24" customFormat="1" hidden="1" outlineLevel="2" x14ac:dyDescent="0.25">
      <c r="A37" s="25"/>
      <c r="B37" s="11" t="str">
        <f>CONCATENATE("          ", "6118", " - ", "VACATION")</f>
        <v xml:space="preserve">          6118 - VACATION</v>
      </c>
      <c r="C37" s="11"/>
      <c r="D37" s="6">
        <v>2423.7800000000002</v>
      </c>
      <c r="E37" s="2"/>
      <c r="F37" s="7">
        <f t="shared" si="15"/>
        <v>2.9531836479173658E-2</v>
      </c>
      <c r="G37" s="2"/>
      <c r="H37" s="6">
        <v>6679.87</v>
      </c>
      <c r="I37" s="2"/>
      <c r="J37" s="7">
        <f t="shared" si="16"/>
        <v>1.62809132239441E-2</v>
      </c>
      <c r="K37" s="2"/>
      <c r="L37" s="6">
        <f t="shared" si="17"/>
        <v>-4256.09</v>
      </c>
      <c r="M37" s="2"/>
      <c r="N37" s="7">
        <f t="shared" si="18"/>
        <v>-0.63715162121418534</v>
      </c>
      <c r="O37" s="11"/>
      <c r="P37" s="6">
        <v>18509.080000000002</v>
      </c>
      <c r="Q37" s="2"/>
      <c r="R37" s="7">
        <f t="shared" si="19"/>
        <v>6.6992110318723846E-2</v>
      </c>
      <c r="S37" s="2"/>
      <c r="T37" s="6">
        <v>51851.519999999997</v>
      </c>
      <c r="U37" s="2"/>
      <c r="V37" s="7">
        <f t="shared" si="20"/>
        <v>1.4782429008660412E-2</v>
      </c>
      <c r="W37" s="2"/>
      <c r="X37" s="6">
        <f t="shared" si="21"/>
        <v>-33342.439999999995</v>
      </c>
      <c r="Y37" s="2"/>
      <c r="Z37" s="7">
        <f t="shared" si="22"/>
        <v>-0.64303688686464733</v>
      </c>
    </row>
    <row r="38" spans="1:26" s="24" customFormat="1" hidden="1" outlineLevel="2" x14ac:dyDescent="0.25">
      <c r="A38" s="25"/>
      <c r="B38" s="11" t="str">
        <f>CONCATENATE("          ", "6119", " - ", "SICK LEAVE")</f>
        <v xml:space="preserve">          6119 - SICK LEAVE</v>
      </c>
      <c r="C38" s="11"/>
      <c r="D38" s="6">
        <v>1382.86</v>
      </c>
      <c r="E38" s="2"/>
      <c r="F38" s="7">
        <f t="shared" si="15"/>
        <v>1.6849052056535693E-2</v>
      </c>
      <c r="G38" s="2"/>
      <c r="H38" s="6">
        <v>5188.91</v>
      </c>
      <c r="I38" s="2"/>
      <c r="J38" s="7">
        <f t="shared" si="16"/>
        <v>1.2646981668334232E-2</v>
      </c>
      <c r="K38" s="2"/>
      <c r="L38" s="6">
        <f t="shared" si="17"/>
        <v>-3806.05</v>
      </c>
      <c r="M38" s="2"/>
      <c r="N38" s="7">
        <f t="shared" si="18"/>
        <v>-0.73349701575089954</v>
      </c>
      <c r="O38" s="11"/>
      <c r="P38" s="6">
        <v>10742.42</v>
      </c>
      <c r="Q38" s="2"/>
      <c r="R38" s="7">
        <f t="shared" si="19"/>
        <v>3.8881315858490278E-2</v>
      </c>
      <c r="S38" s="2"/>
      <c r="T38" s="6">
        <v>57875.630000000005</v>
      </c>
      <c r="U38" s="2"/>
      <c r="V38" s="7">
        <f t="shared" si="20"/>
        <v>1.6499851726747779E-2</v>
      </c>
      <c r="W38" s="2"/>
      <c r="X38" s="6">
        <f t="shared" si="21"/>
        <v>-47133.210000000006</v>
      </c>
      <c r="Y38" s="2"/>
      <c r="Z38" s="7">
        <f t="shared" si="22"/>
        <v>-0.81438785201992625</v>
      </c>
    </row>
    <row r="39" spans="1:26" s="24" customFormat="1" hidden="1" outlineLevel="2" x14ac:dyDescent="0.25">
      <c r="A39" s="25"/>
      <c r="B39" s="11" t="str">
        <f>CONCATENATE("          ", "6156", " - ", "EMPLOYEE MEALS")</f>
        <v xml:space="preserve">          6156 - EMPLOYEE MEALS</v>
      </c>
      <c r="C39" s="11"/>
      <c r="D39" s="6">
        <v>103.03</v>
      </c>
      <c r="E39" s="2"/>
      <c r="F39" s="7">
        <f t="shared" si="15"/>
        <v>1.2553388147642367E-3</v>
      </c>
      <c r="G39" s="2"/>
      <c r="H39" s="6">
        <v>3608.74</v>
      </c>
      <c r="I39" s="2"/>
      <c r="J39" s="7">
        <f t="shared" si="16"/>
        <v>8.7956176973168695E-3</v>
      </c>
      <c r="K39" s="2"/>
      <c r="L39" s="6">
        <f t="shared" si="17"/>
        <v>-3505.7099999999996</v>
      </c>
      <c r="M39" s="2"/>
      <c r="N39" s="7">
        <f t="shared" si="18"/>
        <v>-0.9714498689293215</v>
      </c>
      <c r="O39" s="11"/>
      <c r="P39" s="6">
        <v>3521.36</v>
      </c>
      <c r="Q39" s="2"/>
      <c r="R39" s="7">
        <f t="shared" si="19"/>
        <v>1.274527624236004E-2</v>
      </c>
      <c r="S39" s="2"/>
      <c r="T39" s="6">
        <v>19262.89</v>
      </c>
      <c r="U39" s="2"/>
      <c r="V39" s="7">
        <f t="shared" si="20"/>
        <v>5.4916867225229772E-3</v>
      </c>
      <c r="W39" s="2"/>
      <c r="X39" s="6">
        <f t="shared" si="21"/>
        <v>-15741.529999999999</v>
      </c>
      <c r="Y39" s="2"/>
      <c r="Z39" s="7">
        <f t="shared" si="22"/>
        <v>-0.81719461617649269</v>
      </c>
    </row>
    <row r="40" spans="1:26" s="26" customFormat="1" outlineLevel="1" collapsed="1" x14ac:dyDescent="0.25">
      <c r="A40" s="27"/>
      <c r="B40" s="13" t="str">
        <f>CONCATENATE("     ","*Payroll                                          ")</f>
        <v xml:space="preserve">     *Payroll                                          </v>
      </c>
      <c r="C40" s="13"/>
      <c r="D40" s="1">
        <f>SUM(OSRRefD22_1x_0)</f>
        <v>29206.010000000002</v>
      </c>
      <c r="E40" s="1"/>
      <c r="F40" s="5">
        <f t="shared" ref="F40:F47" si="23">IF(D$12=0,0,D40/D$12)</f>
        <v>0.35585206228663929</v>
      </c>
      <c r="G40" s="1"/>
      <c r="H40" s="1">
        <f>SUM(OSRRefH22_1x_0)</f>
        <v>234618.58999999997</v>
      </c>
      <c r="I40" s="1"/>
      <c r="J40" s="5">
        <f t="shared" ref="J40:J47" si="24">IF(H$12=0,0,H40/H$12)</f>
        <v>0.57183821010201075</v>
      </c>
      <c r="K40" s="1"/>
      <c r="L40" s="1">
        <f t="shared" ref="L40:L47" si="25">+D40-H40</f>
        <v>-205412.57999999996</v>
      </c>
      <c r="M40" s="1"/>
      <c r="N40" s="5">
        <f t="shared" ref="N40:N47" si="26">IF(H40=0,0,L40/H40)</f>
        <v>-0.87551706793566519</v>
      </c>
      <c r="O40" s="13"/>
      <c r="P40" s="1">
        <f>SUM(OSRRefP22_1x_0)</f>
        <v>208137.66999999998</v>
      </c>
      <c r="Q40" s="1"/>
      <c r="R40" s="5">
        <f t="shared" ref="R40:R47" si="27">IF(P$12=0,0,P40/P$12)</f>
        <v>0.75333737550014024</v>
      </c>
      <c r="S40" s="1"/>
      <c r="T40" s="1">
        <f>SUM(OSRRefT22_1x_0)</f>
        <v>1526721.4200000002</v>
      </c>
      <c r="U40" s="1"/>
      <c r="V40" s="5">
        <f t="shared" ref="V40:V47" si="28">IF(T$12=0,0,T40/T$12)</f>
        <v>0.43525534077209738</v>
      </c>
      <c r="W40" s="1"/>
      <c r="X40" s="1">
        <f t="shared" ref="X40:X47" si="29">+P40-T40</f>
        <v>-1318583.7500000002</v>
      </c>
      <c r="Y40" s="1"/>
      <c r="Z40" s="5">
        <f t="shared" ref="Z40:Z47" si="30">IF(T40=0,0,X40/T40)</f>
        <v>-0.86367017107810018</v>
      </c>
    </row>
    <row r="41" spans="1:26" s="24" customFormat="1" hidden="1" outlineLevel="2" x14ac:dyDescent="0.25">
      <c r="A41" s="25"/>
      <c r="B41" s="11" t="str">
        <f>CONCATENATE("          ", "6001", " - ", "ADMINISTRATIVE SALARIES")</f>
        <v xml:space="preserve">          6001 - ADMINISTRATIVE SALARIES</v>
      </c>
      <c r="C41" s="11"/>
      <c r="D41" s="6">
        <v>13911.28</v>
      </c>
      <c r="E41" s="2"/>
      <c r="F41" s="7">
        <f t="shared" si="23"/>
        <v>0.16949791077407969</v>
      </c>
      <c r="G41" s="2"/>
      <c r="H41" s="6">
        <v>20764.329999999998</v>
      </c>
      <c r="I41" s="2"/>
      <c r="J41" s="7">
        <f t="shared" si="24"/>
        <v>5.060910689629277E-2</v>
      </c>
      <c r="K41" s="2"/>
      <c r="L41" s="6">
        <f t="shared" si="25"/>
        <v>-6853.0499999999975</v>
      </c>
      <c r="M41" s="2"/>
      <c r="N41" s="7">
        <f t="shared" si="26"/>
        <v>-0.33003954377531075</v>
      </c>
      <c r="O41" s="11"/>
      <c r="P41" s="6">
        <v>76591.079999999987</v>
      </c>
      <c r="Q41" s="2"/>
      <c r="R41" s="7">
        <f t="shared" si="27"/>
        <v>0.27721518739938461</v>
      </c>
      <c r="S41" s="2"/>
      <c r="T41" s="6">
        <v>124998.73999999999</v>
      </c>
      <c r="U41" s="2"/>
      <c r="V41" s="7">
        <f t="shared" si="28"/>
        <v>3.5636081646632553E-2</v>
      </c>
      <c r="W41" s="2"/>
      <c r="X41" s="6">
        <f t="shared" si="29"/>
        <v>-48407.66</v>
      </c>
      <c r="Y41" s="2"/>
      <c r="Z41" s="7">
        <f t="shared" si="30"/>
        <v>-0.38726518363305107</v>
      </c>
    </row>
    <row r="42" spans="1:26" s="24" customFormat="1" hidden="1" outlineLevel="2" x14ac:dyDescent="0.25">
      <c r="A42" s="25"/>
      <c r="B42" s="11" t="str">
        <f>CONCATENATE("          ", "6002", " - ", "STAFF SALARIES")</f>
        <v xml:space="preserve">          6002 - STAFF SALARIES</v>
      </c>
      <c r="C42" s="11"/>
      <c r="D42" s="6">
        <v>14173.28</v>
      </c>
      <c r="E42" s="2"/>
      <c r="F42" s="7">
        <f t="shared" si="23"/>
        <v>0.17269017292557179</v>
      </c>
      <c r="G42" s="2"/>
      <c r="H42" s="6">
        <v>78522.13</v>
      </c>
      <c r="I42" s="2"/>
      <c r="J42" s="7">
        <f t="shared" si="24"/>
        <v>0.19138276413901137</v>
      </c>
      <c r="K42" s="2"/>
      <c r="L42" s="6">
        <f t="shared" si="25"/>
        <v>-64348.850000000006</v>
      </c>
      <c r="M42" s="2"/>
      <c r="N42" s="7">
        <f t="shared" si="26"/>
        <v>-0.81949954745241882</v>
      </c>
      <c r="O42" s="11"/>
      <c r="P42" s="6">
        <v>107094.09</v>
      </c>
      <c r="Q42" s="2"/>
      <c r="R42" s="7">
        <f t="shared" si="27"/>
        <v>0.38761835227700886</v>
      </c>
      <c r="S42" s="2"/>
      <c r="T42" s="6">
        <v>438646.82</v>
      </c>
      <c r="U42" s="2"/>
      <c r="V42" s="7">
        <f t="shared" si="28"/>
        <v>0.12505449168172203</v>
      </c>
      <c r="W42" s="2"/>
      <c r="X42" s="6">
        <f t="shared" si="29"/>
        <v>-331552.73</v>
      </c>
      <c r="Y42" s="2"/>
      <c r="Z42" s="7">
        <f t="shared" si="30"/>
        <v>-0.75585349051430484</v>
      </c>
    </row>
    <row r="43" spans="1:26" s="24" customFormat="1" hidden="1" outlineLevel="2" x14ac:dyDescent="0.25">
      <c r="A43" s="25"/>
      <c r="B43" s="11" t="str">
        <f>CONCATENATE("          ", "6004", " - ", "STAFF HOURLY")</f>
        <v xml:space="preserve">          6004 - STAFF HOURLY</v>
      </c>
      <c r="C43" s="11"/>
      <c r="D43" s="6">
        <v>960.45</v>
      </c>
      <c r="E43" s="2"/>
      <c r="F43" s="7">
        <f t="shared" si="23"/>
        <v>1.1702321310689228E-2</v>
      </c>
      <c r="G43" s="2"/>
      <c r="H43" s="6">
        <v>23998.09</v>
      </c>
      <c r="I43" s="2"/>
      <c r="J43" s="7">
        <f t="shared" si="24"/>
        <v>5.8490782130550555E-2</v>
      </c>
      <c r="K43" s="2"/>
      <c r="L43" s="6">
        <f t="shared" si="25"/>
        <v>-23037.64</v>
      </c>
      <c r="M43" s="2"/>
      <c r="N43" s="7">
        <f t="shared" si="26"/>
        <v>-0.95997806492099991</v>
      </c>
      <c r="O43" s="11"/>
      <c r="P43" s="6">
        <v>21485.08</v>
      </c>
      <c r="Q43" s="2"/>
      <c r="R43" s="7">
        <f t="shared" si="27"/>
        <v>7.776350037746918E-2</v>
      </c>
      <c r="S43" s="2"/>
      <c r="T43" s="6">
        <v>145836.08000000002</v>
      </c>
      <c r="U43" s="2"/>
      <c r="V43" s="7">
        <f t="shared" si="28"/>
        <v>4.1576630723676393E-2</v>
      </c>
      <c r="W43" s="2"/>
      <c r="X43" s="6">
        <f t="shared" si="29"/>
        <v>-124351.00000000001</v>
      </c>
      <c r="Y43" s="2"/>
      <c r="Z43" s="7">
        <f t="shared" si="30"/>
        <v>-0.85267651187552496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6"/>
      <c r="E44" s="2"/>
      <c r="F44" s="7">
        <f t="shared" si="23"/>
        <v>0</v>
      </c>
      <c r="G44" s="2"/>
      <c r="H44" s="6">
        <v>32623.070000000003</v>
      </c>
      <c r="I44" s="2"/>
      <c r="J44" s="7">
        <f t="shared" si="24"/>
        <v>7.9512531197261954E-2</v>
      </c>
      <c r="K44" s="2"/>
      <c r="L44" s="6">
        <f t="shared" si="25"/>
        <v>-32623.070000000003</v>
      </c>
      <c r="M44" s="2"/>
      <c r="N44" s="7">
        <f t="shared" si="26"/>
        <v>-1</v>
      </c>
      <c r="O44" s="11"/>
      <c r="P44" s="6">
        <v>2736.71</v>
      </c>
      <c r="Q44" s="2"/>
      <c r="R44" s="7">
        <f t="shared" si="27"/>
        <v>9.9052993574156416E-3</v>
      </c>
      <c r="S44" s="2"/>
      <c r="T44" s="6">
        <v>308312.63</v>
      </c>
      <c r="U44" s="2"/>
      <c r="V44" s="7">
        <f t="shared" si="28"/>
        <v>8.7897318447914069E-2</v>
      </c>
      <c r="W44" s="2"/>
      <c r="X44" s="6">
        <f t="shared" si="29"/>
        <v>-305575.92</v>
      </c>
      <c r="Y44" s="2"/>
      <c r="Z44" s="7">
        <f t="shared" si="30"/>
        <v>-0.99112358776868781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3"/>
        <v>0</v>
      </c>
      <c r="G45" s="2"/>
      <c r="H45" s="6">
        <v>68.25</v>
      </c>
      <c r="I45" s="2"/>
      <c r="J45" s="7">
        <f t="shared" si="24"/>
        <v>1.6634640008475989E-4</v>
      </c>
      <c r="K45" s="2"/>
      <c r="L45" s="6">
        <f t="shared" si="25"/>
        <v>-68.25</v>
      </c>
      <c r="M45" s="2"/>
      <c r="N45" s="7">
        <f t="shared" si="26"/>
        <v>-1</v>
      </c>
      <c r="O45" s="11"/>
      <c r="P45" s="6"/>
      <c r="Q45" s="2"/>
      <c r="R45" s="7">
        <f t="shared" si="27"/>
        <v>0</v>
      </c>
      <c r="S45" s="2"/>
      <c r="T45" s="6">
        <v>10710.9</v>
      </c>
      <c r="U45" s="2"/>
      <c r="V45" s="7">
        <f t="shared" si="28"/>
        <v>3.0535868354266337E-3</v>
      </c>
      <c r="W45" s="2"/>
      <c r="X45" s="6">
        <f t="shared" si="29"/>
        <v>-10710.9</v>
      </c>
      <c r="Y45" s="2"/>
      <c r="Z45" s="7">
        <f t="shared" si="30"/>
        <v>-1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6">
        <v>161</v>
      </c>
      <c r="E46" s="2"/>
      <c r="F46" s="7">
        <f t="shared" si="23"/>
        <v>1.9616572762985742E-3</v>
      </c>
      <c r="G46" s="2"/>
      <c r="H46" s="6">
        <v>77407.719999999987</v>
      </c>
      <c r="I46" s="2"/>
      <c r="J46" s="7">
        <f t="shared" si="24"/>
        <v>0.18866660162298998</v>
      </c>
      <c r="K46" s="2"/>
      <c r="L46" s="6">
        <f t="shared" si="25"/>
        <v>-77246.719999999987</v>
      </c>
      <c r="M46" s="2"/>
      <c r="N46" s="7">
        <f t="shared" si="26"/>
        <v>-0.99792010409297682</v>
      </c>
      <c r="O46" s="11"/>
      <c r="P46" s="6">
        <v>230.71</v>
      </c>
      <c r="Q46" s="2"/>
      <c r="R46" s="7">
        <f t="shared" si="27"/>
        <v>8.3503608886194107E-4</v>
      </c>
      <c r="S46" s="2"/>
      <c r="T46" s="6">
        <v>475470.58</v>
      </c>
      <c r="U46" s="2"/>
      <c r="V46" s="7">
        <f t="shared" si="28"/>
        <v>0.13555263364616105</v>
      </c>
      <c r="W46" s="2"/>
      <c r="X46" s="6">
        <f t="shared" si="29"/>
        <v>-475239.87</v>
      </c>
      <c r="Y46" s="2"/>
      <c r="Z46" s="7">
        <f t="shared" si="30"/>
        <v>-0.99951477544625367</v>
      </c>
    </row>
    <row r="47" spans="1:26" s="24" customFormat="1" hidden="1" outlineLevel="2" x14ac:dyDescent="0.25">
      <c r="A47" s="25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23"/>
        <v>0</v>
      </c>
      <c r="G47" s="2"/>
      <c r="H47" s="6">
        <v>1235</v>
      </c>
      <c r="I47" s="2"/>
      <c r="J47" s="7">
        <f t="shared" si="24"/>
        <v>3.0100777158194644E-3</v>
      </c>
      <c r="K47" s="2"/>
      <c r="L47" s="6">
        <f t="shared" si="25"/>
        <v>-1235</v>
      </c>
      <c r="M47" s="2"/>
      <c r="N47" s="7">
        <f t="shared" si="26"/>
        <v>-1</v>
      </c>
      <c r="O47" s="11"/>
      <c r="P47" s="6"/>
      <c r="Q47" s="2"/>
      <c r="R47" s="7">
        <f t="shared" si="27"/>
        <v>0</v>
      </c>
      <c r="S47" s="2"/>
      <c r="T47" s="6">
        <v>22745.670000000002</v>
      </c>
      <c r="U47" s="2"/>
      <c r="V47" s="7">
        <f t="shared" si="28"/>
        <v>6.4845977905646146E-3</v>
      </c>
      <c r="W47" s="2"/>
      <c r="X47" s="6">
        <f t="shared" si="29"/>
        <v>-22745.670000000002</v>
      </c>
      <c r="Y47" s="2"/>
      <c r="Z47" s="7">
        <f t="shared" si="30"/>
        <v>-1</v>
      </c>
    </row>
    <row r="48" spans="1:26" s="26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5.4</v>
      </c>
      <c r="E48" s="1"/>
      <c r="F48" s="5">
        <f t="shared" ref="F48:F57" si="31">IF(D$12=0,0,D48/D$12)</f>
        <v>6.5794716099455287E-5</v>
      </c>
      <c r="G48" s="1"/>
      <c r="H48" s="1">
        <f>SUM(OSRRefH22_2x_0)</f>
        <v>4169.58</v>
      </c>
      <c r="I48" s="1"/>
      <c r="J48" s="5">
        <f t="shared" ref="J48:J57" si="32">IF(H$12=0,0,H48/H$12)</f>
        <v>1.016255857678261E-2</v>
      </c>
      <c r="K48" s="1"/>
      <c r="L48" s="1">
        <f t="shared" ref="L48:L57" si="33">+D48-H48</f>
        <v>-4164.18</v>
      </c>
      <c r="M48" s="1"/>
      <c r="N48" s="5">
        <f t="shared" ref="N48:N57" si="34">IF(H48=0,0,L48/H48)</f>
        <v>-0.99870490553005342</v>
      </c>
      <c r="O48" s="13"/>
      <c r="P48" s="1">
        <f>SUM(OSRRefP22_2x_0)</f>
        <v>139.35</v>
      </c>
      <c r="Q48" s="1"/>
      <c r="R48" s="5">
        <f t="shared" ref="R48:R57" si="35">IF(P$12=0,0,P48/P$12)</f>
        <v>5.0436599619830733E-4</v>
      </c>
      <c r="S48" s="1"/>
      <c r="T48" s="1">
        <f>SUM(OSRRefT22_2x_0)</f>
        <v>23811.01</v>
      </c>
      <c r="U48" s="1"/>
      <c r="V48" s="5">
        <f t="shared" ref="V48:V57" si="36">IF(T$12=0,0,T48/T$12)</f>
        <v>6.788317197827627E-3</v>
      </c>
      <c r="W48" s="1"/>
      <c r="X48" s="1">
        <f t="shared" ref="X48:X57" si="37">+P48-T48</f>
        <v>-23671.66</v>
      </c>
      <c r="Y48" s="1"/>
      <c r="Z48" s="5">
        <f t="shared" ref="Z48:Z57" si="38">IF(T48=0,0,X48/T48)</f>
        <v>-0.99414766530273191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6">
        <v>5.4</v>
      </c>
      <c r="E49" s="2"/>
      <c r="F49" s="7">
        <f t="shared" si="31"/>
        <v>6.5794716099455287E-5</v>
      </c>
      <c r="G49" s="2"/>
      <c r="H49" s="6">
        <v>4169.58</v>
      </c>
      <c r="I49" s="2"/>
      <c r="J49" s="7">
        <f t="shared" si="32"/>
        <v>1.016255857678261E-2</v>
      </c>
      <c r="K49" s="2"/>
      <c r="L49" s="6">
        <f t="shared" si="33"/>
        <v>-4164.18</v>
      </c>
      <c r="M49" s="2"/>
      <c r="N49" s="7">
        <f t="shared" si="34"/>
        <v>-0.99870490553005342</v>
      </c>
      <c r="O49" s="11"/>
      <c r="P49" s="6">
        <v>139.35</v>
      </c>
      <c r="Q49" s="2"/>
      <c r="R49" s="7">
        <f t="shared" si="35"/>
        <v>5.0436599619830733E-4</v>
      </c>
      <c r="S49" s="2"/>
      <c r="T49" s="6">
        <v>23811.01</v>
      </c>
      <c r="U49" s="2"/>
      <c r="V49" s="7">
        <f t="shared" si="36"/>
        <v>6.788317197827627E-3</v>
      </c>
      <c r="W49" s="2"/>
      <c r="X49" s="6">
        <f t="shared" si="37"/>
        <v>-23671.66</v>
      </c>
      <c r="Y49" s="2"/>
      <c r="Z49" s="7">
        <f t="shared" si="38"/>
        <v>-0.99414766530273191</v>
      </c>
    </row>
    <row r="50" spans="1:26" s="26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31"/>
        <v>0</v>
      </c>
      <c r="G50" s="1"/>
      <c r="H50" s="1">
        <f>SUM(OSRRefH22_3x_0)</f>
        <v>-412.33</v>
      </c>
      <c r="I50" s="1"/>
      <c r="J50" s="5">
        <f t="shared" si="32"/>
        <v>-1.0049759875010848E-3</v>
      </c>
      <c r="K50" s="1"/>
      <c r="L50" s="1">
        <f t="shared" si="33"/>
        <v>412.33</v>
      </c>
      <c r="M50" s="1"/>
      <c r="N50" s="5">
        <f t="shared" si="34"/>
        <v>-1</v>
      </c>
      <c r="O50" s="13"/>
      <c r="P50" s="1">
        <f>SUM(OSRRefP22_3x_0)</f>
        <v>8.7899999999999991</v>
      </c>
      <c r="Q50" s="1"/>
      <c r="R50" s="5">
        <f t="shared" si="35"/>
        <v>3.1814690395286124E-5</v>
      </c>
      <c r="S50" s="1"/>
      <c r="T50" s="1">
        <f>SUM(OSRRefT22_3x_0)</f>
        <v>-504.38</v>
      </c>
      <c r="U50" s="1"/>
      <c r="V50" s="5">
        <f t="shared" si="36"/>
        <v>-1.4379446433562872E-4</v>
      </c>
      <c r="W50" s="1"/>
      <c r="X50" s="1">
        <f t="shared" si="37"/>
        <v>513.16999999999996</v>
      </c>
      <c r="Y50" s="1"/>
      <c r="Z50" s="5">
        <f t="shared" si="38"/>
        <v>-1.0174273365319797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31"/>
        <v>0</v>
      </c>
      <c r="G51" s="2"/>
      <c r="H51" s="6">
        <v>-412.33</v>
      </c>
      <c r="I51" s="2"/>
      <c r="J51" s="7">
        <f t="shared" si="32"/>
        <v>-1.0049759875010848E-3</v>
      </c>
      <c r="K51" s="2"/>
      <c r="L51" s="6">
        <f t="shared" si="33"/>
        <v>412.33</v>
      </c>
      <c r="M51" s="2"/>
      <c r="N51" s="7">
        <f t="shared" si="34"/>
        <v>-1</v>
      </c>
      <c r="O51" s="11"/>
      <c r="P51" s="6">
        <v>8.7899999999999991</v>
      </c>
      <c r="Q51" s="2"/>
      <c r="R51" s="7">
        <f t="shared" si="35"/>
        <v>3.1814690395286124E-5</v>
      </c>
      <c r="S51" s="2"/>
      <c r="T51" s="6">
        <v>-504.38</v>
      </c>
      <c r="U51" s="2"/>
      <c r="V51" s="7">
        <f t="shared" si="36"/>
        <v>-1.4379446433562872E-4</v>
      </c>
      <c r="W51" s="2"/>
      <c r="X51" s="6">
        <f t="shared" si="37"/>
        <v>513.16999999999996</v>
      </c>
      <c r="Y51" s="2"/>
      <c r="Z51" s="7">
        <f t="shared" si="38"/>
        <v>-1.0174273365319797</v>
      </c>
    </row>
    <row r="52" spans="1:26" s="26" customFormat="1" outlineLevel="1" collapsed="1" x14ac:dyDescent="0.25">
      <c r="A52" s="27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671.77</v>
      </c>
      <c r="E52" s="1"/>
      <c r="F52" s="5">
        <f t="shared" si="31"/>
        <v>8.1849845248390882E-3</v>
      </c>
      <c r="G52" s="1"/>
      <c r="H52" s="1">
        <f>SUM(OSRRefH22_4x_0)</f>
        <v>10950.57</v>
      </c>
      <c r="I52" s="1"/>
      <c r="J52" s="5">
        <f t="shared" si="32"/>
        <v>2.6689932576940203E-2</v>
      </c>
      <c r="K52" s="1"/>
      <c r="L52" s="1">
        <f t="shared" si="33"/>
        <v>-10278.799999999999</v>
      </c>
      <c r="M52" s="1"/>
      <c r="N52" s="5">
        <f t="shared" si="34"/>
        <v>-0.93865433488850347</v>
      </c>
      <c r="O52" s="13"/>
      <c r="P52" s="1">
        <f>SUM(OSRRefP22_4x_0)</f>
        <v>3926.53</v>
      </c>
      <c r="Q52" s="1"/>
      <c r="R52" s="5">
        <f t="shared" si="35"/>
        <v>1.4211756118066306E-2</v>
      </c>
      <c r="S52" s="1"/>
      <c r="T52" s="1">
        <f>SUM(OSRRefT22_4x_0)</f>
        <v>114362.37000000001</v>
      </c>
      <c r="U52" s="1"/>
      <c r="V52" s="5">
        <f t="shared" si="36"/>
        <v>3.2603742682705453E-2</v>
      </c>
      <c r="W52" s="1"/>
      <c r="X52" s="1">
        <f t="shared" si="37"/>
        <v>-110435.84000000001</v>
      </c>
      <c r="Y52" s="1"/>
      <c r="Z52" s="5">
        <f t="shared" si="38"/>
        <v>-0.96566589167398331</v>
      </c>
    </row>
    <row r="53" spans="1:26" s="24" customFormat="1" hidden="1" outlineLevel="2" x14ac:dyDescent="0.25">
      <c r="A53" s="25"/>
      <c r="B53" s="11" t="str">
        <f>CONCATENATE("          ", "6381", " - ", "BANK/CREDIT CARD FEES")</f>
        <v xml:space="preserve">          6381 - BANK/CREDIT CARD FEES</v>
      </c>
      <c r="C53" s="11"/>
      <c r="D53" s="6">
        <v>671.77</v>
      </c>
      <c r="E53" s="2"/>
      <c r="F53" s="7">
        <f t="shared" si="31"/>
        <v>8.1849845248390882E-3</v>
      </c>
      <c r="G53" s="2"/>
      <c r="H53" s="6">
        <v>10950.57</v>
      </c>
      <c r="I53" s="2"/>
      <c r="J53" s="7">
        <f t="shared" si="32"/>
        <v>2.6689932576940203E-2</v>
      </c>
      <c r="K53" s="2"/>
      <c r="L53" s="6">
        <f t="shared" si="33"/>
        <v>-10278.799999999999</v>
      </c>
      <c r="M53" s="2"/>
      <c r="N53" s="7">
        <f t="shared" si="34"/>
        <v>-0.93865433488850347</v>
      </c>
      <c r="O53" s="11"/>
      <c r="P53" s="6">
        <v>3926.53</v>
      </c>
      <c r="Q53" s="2"/>
      <c r="R53" s="7">
        <f t="shared" si="35"/>
        <v>1.4211756118066306E-2</v>
      </c>
      <c r="S53" s="2"/>
      <c r="T53" s="6">
        <v>114362.37000000001</v>
      </c>
      <c r="U53" s="2"/>
      <c r="V53" s="7">
        <f t="shared" si="36"/>
        <v>3.2603742682705453E-2</v>
      </c>
      <c r="W53" s="2"/>
      <c r="X53" s="6">
        <f t="shared" si="37"/>
        <v>-110435.84000000001</v>
      </c>
      <c r="Y53" s="2"/>
      <c r="Z53" s="7">
        <f t="shared" si="38"/>
        <v>-0.96566589167398331</v>
      </c>
    </row>
    <row r="54" spans="1:26" s="26" customFormat="1" outlineLevel="1" collapsed="1" x14ac:dyDescent="0.25">
      <c r="A54" s="27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36720.759999999995</v>
      </c>
      <c r="E54" s="1"/>
      <c r="F54" s="5">
        <f t="shared" si="31"/>
        <v>0.44741332947337653</v>
      </c>
      <c r="G54" s="1"/>
      <c r="H54" s="1">
        <f>SUM(OSRRefH22_5x_0)</f>
        <v>40745.619999999995</v>
      </c>
      <c r="I54" s="1"/>
      <c r="J54" s="5">
        <f t="shared" si="32"/>
        <v>9.9309702655261428E-2</v>
      </c>
      <c r="K54" s="1"/>
      <c r="L54" s="1">
        <f t="shared" si="33"/>
        <v>-4024.8600000000006</v>
      </c>
      <c r="M54" s="1"/>
      <c r="N54" s="5">
        <f t="shared" si="34"/>
        <v>-9.8780187907313743E-2</v>
      </c>
      <c r="O54" s="13"/>
      <c r="P54" s="1">
        <f>SUM(OSRRefP22_5x_0)</f>
        <v>259868.84</v>
      </c>
      <c r="Q54" s="1"/>
      <c r="R54" s="5">
        <f t="shared" si="35"/>
        <v>0.94057413970217818</v>
      </c>
      <c r="S54" s="1"/>
      <c r="T54" s="1">
        <f>SUM(OSRRefT22_5x_0)</f>
        <v>279346.49</v>
      </c>
      <c r="U54" s="1"/>
      <c r="V54" s="5">
        <f t="shared" si="36"/>
        <v>7.9639317367040857E-2</v>
      </c>
      <c r="W54" s="1"/>
      <c r="X54" s="1">
        <f t="shared" si="37"/>
        <v>-19477.649999999994</v>
      </c>
      <c r="Y54" s="1"/>
      <c r="Z54" s="5">
        <f t="shared" si="38"/>
        <v>-6.9725773178678549E-2</v>
      </c>
    </row>
    <row r="55" spans="1:26" s="24" customFormat="1" hidden="1" outlineLevel="2" x14ac:dyDescent="0.25">
      <c r="A55" s="25"/>
      <c r="B55" s="11" t="str">
        <f>CONCATENATE("          ", "6321", " - ", "BUILDING DEPRECIATION")</f>
        <v xml:space="preserve">          6321 - BUILDING DEPRECIATION</v>
      </c>
      <c r="C55" s="11"/>
      <c r="D55" s="6">
        <v>23583.489999999998</v>
      </c>
      <c r="E55" s="2"/>
      <c r="F55" s="7">
        <f t="shared" si="31"/>
        <v>0.28734611651561903</v>
      </c>
      <c r="G55" s="2"/>
      <c r="H55" s="6">
        <v>24042.959999999999</v>
      </c>
      <c r="I55" s="2"/>
      <c r="J55" s="7">
        <f t="shared" si="32"/>
        <v>5.8600144225375503E-2</v>
      </c>
      <c r="K55" s="2"/>
      <c r="L55" s="6">
        <f t="shared" si="33"/>
        <v>-459.47000000000116</v>
      </c>
      <c r="M55" s="2"/>
      <c r="N55" s="7">
        <f t="shared" si="34"/>
        <v>-1.9110375760721689E-2</v>
      </c>
      <c r="O55" s="11"/>
      <c r="P55" s="6">
        <v>165868.62</v>
      </c>
      <c r="Q55" s="2"/>
      <c r="R55" s="7">
        <f t="shared" si="35"/>
        <v>0.60034798539173651</v>
      </c>
      <c r="S55" s="2"/>
      <c r="T55" s="6">
        <v>168300.72</v>
      </c>
      <c r="U55" s="2"/>
      <c r="V55" s="7">
        <f t="shared" si="36"/>
        <v>4.7981109242437522E-2</v>
      </c>
      <c r="W55" s="2"/>
      <c r="X55" s="6">
        <f t="shared" si="37"/>
        <v>-2432.1000000000058</v>
      </c>
      <c r="Y55" s="2"/>
      <c r="Z55" s="7">
        <f t="shared" si="38"/>
        <v>-1.4450918570045367E-2</v>
      </c>
    </row>
    <row r="56" spans="1:26" s="24" customFormat="1" hidden="1" outlineLevel="2" x14ac:dyDescent="0.25">
      <c r="A56" s="25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13137.27</v>
      </c>
      <c r="E56" s="2"/>
      <c r="F56" s="7">
        <f t="shared" si="31"/>
        <v>0.16006721295775758</v>
      </c>
      <c r="G56" s="2"/>
      <c r="H56" s="6">
        <v>16278.409999999998</v>
      </c>
      <c r="I56" s="2"/>
      <c r="J56" s="7">
        <f t="shared" si="32"/>
        <v>3.9675529708479935E-2</v>
      </c>
      <c r="K56" s="2"/>
      <c r="L56" s="6">
        <f t="shared" si="33"/>
        <v>-3141.1399999999976</v>
      </c>
      <c r="M56" s="2"/>
      <c r="N56" s="7">
        <f t="shared" si="34"/>
        <v>-0.19296356339470488</v>
      </c>
      <c r="O56" s="11"/>
      <c r="P56" s="6">
        <v>94000.22</v>
      </c>
      <c r="Q56" s="2"/>
      <c r="R56" s="7">
        <f t="shared" si="35"/>
        <v>0.34022615431044173</v>
      </c>
      <c r="S56" s="2"/>
      <c r="T56" s="6">
        <v>108076.01999999999</v>
      </c>
      <c r="U56" s="2"/>
      <c r="V56" s="7">
        <f t="shared" si="36"/>
        <v>3.0811557562604969E-2</v>
      </c>
      <c r="W56" s="2"/>
      <c r="X56" s="6">
        <f t="shared" si="37"/>
        <v>-14075.799999999988</v>
      </c>
      <c r="Y56" s="2"/>
      <c r="Z56" s="7">
        <f t="shared" si="38"/>
        <v>-0.1302398071283527</v>
      </c>
    </row>
    <row r="57" spans="1:26" s="24" customFormat="1" hidden="1" outlineLevel="2" x14ac:dyDescent="0.25">
      <c r="A57" s="25"/>
      <c r="B57" s="11" t="str">
        <f>CONCATENATE("          ", "6326", " - ", "VEHICLES DEPRECIATION EXPENSE")</f>
        <v xml:space="preserve">          6326 - VEHICLES DEPRECIATION EXPENSE</v>
      </c>
      <c r="C57" s="11"/>
      <c r="D57" s="6"/>
      <c r="E57" s="2"/>
      <c r="F57" s="7">
        <f t="shared" si="31"/>
        <v>0</v>
      </c>
      <c r="G57" s="2"/>
      <c r="H57" s="6">
        <v>424.25</v>
      </c>
      <c r="I57" s="2"/>
      <c r="J57" s="7">
        <f t="shared" si="32"/>
        <v>1.0340287214059983E-3</v>
      </c>
      <c r="K57" s="2"/>
      <c r="L57" s="6">
        <f t="shared" si="33"/>
        <v>-424.25</v>
      </c>
      <c r="M57" s="2"/>
      <c r="N57" s="7">
        <f t="shared" si="34"/>
        <v>-1</v>
      </c>
      <c r="O57" s="11"/>
      <c r="P57" s="6"/>
      <c r="Q57" s="2"/>
      <c r="R57" s="7">
        <f t="shared" si="35"/>
        <v>0</v>
      </c>
      <c r="S57" s="2"/>
      <c r="T57" s="6">
        <v>2969.75</v>
      </c>
      <c r="U57" s="2"/>
      <c r="V57" s="7">
        <f t="shared" si="36"/>
        <v>8.4665056199836116E-4</v>
      </c>
      <c r="W57" s="2"/>
      <c r="X57" s="6">
        <f t="shared" si="37"/>
        <v>-2969.75</v>
      </c>
      <c r="Y57" s="2"/>
      <c r="Z57" s="7">
        <f t="shared" si="38"/>
        <v>-1</v>
      </c>
    </row>
    <row r="58" spans="1:26" s="26" customFormat="1" outlineLevel="1" collapsed="1" x14ac:dyDescent="0.25">
      <c r="A58" s="27"/>
      <c r="B58" s="13" t="str">
        <f>CONCATENATE("     ","Discounts and Markdowns                           ")</f>
        <v xml:space="preserve">     Discounts and Markdowns                           </v>
      </c>
      <c r="C58" s="13"/>
      <c r="D58" s="1">
        <f>SUM(OSRRefD22_6x_0)</f>
        <v>0</v>
      </c>
      <c r="E58" s="1"/>
      <c r="F58" s="5">
        <f t="shared" ref="F58:F70" si="39">IF(D$12=0,0,D58/D$12)</f>
        <v>0</v>
      </c>
      <c r="G58" s="1"/>
      <c r="H58" s="1">
        <f>SUM(OSRRefH22_6x_0)</f>
        <v>0.09</v>
      </c>
      <c r="I58" s="1"/>
      <c r="J58" s="5">
        <f t="shared" ref="J58:J70" si="40">IF(H$12=0,0,H58/H$12)</f>
        <v>2.1935789022166137E-7</v>
      </c>
      <c r="K58" s="1"/>
      <c r="L58" s="1">
        <f t="shared" ref="L58:L70" si="41">+D58-H58</f>
        <v>-0.09</v>
      </c>
      <c r="M58" s="1"/>
      <c r="N58" s="5">
        <f t="shared" ref="N58:N70" si="42">IF(H58=0,0,L58/H58)</f>
        <v>-1</v>
      </c>
      <c r="O58" s="13"/>
      <c r="P58" s="1">
        <f>SUM(OSRRefP22_6x_0)</f>
        <v>0</v>
      </c>
      <c r="Q58" s="1"/>
      <c r="R58" s="5">
        <f t="shared" ref="R58:R70" si="43">IF(P$12=0,0,P58/P$12)</f>
        <v>0</v>
      </c>
      <c r="S58" s="1"/>
      <c r="T58" s="1">
        <f>SUM(OSRRefT22_6x_0)</f>
        <v>0.09</v>
      </c>
      <c r="U58" s="1"/>
      <c r="V58" s="5">
        <f t="shared" ref="V58:V70" si="44">IF(T$12=0,0,T58/T$12)</f>
        <v>2.5658237420608636E-8</v>
      </c>
      <c r="W58" s="1"/>
      <c r="X58" s="1">
        <f t="shared" ref="X58:X70" si="45">+P58-T58</f>
        <v>-0.09</v>
      </c>
      <c r="Y58" s="1"/>
      <c r="Z58" s="5">
        <f t="shared" ref="Z58:Z70" si="46">IF(T58=0,0,X58/T58)</f>
        <v>-1</v>
      </c>
    </row>
    <row r="59" spans="1:26" s="24" customFormat="1" hidden="1" outlineLevel="2" x14ac:dyDescent="0.25">
      <c r="A59" s="25"/>
      <c r="B59" s="11" t="str">
        <f>CONCATENATE("          ", "6382", " - ", "DISCOUNTS/MARK DOWNS")</f>
        <v xml:space="preserve">          6382 - DISCOUNTS/MARK DOWNS</v>
      </c>
      <c r="C59" s="11"/>
      <c r="D59" s="6"/>
      <c r="E59" s="2"/>
      <c r="F59" s="7">
        <f t="shared" si="39"/>
        <v>0</v>
      </c>
      <c r="G59" s="2"/>
      <c r="H59" s="6">
        <v>0.09</v>
      </c>
      <c r="I59" s="2"/>
      <c r="J59" s="7">
        <f t="shared" si="40"/>
        <v>2.1935789022166137E-7</v>
      </c>
      <c r="K59" s="2"/>
      <c r="L59" s="6">
        <f t="shared" si="41"/>
        <v>-0.09</v>
      </c>
      <c r="M59" s="2"/>
      <c r="N59" s="7">
        <f t="shared" si="42"/>
        <v>-1</v>
      </c>
      <c r="O59" s="11"/>
      <c r="P59" s="6"/>
      <c r="Q59" s="2"/>
      <c r="R59" s="7">
        <f t="shared" si="43"/>
        <v>0</v>
      </c>
      <c r="S59" s="2"/>
      <c r="T59" s="6">
        <v>0.09</v>
      </c>
      <c r="U59" s="2"/>
      <c r="V59" s="7">
        <f t="shared" si="44"/>
        <v>2.5658237420608636E-8</v>
      </c>
      <c r="W59" s="2"/>
      <c r="X59" s="6">
        <f t="shared" si="45"/>
        <v>-0.09</v>
      </c>
      <c r="Y59" s="2"/>
      <c r="Z59" s="7">
        <f t="shared" si="46"/>
        <v>-1</v>
      </c>
    </row>
    <row r="60" spans="1:26" s="26" customFormat="1" outlineLevel="1" collapsed="1" x14ac:dyDescent="0.25">
      <c r="A60" s="27"/>
      <c r="B60" s="13" t="str">
        <f>CONCATENATE("     ","Donations                                         ")</f>
        <v xml:space="preserve">     Donations                                         </v>
      </c>
      <c r="C60" s="13"/>
      <c r="D60" s="1">
        <f>SUM(OSRRefD22_7x_0)</f>
        <v>0</v>
      </c>
      <c r="E60" s="1"/>
      <c r="F60" s="5">
        <f t="shared" si="39"/>
        <v>0</v>
      </c>
      <c r="G60" s="1"/>
      <c r="H60" s="1">
        <f>SUM(OSRRefH22_7x_0)</f>
        <v>0</v>
      </c>
      <c r="I60" s="1"/>
      <c r="J60" s="5">
        <f t="shared" si="40"/>
        <v>0</v>
      </c>
      <c r="K60" s="1"/>
      <c r="L60" s="1">
        <f t="shared" si="41"/>
        <v>0</v>
      </c>
      <c r="M60" s="1"/>
      <c r="N60" s="5">
        <f t="shared" si="42"/>
        <v>0</v>
      </c>
      <c r="O60" s="13"/>
      <c r="P60" s="1">
        <f>SUM(OSRRefP22_7x_0)</f>
        <v>0</v>
      </c>
      <c r="Q60" s="1"/>
      <c r="R60" s="5">
        <f t="shared" si="43"/>
        <v>0</v>
      </c>
      <c r="S60" s="1"/>
      <c r="T60" s="1">
        <f>SUM(OSRRefT22_7x_0)</f>
        <v>236.68</v>
      </c>
      <c r="U60" s="1"/>
      <c r="V60" s="5">
        <f t="shared" si="44"/>
        <v>6.7475462585662809E-5</v>
      </c>
      <c r="W60" s="1"/>
      <c r="X60" s="1">
        <f t="shared" si="45"/>
        <v>-236.68</v>
      </c>
      <c r="Y60" s="1"/>
      <c r="Z60" s="5">
        <f t="shared" si="46"/>
        <v>-1</v>
      </c>
    </row>
    <row r="61" spans="1:26" s="24" customFormat="1" hidden="1" outlineLevel="2" x14ac:dyDescent="0.25">
      <c r="A61" s="25"/>
      <c r="B61" s="11" t="str">
        <f>CONCATENATE("          ", "6399", " - ", "DONATION-ON CAMPUS")</f>
        <v xml:space="preserve">          6399 - DONATION-ON CAMPUS</v>
      </c>
      <c r="C61" s="11"/>
      <c r="D61" s="6"/>
      <c r="E61" s="2"/>
      <c r="F61" s="7">
        <f t="shared" si="39"/>
        <v>0</v>
      </c>
      <c r="G61" s="2"/>
      <c r="H61" s="6"/>
      <c r="I61" s="2"/>
      <c r="J61" s="7">
        <f t="shared" si="40"/>
        <v>0</v>
      </c>
      <c r="K61" s="2"/>
      <c r="L61" s="6">
        <f t="shared" si="41"/>
        <v>0</v>
      </c>
      <c r="M61" s="2"/>
      <c r="N61" s="7">
        <f t="shared" si="42"/>
        <v>0</v>
      </c>
      <c r="O61" s="11"/>
      <c r="P61" s="6"/>
      <c r="Q61" s="2"/>
      <c r="R61" s="7">
        <f t="shared" si="43"/>
        <v>0</v>
      </c>
      <c r="S61" s="2"/>
      <c r="T61" s="6">
        <v>236.68</v>
      </c>
      <c r="U61" s="2"/>
      <c r="V61" s="7">
        <f t="shared" si="44"/>
        <v>6.7475462585662809E-5</v>
      </c>
      <c r="W61" s="2"/>
      <c r="X61" s="6">
        <f t="shared" si="45"/>
        <v>-236.68</v>
      </c>
      <c r="Y61" s="2"/>
      <c r="Z61" s="7">
        <f t="shared" si="46"/>
        <v>-1</v>
      </c>
    </row>
    <row r="62" spans="1:26" s="26" customFormat="1" outlineLevel="1" collapsed="1" x14ac:dyDescent="0.25">
      <c r="A62" s="27"/>
      <c r="B62" s="13" t="str">
        <f>CONCATENATE("     ","Employees' Appreciation                           ")</f>
        <v xml:space="preserve">     Employees' Appreciation                           </v>
      </c>
      <c r="C62" s="13"/>
      <c r="D62" s="1">
        <f>SUM(OSRRefD22_8x_0)</f>
        <v>0</v>
      </c>
      <c r="E62" s="1"/>
      <c r="F62" s="5">
        <f t="shared" si="39"/>
        <v>0</v>
      </c>
      <c r="G62" s="1"/>
      <c r="H62" s="1">
        <f>SUM(OSRRefH22_8x_0)</f>
        <v>162.79</v>
      </c>
      <c r="I62" s="1"/>
      <c r="J62" s="5">
        <f t="shared" si="40"/>
        <v>3.9676967721315838E-4</v>
      </c>
      <c r="K62" s="1"/>
      <c r="L62" s="1">
        <f t="shared" si="41"/>
        <v>-162.79</v>
      </c>
      <c r="M62" s="1"/>
      <c r="N62" s="5">
        <f t="shared" si="42"/>
        <v>-1</v>
      </c>
      <c r="O62" s="13"/>
      <c r="P62" s="1">
        <f>SUM(OSRRefP22_8x_0)</f>
        <v>10</v>
      </c>
      <c r="Q62" s="1"/>
      <c r="R62" s="5">
        <f t="shared" si="43"/>
        <v>3.619418702535395E-5</v>
      </c>
      <c r="S62" s="1"/>
      <c r="T62" s="1">
        <f>SUM(OSRRefT22_8x_0)</f>
        <v>1372.65</v>
      </c>
      <c r="U62" s="1"/>
      <c r="V62" s="5">
        <f t="shared" si="44"/>
        <v>3.9133088439331613E-4</v>
      </c>
      <c r="W62" s="1"/>
      <c r="X62" s="1">
        <f t="shared" si="45"/>
        <v>-1362.65</v>
      </c>
      <c r="Y62" s="1"/>
      <c r="Z62" s="5">
        <f t="shared" si="46"/>
        <v>-0.99271482169526104</v>
      </c>
    </row>
    <row r="63" spans="1:26" s="24" customFormat="1" hidden="1" outlineLevel="2" x14ac:dyDescent="0.25">
      <c r="A63" s="25"/>
      <c r="B63" s="11" t="str">
        <f>CONCATENATE("          ", "6277", " - ", "EMPLOYEE APPRECIATION")</f>
        <v xml:space="preserve">          6277 - EMPLOYEE APPRECIATION</v>
      </c>
      <c r="C63" s="11"/>
      <c r="D63" s="6"/>
      <c r="E63" s="2"/>
      <c r="F63" s="7">
        <f t="shared" si="39"/>
        <v>0</v>
      </c>
      <c r="G63" s="2"/>
      <c r="H63" s="6">
        <v>162.79</v>
      </c>
      <c r="I63" s="2"/>
      <c r="J63" s="7">
        <f t="shared" si="40"/>
        <v>3.9676967721315838E-4</v>
      </c>
      <c r="K63" s="2"/>
      <c r="L63" s="6">
        <f t="shared" si="41"/>
        <v>-162.79</v>
      </c>
      <c r="M63" s="2"/>
      <c r="N63" s="7">
        <f t="shared" si="42"/>
        <v>-1</v>
      </c>
      <c r="O63" s="11"/>
      <c r="P63" s="6">
        <v>10</v>
      </c>
      <c r="Q63" s="2"/>
      <c r="R63" s="7">
        <f t="shared" si="43"/>
        <v>3.619418702535395E-5</v>
      </c>
      <c r="S63" s="2"/>
      <c r="T63" s="6">
        <v>1372.65</v>
      </c>
      <c r="U63" s="2"/>
      <c r="V63" s="7">
        <f t="shared" si="44"/>
        <v>3.9133088439331613E-4</v>
      </c>
      <c r="W63" s="2"/>
      <c r="X63" s="6">
        <f t="shared" si="45"/>
        <v>-1362.65</v>
      </c>
      <c r="Y63" s="2"/>
      <c r="Z63" s="7">
        <f t="shared" si="46"/>
        <v>-0.99271482169526104</v>
      </c>
    </row>
    <row r="64" spans="1:26" s="26" customFormat="1" outlineLevel="1" collapsed="1" x14ac:dyDescent="0.25">
      <c r="A64" s="27"/>
      <c r="B64" s="13" t="str">
        <f>CONCATENATE("     ","Equipment Rental                                  ")</f>
        <v xml:space="preserve">     Equipment Rental                                  </v>
      </c>
      <c r="C64" s="13"/>
      <c r="D64" s="1">
        <f>SUM(OSRRefD22_9x_0)</f>
        <v>91.26</v>
      </c>
      <c r="E64" s="1"/>
      <c r="F64" s="5">
        <f t="shared" si="39"/>
        <v>1.1119307020807944E-3</v>
      </c>
      <c r="G64" s="1"/>
      <c r="H64" s="1">
        <f>SUM(OSRRefH22_9x_0)</f>
        <v>4676.88</v>
      </c>
      <c r="I64" s="1"/>
      <c r="J64" s="5">
        <f t="shared" si="40"/>
        <v>1.1399005884665374E-2</v>
      </c>
      <c r="K64" s="1"/>
      <c r="L64" s="1">
        <f t="shared" si="41"/>
        <v>-4585.62</v>
      </c>
      <c r="M64" s="1"/>
      <c r="N64" s="5">
        <f t="shared" si="42"/>
        <v>-0.98048699132755168</v>
      </c>
      <c r="O64" s="13"/>
      <c r="P64" s="1">
        <f>SUM(OSRRefP22_9x_0)</f>
        <v>4464.88</v>
      </c>
      <c r="Q64" s="1"/>
      <c r="R64" s="5">
        <f t="shared" si="43"/>
        <v>1.6160270176576237E-2</v>
      </c>
      <c r="S64" s="1"/>
      <c r="T64" s="1">
        <f>SUM(OSRRefT22_9x_0)</f>
        <v>19559.89</v>
      </c>
      <c r="U64" s="1"/>
      <c r="V64" s="5">
        <f t="shared" si="44"/>
        <v>5.576358906010985E-3</v>
      </c>
      <c r="W64" s="1"/>
      <c r="X64" s="1">
        <f t="shared" si="45"/>
        <v>-15095.009999999998</v>
      </c>
      <c r="Y64" s="1"/>
      <c r="Z64" s="5">
        <f t="shared" si="46"/>
        <v>-0.77173286761837612</v>
      </c>
    </row>
    <row r="65" spans="1:26" s="24" customFormat="1" hidden="1" outlineLevel="2" x14ac:dyDescent="0.25">
      <c r="A65" s="25"/>
      <c r="B65" s="11" t="str">
        <f>CONCATENATE("          ", "6351", " - ", "EQUIPMENT RENTAL")</f>
        <v xml:space="preserve">          6351 - EQUIPMENT RENTAL</v>
      </c>
      <c r="C65" s="11"/>
      <c r="D65" s="6">
        <v>91.26</v>
      </c>
      <c r="E65" s="2"/>
      <c r="F65" s="7">
        <f t="shared" si="39"/>
        <v>1.1119307020807944E-3</v>
      </c>
      <c r="G65" s="2"/>
      <c r="H65" s="6">
        <v>4676.88</v>
      </c>
      <c r="I65" s="2"/>
      <c r="J65" s="7">
        <f t="shared" si="40"/>
        <v>1.1399005884665374E-2</v>
      </c>
      <c r="K65" s="2"/>
      <c r="L65" s="6">
        <f t="shared" si="41"/>
        <v>-4585.62</v>
      </c>
      <c r="M65" s="2"/>
      <c r="N65" s="7">
        <f t="shared" si="42"/>
        <v>-0.98048699132755168</v>
      </c>
      <c r="O65" s="11"/>
      <c r="P65" s="6">
        <v>4464.88</v>
      </c>
      <c r="Q65" s="2"/>
      <c r="R65" s="7">
        <f t="shared" si="43"/>
        <v>1.6160270176576237E-2</v>
      </c>
      <c r="S65" s="2"/>
      <c r="T65" s="6">
        <v>19559.89</v>
      </c>
      <c r="U65" s="2"/>
      <c r="V65" s="7">
        <f t="shared" si="44"/>
        <v>5.576358906010985E-3</v>
      </c>
      <c r="W65" s="2"/>
      <c r="X65" s="6">
        <f t="shared" si="45"/>
        <v>-15095.009999999998</v>
      </c>
      <c r="Y65" s="2"/>
      <c r="Z65" s="7">
        <f t="shared" si="46"/>
        <v>-0.77173286761837612</v>
      </c>
    </row>
    <row r="66" spans="1:26" s="26" customFormat="1" outlineLevel="1" collapsed="1" x14ac:dyDescent="0.25">
      <c r="A66" s="27"/>
      <c r="B66" s="13" t="str">
        <f>CONCATENATE("     ","Freight out/Postage                               ")</f>
        <v xml:space="preserve">     Freight out/Postage                               </v>
      </c>
      <c r="C66" s="13"/>
      <c r="D66" s="1">
        <f>SUM(OSRRefD22_10x_0)</f>
        <v>0</v>
      </c>
      <c r="E66" s="1"/>
      <c r="F66" s="5">
        <f t="shared" si="39"/>
        <v>0</v>
      </c>
      <c r="G66" s="1"/>
      <c r="H66" s="1">
        <f>SUM(OSRRefH22_10x_0)</f>
        <v>0</v>
      </c>
      <c r="I66" s="1"/>
      <c r="J66" s="5">
        <f t="shared" si="40"/>
        <v>0</v>
      </c>
      <c r="K66" s="1"/>
      <c r="L66" s="1">
        <f t="shared" si="41"/>
        <v>0</v>
      </c>
      <c r="M66" s="1"/>
      <c r="N66" s="5">
        <f t="shared" si="42"/>
        <v>0</v>
      </c>
      <c r="O66" s="13"/>
      <c r="P66" s="1">
        <f>SUM(OSRRefP22_10x_0)</f>
        <v>-5.41</v>
      </c>
      <c r="Q66" s="1"/>
      <c r="R66" s="5">
        <f t="shared" si="43"/>
        <v>-1.958105518071649E-5</v>
      </c>
      <c r="S66" s="1"/>
      <c r="T66" s="1">
        <f>SUM(OSRRefT22_10x_0)</f>
        <v>0</v>
      </c>
      <c r="U66" s="1"/>
      <c r="V66" s="5">
        <f t="shared" si="44"/>
        <v>0</v>
      </c>
      <c r="W66" s="1"/>
      <c r="X66" s="1">
        <f t="shared" si="45"/>
        <v>-5.41</v>
      </c>
      <c r="Y66" s="1"/>
      <c r="Z66" s="5">
        <f t="shared" si="46"/>
        <v>0</v>
      </c>
    </row>
    <row r="67" spans="1:26" s="24" customFormat="1" hidden="1" outlineLevel="2" x14ac:dyDescent="0.25">
      <c r="A67" s="25"/>
      <c r="B67" s="11" t="str">
        <f>CONCATENATE("          ", "6307", " - ", "POSTAGE")</f>
        <v xml:space="preserve">          6307 - POSTAGE</v>
      </c>
      <c r="C67" s="11"/>
      <c r="D67" s="6"/>
      <c r="E67" s="2"/>
      <c r="F67" s="7">
        <f t="shared" si="39"/>
        <v>0</v>
      </c>
      <c r="G67" s="2"/>
      <c r="H67" s="6"/>
      <c r="I67" s="2"/>
      <c r="J67" s="7">
        <f t="shared" si="40"/>
        <v>0</v>
      </c>
      <c r="K67" s="2"/>
      <c r="L67" s="6">
        <f t="shared" si="41"/>
        <v>0</v>
      </c>
      <c r="M67" s="2"/>
      <c r="N67" s="7">
        <f t="shared" si="42"/>
        <v>0</v>
      </c>
      <c r="O67" s="11"/>
      <c r="P67" s="6">
        <v>-5.41</v>
      </c>
      <c r="Q67" s="2"/>
      <c r="R67" s="7">
        <f t="shared" si="43"/>
        <v>-1.958105518071649E-5</v>
      </c>
      <c r="S67" s="2"/>
      <c r="T67" s="6"/>
      <c r="U67" s="2"/>
      <c r="V67" s="7">
        <f t="shared" si="44"/>
        <v>0</v>
      </c>
      <c r="W67" s="2"/>
      <c r="X67" s="6">
        <f t="shared" si="45"/>
        <v>-5.41</v>
      </c>
      <c r="Y67" s="2"/>
      <c r="Z67" s="7">
        <f t="shared" si="46"/>
        <v>0</v>
      </c>
    </row>
    <row r="68" spans="1:26" s="26" customFormat="1" outlineLevel="1" collapsed="1" x14ac:dyDescent="0.25">
      <c r="A68" s="27"/>
      <c r="B68" s="13" t="str">
        <f>CONCATENATE("     ","General                                           ")</f>
        <v xml:space="preserve">     General                                           </v>
      </c>
      <c r="C68" s="13"/>
      <c r="D68" s="1">
        <f>SUM(OSRRefD22_11x_0)</f>
        <v>397</v>
      </c>
      <c r="E68" s="1"/>
      <c r="F68" s="5">
        <f t="shared" si="39"/>
        <v>4.8371300539784721E-3</v>
      </c>
      <c r="G68" s="1"/>
      <c r="H68" s="1">
        <f>SUM(OSRRefH22_11x_0)</f>
        <v>9531.09</v>
      </c>
      <c r="I68" s="1"/>
      <c r="J68" s="5">
        <f t="shared" si="40"/>
        <v>2.3230219932364161E-2</v>
      </c>
      <c r="K68" s="1"/>
      <c r="L68" s="1">
        <f t="shared" si="41"/>
        <v>-9134.09</v>
      </c>
      <c r="M68" s="1"/>
      <c r="N68" s="5">
        <f t="shared" si="42"/>
        <v>-0.95834684175681895</v>
      </c>
      <c r="O68" s="13"/>
      <c r="P68" s="1">
        <f>SUM(OSRRefP22_11x_0)</f>
        <v>5077.45</v>
      </c>
      <c r="Q68" s="1"/>
      <c r="R68" s="5">
        <f t="shared" si="43"/>
        <v>1.8377417491188344E-2</v>
      </c>
      <c r="S68" s="1"/>
      <c r="T68" s="1">
        <f>SUM(OSRRefT22_11x_0)</f>
        <v>75106.600000000006</v>
      </c>
      <c r="U68" s="1"/>
      <c r="V68" s="5">
        <f t="shared" si="44"/>
        <v>2.1412255273940944E-2</v>
      </c>
      <c r="W68" s="1"/>
      <c r="X68" s="1">
        <f t="shared" si="45"/>
        <v>-70029.150000000009</v>
      </c>
      <c r="Y68" s="1"/>
      <c r="Z68" s="5">
        <f t="shared" si="46"/>
        <v>-0.93239675341448025</v>
      </c>
    </row>
    <row r="69" spans="1:26" s="24" customFormat="1" hidden="1" outlineLevel="2" x14ac:dyDescent="0.25">
      <c r="A69" s="25"/>
      <c r="B69" s="11" t="str">
        <f>CONCATENATE("          ", "6269", " - ", "ENTERTAINMENT")</f>
        <v xml:space="preserve">          6269 - ENTERTAINMENT</v>
      </c>
      <c r="C69" s="11"/>
      <c r="D69" s="6"/>
      <c r="E69" s="2"/>
      <c r="F69" s="7">
        <f t="shared" si="39"/>
        <v>0</v>
      </c>
      <c r="G69" s="2"/>
      <c r="H69" s="6"/>
      <c r="I69" s="2"/>
      <c r="J69" s="7">
        <f t="shared" si="40"/>
        <v>0</v>
      </c>
      <c r="K69" s="2"/>
      <c r="L69" s="6">
        <f t="shared" si="41"/>
        <v>0</v>
      </c>
      <c r="M69" s="2"/>
      <c r="N69" s="7">
        <f t="shared" si="42"/>
        <v>0</v>
      </c>
      <c r="O69" s="11"/>
      <c r="P69" s="6"/>
      <c r="Q69" s="2"/>
      <c r="R69" s="7">
        <f t="shared" si="43"/>
        <v>0</v>
      </c>
      <c r="S69" s="2"/>
      <c r="T69" s="6">
        <v>7350</v>
      </c>
      <c r="U69" s="2"/>
      <c r="V69" s="7">
        <f t="shared" si="44"/>
        <v>2.0954227226830388E-3</v>
      </c>
      <c r="W69" s="2"/>
      <c r="X69" s="6">
        <f t="shared" si="45"/>
        <v>-7350</v>
      </c>
      <c r="Y69" s="2"/>
      <c r="Z69" s="7">
        <f t="shared" si="46"/>
        <v>-1</v>
      </c>
    </row>
    <row r="70" spans="1:26" s="24" customFormat="1" hidden="1" outlineLevel="2" x14ac:dyDescent="0.25">
      <c r="A70" s="25"/>
      <c r="B70" s="11" t="str">
        <f>CONCATENATE("          ", "6279", " - ", "GENERAL EXPENSE")</f>
        <v xml:space="preserve">          6279 - GENERAL EXPENSE</v>
      </c>
      <c r="C70" s="11"/>
      <c r="D70" s="6">
        <v>397</v>
      </c>
      <c r="E70" s="2"/>
      <c r="F70" s="7">
        <f t="shared" si="39"/>
        <v>4.8371300539784721E-3</v>
      </c>
      <c r="G70" s="2"/>
      <c r="H70" s="6">
        <v>9531.09</v>
      </c>
      <c r="I70" s="2"/>
      <c r="J70" s="7">
        <f t="shared" si="40"/>
        <v>2.3230219932364161E-2</v>
      </c>
      <c r="K70" s="2"/>
      <c r="L70" s="6">
        <f t="shared" si="41"/>
        <v>-9134.09</v>
      </c>
      <c r="M70" s="2"/>
      <c r="N70" s="7">
        <f t="shared" si="42"/>
        <v>-0.95834684175681895</v>
      </c>
      <c r="O70" s="11"/>
      <c r="P70" s="6">
        <v>5077.45</v>
      </c>
      <c r="Q70" s="2"/>
      <c r="R70" s="7">
        <f t="shared" si="43"/>
        <v>1.8377417491188344E-2</v>
      </c>
      <c r="S70" s="2"/>
      <c r="T70" s="6">
        <v>67756.600000000006</v>
      </c>
      <c r="U70" s="2"/>
      <c r="V70" s="7">
        <f t="shared" si="44"/>
        <v>1.9316832551257903E-2</v>
      </c>
      <c r="W70" s="2"/>
      <c r="X70" s="6">
        <f t="shared" si="45"/>
        <v>-62679.150000000009</v>
      </c>
      <c r="Y70" s="2"/>
      <c r="Z70" s="7">
        <f t="shared" si="46"/>
        <v>-0.9250633886588171</v>
      </c>
    </row>
    <row r="71" spans="1:26" s="26" customFormat="1" outlineLevel="1" collapsed="1" x14ac:dyDescent="0.25">
      <c r="A71" s="27"/>
      <c r="B71" s="13" t="str">
        <f>CONCATENATE("     ","Insurance                                         ")</f>
        <v xml:space="preserve">     Insurance                                         </v>
      </c>
      <c r="C71" s="13"/>
      <c r="D71" s="1">
        <f>SUM(OSRRefD22_12x_0)</f>
        <v>4240.13</v>
      </c>
      <c r="E71" s="1"/>
      <c r="F71" s="5">
        <f t="shared" ref="F71:F83" si="47">IF(D$12=0,0,D71/D$12)</f>
        <v>5.1662620291626549E-2</v>
      </c>
      <c r="G71" s="1"/>
      <c r="H71" s="1">
        <f>SUM(OSRRefH22_12x_0)</f>
        <v>4240.13</v>
      </c>
      <c r="I71" s="1"/>
      <c r="J71" s="5">
        <f t="shared" ref="J71:J83" si="48">IF(H$12=0,0,H71/H$12)</f>
        <v>1.0334510789617479E-2</v>
      </c>
      <c r="K71" s="1"/>
      <c r="L71" s="1">
        <f t="shared" ref="L71:L83" si="49">+D71-H71</f>
        <v>0</v>
      </c>
      <c r="M71" s="1"/>
      <c r="N71" s="5">
        <f t="shared" ref="N71:N83" si="50">IF(H71=0,0,L71/H71)</f>
        <v>0</v>
      </c>
      <c r="O71" s="13"/>
      <c r="P71" s="1">
        <f>SUM(OSRRefP22_12x_0)</f>
        <v>35792.910000000003</v>
      </c>
      <c r="Q71" s="1"/>
      <c r="R71" s="5">
        <f t="shared" ref="R71:R83" si="51">IF(P$12=0,0,P71/P$12)</f>
        <v>0.1295495278721662</v>
      </c>
      <c r="S71" s="1"/>
      <c r="T71" s="1">
        <f>SUM(OSRRefT22_12x_0)</f>
        <v>29680.91</v>
      </c>
      <c r="U71" s="1"/>
      <c r="V71" s="5">
        <f t="shared" ref="V71:V83" si="52">IF(T$12=0,0,T71/T$12)</f>
        <v>8.4617759515524128E-3</v>
      </c>
      <c r="W71" s="1"/>
      <c r="X71" s="1">
        <f t="shared" ref="X71:X83" si="53">+P71-T71</f>
        <v>6112.0000000000036</v>
      </c>
      <c r="Y71" s="1"/>
      <c r="Z71" s="5">
        <f t="shared" ref="Z71:Z83" si="54">IF(T71=0,0,X71/T71)</f>
        <v>0.20592360544201654</v>
      </c>
    </row>
    <row r="72" spans="1:26" s="24" customFormat="1" hidden="1" outlineLevel="2" x14ac:dyDescent="0.25">
      <c r="A72" s="25"/>
      <c r="B72" s="11" t="str">
        <f>CONCATENATE("          ", "6314", " - ", "LIABILITY INSURANCE")</f>
        <v xml:space="preserve">          6314 - LIABILITY INSURANCE</v>
      </c>
      <c r="C72" s="11"/>
      <c r="D72" s="6">
        <v>4240.13</v>
      </c>
      <c r="E72" s="2"/>
      <c r="F72" s="7">
        <f t="shared" si="47"/>
        <v>5.1662620291626549E-2</v>
      </c>
      <c r="G72" s="2"/>
      <c r="H72" s="6">
        <v>4240.13</v>
      </c>
      <c r="I72" s="2"/>
      <c r="J72" s="7">
        <f t="shared" si="48"/>
        <v>1.0334510789617479E-2</v>
      </c>
      <c r="K72" s="2"/>
      <c r="L72" s="6">
        <f t="shared" si="49"/>
        <v>0</v>
      </c>
      <c r="M72" s="2"/>
      <c r="N72" s="7">
        <f t="shared" si="50"/>
        <v>0</v>
      </c>
      <c r="O72" s="11"/>
      <c r="P72" s="6">
        <v>35792.910000000003</v>
      </c>
      <c r="Q72" s="2"/>
      <c r="R72" s="7">
        <f t="shared" si="51"/>
        <v>0.1295495278721662</v>
      </c>
      <c r="S72" s="2"/>
      <c r="T72" s="6">
        <v>29680.91</v>
      </c>
      <c r="U72" s="2"/>
      <c r="V72" s="7">
        <f t="shared" si="52"/>
        <v>8.4617759515524128E-3</v>
      </c>
      <c r="W72" s="2"/>
      <c r="X72" s="6">
        <f t="shared" si="53"/>
        <v>6112.0000000000036</v>
      </c>
      <c r="Y72" s="2"/>
      <c r="Z72" s="7">
        <f t="shared" si="54"/>
        <v>0.20592360544201654</v>
      </c>
    </row>
    <row r="73" spans="1:26" s="26" customFormat="1" outlineLevel="1" collapsed="1" x14ac:dyDescent="0.25">
      <c r="A73" s="27"/>
      <c r="B73" s="13" t="str">
        <f>CONCATENATE("     ","Interest                                          ")</f>
        <v xml:space="preserve">     Interest                                          </v>
      </c>
      <c r="C73" s="13"/>
      <c r="D73" s="1">
        <f>SUM(OSRRefD22_13x_0)</f>
        <v>7510</v>
      </c>
      <c r="E73" s="1"/>
      <c r="F73" s="5">
        <f t="shared" si="47"/>
        <v>9.1503392204983186E-2</v>
      </c>
      <c r="G73" s="1"/>
      <c r="H73" s="1">
        <f>SUM(OSRRefH22_13x_0)</f>
        <v>7754</v>
      </c>
      <c r="I73" s="1"/>
      <c r="J73" s="5">
        <f t="shared" si="48"/>
        <v>1.8898900897541804E-2</v>
      </c>
      <c r="K73" s="1"/>
      <c r="L73" s="1">
        <f t="shared" si="49"/>
        <v>-244</v>
      </c>
      <c r="M73" s="1"/>
      <c r="N73" s="5">
        <f t="shared" si="50"/>
        <v>-3.1467629610523601E-2</v>
      </c>
      <c r="O73" s="13"/>
      <c r="P73" s="1">
        <f>SUM(OSRRefP22_13x_0)</f>
        <v>52083.15</v>
      </c>
      <c r="Q73" s="1"/>
      <c r="R73" s="5">
        <f t="shared" si="51"/>
        <v>0.18851072719695638</v>
      </c>
      <c r="S73" s="1"/>
      <c r="T73" s="1">
        <f>SUM(OSRRefT22_13x_0)</f>
        <v>53885.049999999996</v>
      </c>
      <c r="U73" s="1"/>
      <c r="V73" s="5">
        <f t="shared" si="52"/>
        <v>1.5362171181348527E-2</v>
      </c>
      <c r="W73" s="1"/>
      <c r="X73" s="1">
        <f t="shared" si="53"/>
        <v>-1801.8999999999942</v>
      </c>
      <c r="Y73" s="1"/>
      <c r="Z73" s="5">
        <f t="shared" si="54"/>
        <v>-3.3439701735453423E-2</v>
      </c>
    </row>
    <row r="74" spans="1:26" s="24" customFormat="1" hidden="1" outlineLevel="2" x14ac:dyDescent="0.25">
      <c r="A74" s="25"/>
      <c r="B74" s="11" t="str">
        <f>CONCATENATE("          ", "6401", " - ", "INTEREST EXPENSE")</f>
        <v xml:space="preserve">          6401 - INTEREST EXPENSE</v>
      </c>
      <c r="C74" s="11"/>
      <c r="D74" s="6">
        <v>7510</v>
      </c>
      <c r="E74" s="2"/>
      <c r="F74" s="7">
        <f t="shared" si="47"/>
        <v>9.1503392204983186E-2</v>
      </c>
      <c r="G74" s="2"/>
      <c r="H74" s="6">
        <v>7754</v>
      </c>
      <c r="I74" s="2"/>
      <c r="J74" s="7">
        <f t="shared" si="48"/>
        <v>1.8898900897541804E-2</v>
      </c>
      <c r="K74" s="2"/>
      <c r="L74" s="6">
        <f t="shared" si="49"/>
        <v>-244</v>
      </c>
      <c r="M74" s="2"/>
      <c r="N74" s="7">
        <f t="shared" si="50"/>
        <v>-3.1467629610523601E-2</v>
      </c>
      <c r="O74" s="11"/>
      <c r="P74" s="6">
        <v>52083.15</v>
      </c>
      <c r="Q74" s="2"/>
      <c r="R74" s="7">
        <f t="shared" si="51"/>
        <v>0.18851072719695638</v>
      </c>
      <c r="S74" s="2"/>
      <c r="T74" s="6">
        <v>53885.049999999996</v>
      </c>
      <c r="U74" s="2"/>
      <c r="V74" s="7">
        <f t="shared" si="52"/>
        <v>1.5362171181348527E-2</v>
      </c>
      <c r="W74" s="2"/>
      <c r="X74" s="6">
        <f t="shared" si="53"/>
        <v>-1801.8999999999942</v>
      </c>
      <c r="Y74" s="2"/>
      <c r="Z74" s="7">
        <f t="shared" si="54"/>
        <v>-3.3439701735453423E-2</v>
      </c>
    </row>
    <row r="75" spans="1:26" s="26" customFormat="1" outlineLevel="1" collapsed="1" x14ac:dyDescent="0.25">
      <c r="A75" s="27"/>
      <c r="B75" s="13" t="str">
        <f>CONCATENATE("     ","Professional Services                             ")</f>
        <v xml:space="preserve">     Professional Services                             </v>
      </c>
      <c r="C75" s="13"/>
      <c r="D75" s="1">
        <f>SUM(OSRRefD22_14x_0)</f>
        <v>0</v>
      </c>
      <c r="E75" s="1"/>
      <c r="F75" s="5">
        <f t="shared" si="47"/>
        <v>0</v>
      </c>
      <c r="G75" s="1"/>
      <c r="H75" s="1">
        <f>SUM(OSRRefH22_14x_0)</f>
        <v>0</v>
      </c>
      <c r="I75" s="1"/>
      <c r="J75" s="5">
        <f t="shared" si="48"/>
        <v>0</v>
      </c>
      <c r="K75" s="1"/>
      <c r="L75" s="1">
        <f t="shared" si="49"/>
        <v>0</v>
      </c>
      <c r="M75" s="1"/>
      <c r="N75" s="5">
        <f t="shared" si="50"/>
        <v>0</v>
      </c>
      <c r="O75" s="13"/>
      <c r="P75" s="1">
        <f>SUM(OSRRefP22_14x_0)</f>
        <v>0</v>
      </c>
      <c r="Q75" s="1"/>
      <c r="R75" s="5">
        <f t="shared" si="51"/>
        <v>0</v>
      </c>
      <c r="S75" s="1"/>
      <c r="T75" s="1">
        <f>SUM(OSRRefT22_14x_0)</f>
        <v>125</v>
      </c>
      <c r="U75" s="1"/>
      <c r="V75" s="5">
        <f t="shared" si="52"/>
        <v>3.5636440861956441E-5</v>
      </c>
      <c r="W75" s="1"/>
      <c r="X75" s="1">
        <f t="shared" si="53"/>
        <v>-125</v>
      </c>
      <c r="Y75" s="1"/>
      <c r="Z75" s="5">
        <f t="shared" si="54"/>
        <v>-1</v>
      </c>
    </row>
    <row r="76" spans="1:26" s="24" customFormat="1" hidden="1" outlineLevel="2" x14ac:dyDescent="0.25">
      <c r="A76" s="25"/>
      <c r="B76" s="11" t="str">
        <f>CONCATENATE("          ", "6336", " - ", "PROFESSIONAL SERVICES")</f>
        <v xml:space="preserve">          6336 - PROFESSIONAL SERVICES</v>
      </c>
      <c r="C76" s="11"/>
      <c r="D76" s="6"/>
      <c r="E76" s="2"/>
      <c r="F76" s="7">
        <f t="shared" si="47"/>
        <v>0</v>
      </c>
      <c r="G76" s="2"/>
      <c r="H76" s="6"/>
      <c r="I76" s="2"/>
      <c r="J76" s="7">
        <f t="shared" si="48"/>
        <v>0</v>
      </c>
      <c r="K76" s="2"/>
      <c r="L76" s="6">
        <f t="shared" si="49"/>
        <v>0</v>
      </c>
      <c r="M76" s="2"/>
      <c r="N76" s="7">
        <f t="shared" si="50"/>
        <v>0</v>
      </c>
      <c r="O76" s="11"/>
      <c r="P76" s="6"/>
      <c r="Q76" s="2"/>
      <c r="R76" s="7">
        <f t="shared" si="51"/>
        <v>0</v>
      </c>
      <c r="S76" s="2"/>
      <c r="T76" s="6">
        <v>125</v>
      </c>
      <c r="U76" s="2"/>
      <c r="V76" s="7">
        <f t="shared" si="52"/>
        <v>3.5636440861956441E-5</v>
      </c>
      <c r="W76" s="2"/>
      <c r="X76" s="6">
        <f t="shared" si="53"/>
        <v>-125</v>
      </c>
      <c r="Y76" s="2"/>
      <c r="Z76" s="7">
        <f t="shared" si="54"/>
        <v>-1</v>
      </c>
    </row>
    <row r="77" spans="1:26" s="26" customFormat="1" outlineLevel="1" collapsed="1" x14ac:dyDescent="0.25">
      <c r="A77" s="27"/>
      <c r="B77" s="13" t="str">
        <f>CONCATENATE("     ","Rent                                              ")</f>
        <v xml:space="preserve">     Rent                                              </v>
      </c>
      <c r="C77" s="13"/>
      <c r="D77" s="1">
        <f>SUM(OSRRefD22_15x_0)</f>
        <v>0</v>
      </c>
      <c r="E77" s="1"/>
      <c r="F77" s="5">
        <f t="shared" si="47"/>
        <v>0</v>
      </c>
      <c r="G77" s="1"/>
      <c r="H77" s="1">
        <f>SUM(OSRRefH22_15x_0)</f>
        <v>1850</v>
      </c>
      <c r="I77" s="1"/>
      <c r="J77" s="5">
        <f t="shared" si="48"/>
        <v>4.5090232990008172E-3</v>
      </c>
      <c r="K77" s="1"/>
      <c r="L77" s="1">
        <f t="shared" si="49"/>
        <v>-1850</v>
      </c>
      <c r="M77" s="1"/>
      <c r="N77" s="5">
        <f t="shared" si="50"/>
        <v>-1</v>
      </c>
      <c r="O77" s="13"/>
      <c r="P77" s="1">
        <f>SUM(OSRRefP22_15x_0)</f>
        <v>11100</v>
      </c>
      <c r="Q77" s="1"/>
      <c r="R77" s="5">
        <f t="shared" si="51"/>
        <v>4.0175547598142888E-2</v>
      </c>
      <c r="S77" s="1"/>
      <c r="T77" s="1">
        <f>SUM(OSRRefT22_15x_0)</f>
        <v>12950</v>
      </c>
      <c r="U77" s="1"/>
      <c r="V77" s="5">
        <f t="shared" si="52"/>
        <v>3.6919352732986874E-3</v>
      </c>
      <c r="W77" s="1"/>
      <c r="X77" s="1">
        <f t="shared" si="53"/>
        <v>-1850</v>
      </c>
      <c r="Y77" s="1"/>
      <c r="Z77" s="5">
        <f t="shared" si="54"/>
        <v>-0.14285714285714285</v>
      </c>
    </row>
    <row r="78" spans="1:26" s="24" customFormat="1" hidden="1" outlineLevel="2" x14ac:dyDescent="0.25">
      <c r="A78" s="25"/>
      <c r="B78" s="11" t="str">
        <f>CONCATENATE("          ", "6273", " - ", "RENT")</f>
        <v xml:space="preserve">          6273 - RENT</v>
      </c>
      <c r="C78" s="11"/>
      <c r="D78" s="6"/>
      <c r="E78" s="2"/>
      <c r="F78" s="7">
        <f t="shared" si="47"/>
        <v>0</v>
      </c>
      <c r="G78" s="2"/>
      <c r="H78" s="6">
        <v>1850</v>
      </c>
      <c r="I78" s="2"/>
      <c r="J78" s="7">
        <f t="shared" si="48"/>
        <v>4.5090232990008172E-3</v>
      </c>
      <c r="K78" s="2"/>
      <c r="L78" s="6">
        <f t="shared" si="49"/>
        <v>-1850</v>
      </c>
      <c r="M78" s="2"/>
      <c r="N78" s="7">
        <f t="shared" si="50"/>
        <v>-1</v>
      </c>
      <c r="O78" s="11"/>
      <c r="P78" s="6">
        <v>11100</v>
      </c>
      <c r="Q78" s="2"/>
      <c r="R78" s="7">
        <f t="shared" si="51"/>
        <v>4.0175547598142888E-2</v>
      </c>
      <c r="S78" s="2"/>
      <c r="T78" s="6">
        <v>12950</v>
      </c>
      <c r="U78" s="2"/>
      <c r="V78" s="7">
        <f t="shared" si="52"/>
        <v>3.6919352732986874E-3</v>
      </c>
      <c r="W78" s="2"/>
      <c r="X78" s="6">
        <f t="shared" si="53"/>
        <v>-1850</v>
      </c>
      <c r="Y78" s="2"/>
      <c r="Z78" s="7">
        <f t="shared" si="54"/>
        <v>-0.14285714285714285</v>
      </c>
    </row>
    <row r="79" spans="1:26" s="26" customFormat="1" outlineLevel="1" collapsed="1" x14ac:dyDescent="0.25">
      <c r="A79" s="27"/>
      <c r="B79" s="13" t="str">
        <f>CONCATENATE("     ","Repair and Maintenance                            ")</f>
        <v xml:space="preserve">     Repair and Maintenance                            </v>
      </c>
      <c r="C79" s="13"/>
      <c r="D79" s="1">
        <f>SUM(OSRRefD22_16x_0)</f>
        <v>2909.21</v>
      </c>
      <c r="E79" s="1"/>
      <c r="F79" s="5">
        <f t="shared" si="47"/>
        <v>3.5446415930314133E-2</v>
      </c>
      <c r="G79" s="1"/>
      <c r="H79" s="1">
        <f>SUM(OSRRefH22_16x_0)</f>
        <v>32479.58</v>
      </c>
      <c r="I79" s="1"/>
      <c r="J79" s="5">
        <f t="shared" si="48"/>
        <v>7.9162801600951876E-2</v>
      </c>
      <c r="K79" s="1"/>
      <c r="L79" s="1">
        <f t="shared" si="49"/>
        <v>-29570.370000000003</v>
      </c>
      <c r="M79" s="1"/>
      <c r="N79" s="5">
        <f t="shared" si="50"/>
        <v>-0.9104295683626451</v>
      </c>
      <c r="O79" s="13"/>
      <c r="P79" s="1">
        <f>SUM(OSRRefP22_16x_0)</f>
        <v>22768.190000000002</v>
      </c>
      <c r="Q79" s="1"/>
      <c r="R79" s="5">
        <f t="shared" si="51"/>
        <v>8.2407612708879377E-2</v>
      </c>
      <c r="S79" s="1"/>
      <c r="T79" s="1">
        <f>SUM(OSRRefT22_16x_0)</f>
        <v>176930.3</v>
      </c>
      <c r="U79" s="1"/>
      <c r="V79" s="5">
        <f t="shared" si="52"/>
        <v>5.0441329381105689E-2</v>
      </c>
      <c r="W79" s="1"/>
      <c r="X79" s="1">
        <f t="shared" si="53"/>
        <v>-154162.10999999999</v>
      </c>
      <c r="Y79" s="1"/>
      <c r="Z79" s="5">
        <f t="shared" si="54"/>
        <v>-0.87131548412001791</v>
      </c>
    </row>
    <row r="80" spans="1:26" s="24" customFormat="1" hidden="1" outlineLevel="2" x14ac:dyDescent="0.25">
      <c r="A80" s="25"/>
      <c r="B80" s="11" t="str">
        <f>CONCATENATE("          ", "6371", " - ", "COMPUTER SOFTWARE MAINTENANCE")</f>
        <v xml:space="preserve">          6371 - COMPUTER SOFTWARE MAINTENANCE</v>
      </c>
      <c r="C80" s="11"/>
      <c r="D80" s="6"/>
      <c r="E80" s="2"/>
      <c r="F80" s="7">
        <f t="shared" si="47"/>
        <v>0</v>
      </c>
      <c r="G80" s="2"/>
      <c r="H80" s="6"/>
      <c r="I80" s="2"/>
      <c r="J80" s="7">
        <f t="shared" si="48"/>
        <v>0</v>
      </c>
      <c r="K80" s="2"/>
      <c r="L80" s="6">
        <f t="shared" si="49"/>
        <v>0</v>
      </c>
      <c r="M80" s="2"/>
      <c r="N80" s="7">
        <f t="shared" si="50"/>
        <v>0</v>
      </c>
      <c r="O80" s="11"/>
      <c r="P80" s="6"/>
      <c r="Q80" s="2"/>
      <c r="R80" s="7">
        <f t="shared" si="51"/>
        <v>0</v>
      </c>
      <c r="S80" s="2"/>
      <c r="T80" s="6">
        <v>10932.69</v>
      </c>
      <c r="U80" s="2"/>
      <c r="V80" s="7">
        <f t="shared" si="52"/>
        <v>3.1168172851768206E-3</v>
      </c>
      <c r="W80" s="2"/>
      <c r="X80" s="6">
        <f t="shared" si="53"/>
        <v>-10932.69</v>
      </c>
      <c r="Y80" s="2"/>
      <c r="Z80" s="7">
        <f t="shared" si="54"/>
        <v>-1</v>
      </c>
    </row>
    <row r="81" spans="1:26" s="24" customFormat="1" hidden="1" outlineLevel="2" x14ac:dyDescent="0.25">
      <c r="A81" s="25"/>
      <c r="B81" s="11" t="str">
        <f>CONCATENATE("          ", "6372", " - ", "COMPUTER HARDWARE MAINTENANCE")</f>
        <v xml:space="preserve">          6372 - COMPUTER HARDWARE MAINTENANCE</v>
      </c>
      <c r="C81" s="11"/>
      <c r="D81" s="6"/>
      <c r="E81" s="2"/>
      <c r="F81" s="7">
        <f t="shared" si="47"/>
        <v>0</v>
      </c>
      <c r="G81" s="2"/>
      <c r="H81" s="6">
        <v>-0.01</v>
      </c>
      <c r="I81" s="2"/>
      <c r="J81" s="7">
        <f t="shared" si="48"/>
        <v>-2.4373098913517931E-8</v>
      </c>
      <c r="K81" s="2"/>
      <c r="L81" s="6">
        <f t="shared" si="49"/>
        <v>0.01</v>
      </c>
      <c r="M81" s="2"/>
      <c r="N81" s="7">
        <f t="shared" si="50"/>
        <v>-1</v>
      </c>
      <c r="O81" s="11"/>
      <c r="P81" s="6"/>
      <c r="Q81" s="2"/>
      <c r="R81" s="7">
        <f t="shared" si="51"/>
        <v>0</v>
      </c>
      <c r="S81" s="2"/>
      <c r="T81" s="6">
        <v>-0.01</v>
      </c>
      <c r="U81" s="2"/>
      <c r="V81" s="7">
        <f t="shared" si="52"/>
        <v>-2.8509152689565155E-9</v>
      </c>
      <c r="W81" s="2"/>
      <c r="X81" s="6">
        <f t="shared" si="53"/>
        <v>0.01</v>
      </c>
      <c r="Y81" s="2"/>
      <c r="Z81" s="7">
        <f t="shared" si="54"/>
        <v>-1</v>
      </c>
    </row>
    <row r="82" spans="1:26" s="24" customFormat="1" hidden="1" outlineLevel="2" x14ac:dyDescent="0.25">
      <c r="A82" s="25"/>
      <c r="B82" s="11" t="str">
        <f>CONCATENATE("          ", "6373", " - ", "MAINTENANCE CONTRACTS")</f>
        <v xml:space="preserve">          6373 - MAINTENANCE CONTRACTS</v>
      </c>
      <c r="C82" s="11"/>
      <c r="D82" s="6"/>
      <c r="E82" s="2"/>
      <c r="F82" s="7">
        <f t="shared" si="47"/>
        <v>0</v>
      </c>
      <c r="G82" s="2"/>
      <c r="H82" s="6">
        <v>6799</v>
      </c>
      <c r="I82" s="2"/>
      <c r="J82" s="7">
        <f t="shared" si="48"/>
        <v>1.657126995130084E-2</v>
      </c>
      <c r="K82" s="2"/>
      <c r="L82" s="6">
        <f t="shared" si="49"/>
        <v>-6799</v>
      </c>
      <c r="M82" s="2"/>
      <c r="N82" s="7">
        <f t="shared" si="50"/>
        <v>-1</v>
      </c>
      <c r="O82" s="11"/>
      <c r="P82" s="6">
        <v>11021.44</v>
      </c>
      <c r="Q82" s="2"/>
      <c r="R82" s="7">
        <f t="shared" si="51"/>
        <v>3.9891206064871711E-2</v>
      </c>
      <c r="S82" s="2"/>
      <c r="T82" s="6">
        <v>65120.62</v>
      </c>
      <c r="U82" s="2"/>
      <c r="V82" s="7">
        <f t="shared" si="52"/>
        <v>1.8565336988191503E-2</v>
      </c>
      <c r="W82" s="2"/>
      <c r="X82" s="6">
        <f t="shared" si="53"/>
        <v>-54099.18</v>
      </c>
      <c r="Y82" s="2"/>
      <c r="Z82" s="7">
        <f t="shared" si="54"/>
        <v>-0.83075345412866153</v>
      </c>
    </row>
    <row r="83" spans="1:26" s="24" customFormat="1" hidden="1" outlineLevel="2" x14ac:dyDescent="0.25">
      <c r="A83" s="25"/>
      <c r="B83" s="11" t="str">
        <f>CONCATENATE("          ", "6375", " - ", "OUTSIDE REPAIRS &amp; MAINTENANCE")</f>
        <v xml:space="preserve">          6375 - OUTSIDE REPAIRS &amp; MAINTENANCE</v>
      </c>
      <c r="C83" s="11"/>
      <c r="D83" s="6">
        <v>2909.21</v>
      </c>
      <c r="E83" s="2"/>
      <c r="F83" s="7">
        <f t="shared" si="47"/>
        <v>3.5446415930314133E-2</v>
      </c>
      <c r="G83" s="2"/>
      <c r="H83" s="6">
        <v>25680.59</v>
      </c>
      <c r="I83" s="2"/>
      <c r="J83" s="7">
        <f t="shared" si="48"/>
        <v>6.2591556022749947E-2</v>
      </c>
      <c r="K83" s="2"/>
      <c r="L83" s="6">
        <f t="shared" si="49"/>
        <v>-22771.38</v>
      </c>
      <c r="M83" s="2"/>
      <c r="N83" s="7">
        <f t="shared" si="50"/>
        <v>-0.88671560894823687</v>
      </c>
      <c r="O83" s="11"/>
      <c r="P83" s="6">
        <v>11746.75</v>
      </c>
      <c r="Q83" s="2"/>
      <c r="R83" s="7">
        <f t="shared" si="51"/>
        <v>4.2516406644007652E-2</v>
      </c>
      <c r="S83" s="2"/>
      <c r="T83" s="6">
        <v>100877</v>
      </c>
      <c r="U83" s="2"/>
      <c r="V83" s="7">
        <f t="shared" si="52"/>
        <v>2.875917795865264E-2</v>
      </c>
      <c r="W83" s="2"/>
      <c r="X83" s="6">
        <f t="shared" si="53"/>
        <v>-89130.25</v>
      </c>
      <c r="Y83" s="2"/>
      <c r="Z83" s="7">
        <f t="shared" si="54"/>
        <v>-0.88355373375496893</v>
      </c>
    </row>
    <row r="84" spans="1:26" s="26" customFormat="1" outlineLevel="1" collapsed="1" x14ac:dyDescent="0.25">
      <c r="A84" s="27"/>
      <c r="B84" s="13" t="str">
        <f>CONCATENATE("     ","Royalty &amp; Commissions                             ")</f>
        <v xml:space="preserve">     Royalty &amp; Commissions                             </v>
      </c>
      <c r="C84" s="13"/>
      <c r="D84" s="1">
        <f>SUM(OSRRefD22_17x_0)</f>
        <v>0</v>
      </c>
      <c r="E84" s="1"/>
      <c r="F84" s="5">
        <f t="shared" ref="F84:F86" si="55">IF(D$12=0,0,D84/D$12)</f>
        <v>0</v>
      </c>
      <c r="G84" s="1"/>
      <c r="H84" s="1">
        <f>SUM(OSRRefH22_17x_0)</f>
        <v>25849.93</v>
      </c>
      <c r="I84" s="1"/>
      <c r="J84" s="5">
        <f t="shared" ref="J84:J86" si="56">IF(H$12=0,0,H84/H$12)</f>
        <v>6.300429007975146E-2</v>
      </c>
      <c r="K84" s="1"/>
      <c r="L84" s="1">
        <f t="shared" ref="L84:L86" si="57">+D84-H84</f>
        <v>-25849.93</v>
      </c>
      <c r="M84" s="1"/>
      <c r="N84" s="5">
        <f t="shared" ref="N84:N86" si="58">IF(H84=0,0,L84/H84)</f>
        <v>-1</v>
      </c>
      <c r="O84" s="13"/>
      <c r="P84" s="1">
        <f>SUM(OSRRefP22_17x_0)</f>
        <v>0</v>
      </c>
      <c r="Q84" s="1"/>
      <c r="R84" s="5">
        <f t="shared" ref="R84:R86" si="59">IF(P$12=0,0,P84/P$12)</f>
        <v>0</v>
      </c>
      <c r="S84" s="1"/>
      <c r="T84" s="1">
        <f>SUM(OSRRefT22_17x_0)</f>
        <v>159522.10999999999</v>
      </c>
      <c r="U84" s="1"/>
      <c r="V84" s="5">
        <f t="shared" ref="V84:V86" si="60">IF(T$12=0,0,T84/T$12)</f>
        <v>4.5478401913516077E-2</v>
      </c>
      <c r="W84" s="1"/>
      <c r="X84" s="1">
        <f t="shared" ref="X84:X86" si="61">+P84-T84</f>
        <v>-159522.10999999999</v>
      </c>
      <c r="Y84" s="1"/>
      <c r="Z84" s="5">
        <f t="shared" ref="Z84:Z86" si="62">IF(T84=0,0,X84/T84)</f>
        <v>-1</v>
      </c>
    </row>
    <row r="85" spans="1:26" s="24" customFormat="1" hidden="1" outlineLevel="2" x14ac:dyDescent="0.25">
      <c r="A85" s="25"/>
      <c r="B85" s="11" t="str">
        <f>CONCATENATE("          ", "6254", " - ", "ROYALTY &amp; COMMISSIONS")</f>
        <v xml:space="preserve">          6254 - ROYALTY &amp; COMMISSIONS</v>
      </c>
      <c r="C85" s="11"/>
      <c r="D85" s="6"/>
      <c r="E85" s="2"/>
      <c r="F85" s="7">
        <f t="shared" si="55"/>
        <v>0</v>
      </c>
      <c r="G85" s="2"/>
      <c r="H85" s="6">
        <v>17641.37</v>
      </c>
      <c r="I85" s="2"/>
      <c r="J85" s="7">
        <f t="shared" si="56"/>
        <v>4.2997485597996779E-2</v>
      </c>
      <c r="K85" s="2"/>
      <c r="L85" s="6">
        <f t="shared" si="57"/>
        <v>-17641.37</v>
      </c>
      <c r="M85" s="2"/>
      <c r="N85" s="7">
        <f t="shared" si="58"/>
        <v>-1</v>
      </c>
      <c r="O85" s="11"/>
      <c r="P85" s="6"/>
      <c r="Q85" s="2"/>
      <c r="R85" s="7">
        <f t="shared" si="59"/>
        <v>0</v>
      </c>
      <c r="S85" s="2"/>
      <c r="T85" s="6">
        <v>78668.429999999993</v>
      </c>
      <c r="U85" s="2"/>
      <c r="V85" s="7">
        <f t="shared" si="60"/>
        <v>2.242770282718368E-2</v>
      </c>
      <c r="W85" s="2"/>
      <c r="X85" s="6">
        <f t="shared" si="61"/>
        <v>-78668.429999999993</v>
      </c>
      <c r="Y85" s="2"/>
      <c r="Z85" s="7">
        <f t="shared" si="62"/>
        <v>-1</v>
      </c>
    </row>
    <row r="86" spans="1:26" s="24" customFormat="1" hidden="1" outlineLevel="2" x14ac:dyDescent="0.25">
      <c r="A86" s="25"/>
      <c r="B86" s="11" t="str">
        <f>CONCATENATE("          ", "6259", " - ", "ROYALTY &amp; COMMISSIONS")</f>
        <v xml:space="preserve">          6259 - ROYALTY &amp; COMMISSIONS</v>
      </c>
      <c r="C86" s="11"/>
      <c r="D86" s="6"/>
      <c r="E86" s="2"/>
      <c r="F86" s="7">
        <f t="shared" si="55"/>
        <v>0</v>
      </c>
      <c r="G86" s="2"/>
      <c r="H86" s="6">
        <v>8208.56</v>
      </c>
      <c r="I86" s="2"/>
      <c r="J86" s="7">
        <f t="shared" si="56"/>
        <v>2.0006804481754674E-2</v>
      </c>
      <c r="K86" s="2"/>
      <c r="L86" s="6">
        <f t="shared" si="57"/>
        <v>-8208.56</v>
      </c>
      <c r="M86" s="2"/>
      <c r="N86" s="7">
        <f t="shared" si="58"/>
        <v>-1</v>
      </c>
      <c r="O86" s="11"/>
      <c r="P86" s="6"/>
      <c r="Q86" s="2"/>
      <c r="R86" s="7">
        <f t="shared" si="59"/>
        <v>0</v>
      </c>
      <c r="S86" s="2"/>
      <c r="T86" s="6">
        <v>80853.679999999993</v>
      </c>
      <c r="U86" s="2"/>
      <c r="V86" s="7">
        <f t="shared" si="60"/>
        <v>2.30506990863324E-2</v>
      </c>
      <c r="W86" s="2"/>
      <c r="X86" s="6">
        <f t="shared" si="61"/>
        <v>-80853.679999999993</v>
      </c>
      <c r="Y86" s="2"/>
      <c r="Z86" s="7">
        <f t="shared" si="62"/>
        <v>-1</v>
      </c>
    </row>
    <row r="87" spans="1:26" s="26" customFormat="1" outlineLevel="1" collapsed="1" x14ac:dyDescent="0.25">
      <c r="A87" s="27"/>
      <c r="B87" s="13" t="str">
        <f>CONCATENATE("     ","Services                                          ")</f>
        <v xml:space="preserve">     Services                                          </v>
      </c>
      <c r="C87" s="13"/>
      <c r="D87" s="1">
        <f>SUM(OSRRefD22_18x_0)</f>
        <v>7309.42</v>
      </c>
      <c r="E87" s="1"/>
      <c r="F87" s="5">
        <f t="shared" ref="F87:F92" si="63">IF(D$12=0,0,D87/D$12)</f>
        <v>8.905948402808897E-2</v>
      </c>
      <c r="G87" s="1"/>
      <c r="H87" s="1">
        <f>SUM(OSRRefH22_18x_0)</f>
        <v>25171.949999999997</v>
      </c>
      <c r="I87" s="1"/>
      <c r="J87" s="5">
        <f t="shared" ref="J87:J92" si="64">IF(H$12=0,0,H87/H$12)</f>
        <v>6.1351842719612762E-2</v>
      </c>
      <c r="K87" s="1"/>
      <c r="L87" s="1">
        <f t="shared" ref="L87:L92" si="65">+D87-H87</f>
        <v>-17862.53</v>
      </c>
      <c r="M87" s="1"/>
      <c r="N87" s="5">
        <f t="shared" ref="N87:N92" si="66">IF(H87=0,0,L87/H87)</f>
        <v>-0.70962043067779812</v>
      </c>
      <c r="O87" s="13"/>
      <c r="P87" s="1">
        <f>SUM(OSRRefP22_18x_0)</f>
        <v>43998.68</v>
      </c>
      <c r="Q87" s="1"/>
      <c r="R87" s="5">
        <f t="shared" ref="R87:R92" si="67">IF(P$12=0,0,P87/P$12)</f>
        <v>0.15924964527887003</v>
      </c>
      <c r="S87" s="1"/>
      <c r="T87" s="1">
        <f>SUM(OSRRefT22_18x_0)</f>
        <v>156999.85999999999</v>
      </c>
      <c r="U87" s="1"/>
      <c r="V87" s="5">
        <f t="shared" ref="V87:V92" si="68">IF(T$12=0,0,T87/T$12)</f>
        <v>4.4759329809803523E-2</v>
      </c>
      <c r="W87" s="1"/>
      <c r="X87" s="1">
        <f t="shared" ref="X87:X92" si="69">+P87-T87</f>
        <v>-113001.18</v>
      </c>
      <c r="Y87" s="1"/>
      <c r="Z87" s="5">
        <f t="shared" ref="Z87:Z92" si="70">IF(T87=0,0,X87/T87)</f>
        <v>-0.71975338067180439</v>
      </c>
    </row>
    <row r="88" spans="1:26" s="24" customFormat="1" hidden="1" outlineLevel="2" x14ac:dyDescent="0.25">
      <c r="A88" s="25"/>
      <c r="B88" s="11" t="str">
        <f>CONCATENATE("          ", "6282", " - ", "JANITORIAL/EXTERMINATOR EXPENS")</f>
        <v xml:space="preserve">          6282 - JANITORIAL/EXTERMINATOR EXPENS</v>
      </c>
      <c r="C88" s="11"/>
      <c r="D88" s="6">
        <v>1940.42</v>
      </c>
      <c r="E88" s="2"/>
      <c r="F88" s="7">
        <f t="shared" si="63"/>
        <v>2.3642478335871301E-2</v>
      </c>
      <c r="G88" s="2"/>
      <c r="H88" s="6">
        <v>949.03</v>
      </c>
      <c r="I88" s="2"/>
      <c r="J88" s="7">
        <f t="shared" si="64"/>
        <v>2.3130802061895922E-3</v>
      </c>
      <c r="K88" s="2"/>
      <c r="L88" s="6">
        <f t="shared" si="65"/>
        <v>991.3900000000001</v>
      </c>
      <c r="M88" s="2"/>
      <c r="N88" s="7">
        <f t="shared" si="66"/>
        <v>1.0446350484178584</v>
      </c>
      <c r="O88" s="11"/>
      <c r="P88" s="6">
        <v>6198.11</v>
      </c>
      <c r="Q88" s="2"/>
      <c r="R88" s="7">
        <f t="shared" si="67"/>
        <v>2.2433555254371657E-2</v>
      </c>
      <c r="S88" s="2"/>
      <c r="T88" s="6">
        <v>9892.02</v>
      </c>
      <c r="U88" s="2"/>
      <c r="V88" s="7">
        <f t="shared" si="68"/>
        <v>2.820131085882323E-3</v>
      </c>
      <c r="W88" s="2"/>
      <c r="X88" s="6">
        <f t="shared" si="69"/>
        <v>-3693.9100000000008</v>
      </c>
      <c r="Y88" s="2"/>
      <c r="Z88" s="7">
        <f t="shared" si="70"/>
        <v>-0.37342322397245464</v>
      </c>
    </row>
    <row r="89" spans="1:26" s="24" customFormat="1" hidden="1" outlineLevel="2" x14ac:dyDescent="0.25">
      <c r="A89" s="25"/>
      <c r="B89" s="11" t="str">
        <f>CONCATENATE("          ", "6283", " - ", "PLANT SERVICE")</f>
        <v xml:space="preserve">          6283 - PLANT SERVICE</v>
      </c>
      <c r="C89" s="11"/>
      <c r="D89" s="6"/>
      <c r="E89" s="2"/>
      <c r="F89" s="7">
        <f t="shared" si="63"/>
        <v>0</v>
      </c>
      <c r="G89" s="2"/>
      <c r="H89" s="6"/>
      <c r="I89" s="2"/>
      <c r="J89" s="7">
        <f t="shared" si="64"/>
        <v>0</v>
      </c>
      <c r="K89" s="2"/>
      <c r="L89" s="6">
        <f t="shared" si="65"/>
        <v>0</v>
      </c>
      <c r="M89" s="2"/>
      <c r="N89" s="7">
        <f t="shared" si="66"/>
        <v>0</v>
      </c>
      <c r="O89" s="11"/>
      <c r="P89" s="6"/>
      <c r="Q89" s="2"/>
      <c r="R89" s="7">
        <f t="shared" si="67"/>
        <v>0</v>
      </c>
      <c r="S89" s="2"/>
      <c r="T89" s="6">
        <v>799.12</v>
      </c>
      <c r="U89" s="2"/>
      <c r="V89" s="7">
        <f t="shared" si="68"/>
        <v>2.2782234097285306E-4</v>
      </c>
      <c r="W89" s="2"/>
      <c r="X89" s="6">
        <f t="shared" si="69"/>
        <v>-799.12</v>
      </c>
      <c r="Y89" s="2"/>
      <c r="Z89" s="7">
        <f t="shared" si="70"/>
        <v>-1</v>
      </c>
    </row>
    <row r="90" spans="1:26" s="24" customFormat="1" hidden="1" outlineLevel="2" x14ac:dyDescent="0.25">
      <c r="A90" s="25"/>
      <c r="B90" s="11" t="str">
        <f>CONCATENATE("          ", "6284", " - ", "TRASH REMOVAL EXPENSE")</f>
        <v xml:space="preserve">          6284 - TRASH REMOVAL EXPENSE</v>
      </c>
      <c r="C90" s="11"/>
      <c r="D90" s="6">
        <v>5369</v>
      </c>
      <c r="E90" s="2"/>
      <c r="F90" s="7">
        <f t="shared" si="63"/>
        <v>6.5417005692217672E-2</v>
      </c>
      <c r="G90" s="2"/>
      <c r="H90" s="6">
        <v>5130</v>
      </c>
      <c r="I90" s="2"/>
      <c r="J90" s="7">
        <f t="shared" si="64"/>
        <v>1.2503399742634699E-2</v>
      </c>
      <c r="K90" s="2"/>
      <c r="L90" s="6">
        <f t="shared" si="65"/>
        <v>239</v>
      </c>
      <c r="M90" s="2"/>
      <c r="N90" s="7">
        <f t="shared" si="66"/>
        <v>4.6588693957115013E-2</v>
      </c>
      <c r="O90" s="11"/>
      <c r="P90" s="6">
        <v>24237</v>
      </c>
      <c r="Q90" s="2"/>
      <c r="R90" s="7">
        <f t="shared" si="67"/>
        <v>8.7723851093350375E-2</v>
      </c>
      <c r="S90" s="2"/>
      <c r="T90" s="6">
        <v>28023</v>
      </c>
      <c r="U90" s="2"/>
      <c r="V90" s="7">
        <f t="shared" si="68"/>
        <v>7.9891198581968428E-3</v>
      </c>
      <c r="W90" s="2"/>
      <c r="X90" s="6">
        <f t="shared" si="69"/>
        <v>-3786</v>
      </c>
      <c r="Y90" s="2"/>
      <c r="Z90" s="7">
        <f t="shared" si="70"/>
        <v>-0.13510330799700246</v>
      </c>
    </row>
    <row r="91" spans="1:26" s="24" customFormat="1" hidden="1" outlineLevel="2" x14ac:dyDescent="0.25">
      <c r="A91" s="25"/>
      <c r="B91" s="11" t="str">
        <f>CONCATENATE("          ", "6285", " - ", "JANITORIAL SERVICES")</f>
        <v xml:space="preserve">          6285 - JANITORIAL SERVICES</v>
      </c>
      <c r="C91" s="11"/>
      <c r="D91" s="6"/>
      <c r="E91" s="2"/>
      <c r="F91" s="7">
        <f t="shared" si="63"/>
        <v>0</v>
      </c>
      <c r="G91" s="2"/>
      <c r="H91" s="6">
        <v>16169.82</v>
      </c>
      <c r="I91" s="2"/>
      <c r="J91" s="7">
        <f t="shared" si="64"/>
        <v>3.9410862227378052E-2</v>
      </c>
      <c r="K91" s="2"/>
      <c r="L91" s="6">
        <f t="shared" si="65"/>
        <v>-16169.82</v>
      </c>
      <c r="M91" s="2"/>
      <c r="N91" s="7">
        <f t="shared" si="66"/>
        <v>-1</v>
      </c>
      <c r="O91" s="11"/>
      <c r="P91" s="6">
        <v>12770.81</v>
      </c>
      <c r="Q91" s="2"/>
      <c r="R91" s="7">
        <f t="shared" si="67"/>
        <v>4.6222908560526049E-2</v>
      </c>
      <c r="S91" s="2"/>
      <c r="T91" s="6">
        <v>95816.58</v>
      </c>
      <c r="U91" s="2"/>
      <c r="V91" s="7">
        <f t="shared" si="68"/>
        <v>2.7316495094119347E-2</v>
      </c>
      <c r="W91" s="2"/>
      <c r="X91" s="6">
        <f t="shared" si="69"/>
        <v>-83045.77</v>
      </c>
      <c r="Y91" s="2"/>
      <c r="Z91" s="7">
        <f t="shared" si="70"/>
        <v>-0.86671607356472125</v>
      </c>
    </row>
    <row r="92" spans="1:26" s="24" customFormat="1" hidden="1" outlineLevel="2" x14ac:dyDescent="0.25">
      <c r="A92" s="25"/>
      <c r="B92" s="11" t="str">
        <f>CONCATENATE("          ", "6286", " - ", "LAUNDRY EXPENSE")</f>
        <v xml:space="preserve">          6286 - LAUNDRY EXPENSE</v>
      </c>
      <c r="C92" s="11"/>
      <c r="D92" s="6"/>
      <c r="E92" s="2"/>
      <c r="F92" s="7">
        <f t="shared" si="63"/>
        <v>0</v>
      </c>
      <c r="G92" s="2"/>
      <c r="H92" s="6">
        <v>2923.1</v>
      </c>
      <c r="I92" s="2"/>
      <c r="J92" s="7">
        <f t="shared" si="64"/>
        <v>7.1245005434104258E-3</v>
      </c>
      <c r="K92" s="2"/>
      <c r="L92" s="6">
        <f t="shared" si="65"/>
        <v>-2923.1</v>
      </c>
      <c r="M92" s="2"/>
      <c r="N92" s="7">
        <f t="shared" si="66"/>
        <v>-1</v>
      </c>
      <c r="O92" s="11"/>
      <c r="P92" s="6">
        <v>792.76</v>
      </c>
      <c r="Q92" s="2"/>
      <c r="R92" s="7">
        <f t="shared" si="67"/>
        <v>2.86933037062196E-3</v>
      </c>
      <c r="S92" s="2"/>
      <c r="T92" s="6">
        <v>22469.14</v>
      </c>
      <c r="U92" s="2"/>
      <c r="V92" s="7">
        <f t="shared" si="68"/>
        <v>6.4057614306321595E-3</v>
      </c>
      <c r="W92" s="2"/>
      <c r="X92" s="6">
        <f t="shared" si="69"/>
        <v>-21676.38</v>
      </c>
      <c r="Y92" s="2"/>
      <c r="Z92" s="7">
        <f t="shared" si="70"/>
        <v>-0.96471783076699869</v>
      </c>
    </row>
    <row r="93" spans="1:26" s="26" customFormat="1" outlineLevel="1" collapsed="1" x14ac:dyDescent="0.25">
      <c r="A93" s="27"/>
      <c r="B93" s="13" t="str">
        <f>CONCATENATE("     ","Subscriptions &amp; Dues                              ")</f>
        <v xml:space="preserve">     Subscriptions &amp; Dues                              </v>
      </c>
      <c r="C93" s="13"/>
      <c r="D93" s="1">
        <f>SUM(OSRRefD22_19x_0)</f>
        <v>0</v>
      </c>
      <c r="E93" s="1"/>
      <c r="F93" s="5">
        <f t="shared" ref="F93:F95" si="71">IF(D$12=0,0,D93/D$12)</f>
        <v>0</v>
      </c>
      <c r="G93" s="1"/>
      <c r="H93" s="1">
        <f>SUM(OSRRefH22_19x_0)</f>
        <v>585.98</v>
      </c>
      <c r="I93" s="1"/>
      <c r="J93" s="5">
        <f t="shared" ref="J93:J95" si="72">IF(H$12=0,0,H93/H$12)</f>
        <v>1.4282148501343237E-3</v>
      </c>
      <c r="K93" s="1"/>
      <c r="L93" s="1">
        <f t="shared" ref="L93:L95" si="73">+D93-H93</f>
        <v>-585.98</v>
      </c>
      <c r="M93" s="1"/>
      <c r="N93" s="5">
        <f t="shared" ref="N93:N95" si="74">IF(H93=0,0,L93/H93)</f>
        <v>-1</v>
      </c>
      <c r="O93" s="13"/>
      <c r="P93" s="1">
        <f>SUM(OSRRefP22_19x_0)</f>
        <v>534.16999999999996</v>
      </c>
      <c r="Q93" s="1"/>
      <c r="R93" s="5">
        <f t="shared" ref="R93:R95" si="75">IF(P$12=0,0,P93/P$12)</f>
        <v>1.933384888333332E-3</v>
      </c>
      <c r="S93" s="1"/>
      <c r="T93" s="1">
        <f>SUM(OSRRefT22_19x_0)</f>
        <v>6860.58</v>
      </c>
      <c r="U93" s="1"/>
      <c r="V93" s="5">
        <f t="shared" ref="V93:V95" si="76">IF(T$12=0,0,T93/T$12)</f>
        <v>1.9558932275897689E-3</v>
      </c>
      <c r="W93" s="1"/>
      <c r="X93" s="1">
        <f t="shared" ref="X93:X95" si="77">+P93-T93</f>
        <v>-6326.41</v>
      </c>
      <c r="Y93" s="1"/>
      <c r="Z93" s="5">
        <f t="shared" ref="Z93:Z95" si="78">IF(T93=0,0,X93/T93)</f>
        <v>-0.92213923604126768</v>
      </c>
    </row>
    <row r="94" spans="1:26" s="24" customFormat="1" hidden="1" outlineLevel="2" x14ac:dyDescent="0.25">
      <c r="A94" s="25"/>
      <c r="B94" s="11" t="str">
        <f>CONCATENATE("          ", "6258", " - ", "MEMBERSHIP DUES")</f>
        <v xml:space="preserve">          6258 - MEMBERSHIP DUES</v>
      </c>
      <c r="C94" s="11"/>
      <c r="D94" s="6"/>
      <c r="E94" s="2"/>
      <c r="F94" s="7">
        <f t="shared" si="71"/>
        <v>0</v>
      </c>
      <c r="G94" s="2"/>
      <c r="H94" s="6">
        <v>131.19999999999999</v>
      </c>
      <c r="I94" s="2"/>
      <c r="J94" s="7">
        <f t="shared" si="72"/>
        <v>3.1977505774535522E-4</v>
      </c>
      <c r="K94" s="2"/>
      <c r="L94" s="6">
        <f t="shared" si="73"/>
        <v>-131.19999999999999</v>
      </c>
      <c r="M94" s="2"/>
      <c r="N94" s="7">
        <f t="shared" si="74"/>
        <v>-1</v>
      </c>
      <c r="O94" s="11"/>
      <c r="P94" s="6"/>
      <c r="Q94" s="2"/>
      <c r="R94" s="7">
        <f t="shared" si="75"/>
        <v>0</v>
      </c>
      <c r="S94" s="2"/>
      <c r="T94" s="6">
        <v>3861.2</v>
      </c>
      <c r="U94" s="2"/>
      <c r="V94" s="7">
        <f t="shared" si="76"/>
        <v>1.1007954036494896E-3</v>
      </c>
      <c r="W94" s="2"/>
      <c r="X94" s="6">
        <f t="shared" si="77"/>
        <v>-3861.2</v>
      </c>
      <c r="Y94" s="2"/>
      <c r="Z94" s="7">
        <f t="shared" si="78"/>
        <v>-1</v>
      </c>
    </row>
    <row r="95" spans="1:26" s="24" customFormat="1" hidden="1" outlineLevel="2" x14ac:dyDescent="0.25">
      <c r="A95" s="25"/>
      <c r="B95" s="11" t="str">
        <f>CONCATENATE("          ", "6275", " - ", "SUBSCRIPTIONS")</f>
        <v xml:space="preserve">          6275 - SUBSCRIPTIONS</v>
      </c>
      <c r="C95" s="11"/>
      <c r="D95" s="6"/>
      <c r="E95" s="2"/>
      <c r="F95" s="7">
        <f t="shared" si="71"/>
        <v>0</v>
      </c>
      <c r="G95" s="2"/>
      <c r="H95" s="6">
        <v>454.78</v>
      </c>
      <c r="I95" s="2"/>
      <c r="J95" s="7">
        <f t="shared" si="72"/>
        <v>1.1084397923889684E-3</v>
      </c>
      <c r="K95" s="2"/>
      <c r="L95" s="6">
        <f t="shared" si="73"/>
        <v>-454.78</v>
      </c>
      <c r="M95" s="2"/>
      <c r="N95" s="7">
        <f t="shared" si="74"/>
        <v>-1</v>
      </c>
      <c r="O95" s="11"/>
      <c r="P95" s="6">
        <v>534.16999999999996</v>
      </c>
      <c r="Q95" s="2"/>
      <c r="R95" s="7">
        <f t="shared" si="75"/>
        <v>1.933384888333332E-3</v>
      </c>
      <c r="S95" s="2"/>
      <c r="T95" s="6">
        <v>2999.38</v>
      </c>
      <c r="U95" s="2"/>
      <c r="V95" s="7">
        <f t="shared" si="76"/>
        <v>8.5509782394027937E-4</v>
      </c>
      <c r="W95" s="2"/>
      <c r="X95" s="6">
        <f t="shared" si="77"/>
        <v>-2465.21</v>
      </c>
      <c r="Y95" s="2"/>
      <c r="Z95" s="7">
        <f t="shared" si="78"/>
        <v>-0.82190652734898539</v>
      </c>
    </row>
    <row r="96" spans="1:26" s="26" customFormat="1" outlineLevel="1" collapsed="1" x14ac:dyDescent="0.25">
      <c r="A96" s="27"/>
      <c r="B96" s="13" t="str">
        <f>CONCATENATE("     ","Supplies                                          ")</f>
        <v xml:space="preserve">     Supplies                                          </v>
      </c>
      <c r="C96" s="13"/>
      <c r="D96" s="1">
        <f>SUM(OSRRefD22_20x_0)</f>
        <v>116.72999999999999</v>
      </c>
      <c r="E96" s="1"/>
      <c r="F96" s="5">
        <f t="shared" ref="F96:F105" si="79">IF(D$12=0,0,D96/D$12)</f>
        <v>1.4222624463498916E-3</v>
      </c>
      <c r="G96" s="1"/>
      <c r="H96" s="1">
        <f>SUM(OSRRefH22_20x_0)</f>
        <v>14767.399999999998</v>
      </c>
      <c r="I96" s="1"/>
      <c r="J96" s="5">
        <f t="shared" ref="J96:J105" si="80">IF(H$12=0,0,H96/H$12)</f>
        <v>3.5992730089548466E-2</v>
      </c>
      <c r="K96" s="1"/>
      <c r="L96" s="1">
        <f t="shared" ref="L96:L105" si="81">+D96-H96</f>
        <v>-14650.669999999998</v>
      </c>
      <c r="M96" s="1"/>
      <c r="N96" s="5">
        <f t="shared" ref="N96:N105" si="82">IF(H96=0,0,L96/H96)</f>
        <v>-0.99209542641223236</v>
      </c>
      <c r="O96" s="13"/>
      <c r="P96" s="1">
        <f>SUM(OSRRefP22_20x_0)</f>
        <v>-21429.59</v>
      </c>
      <c r="Q96" s="1"/>
      <c r="R96" s="5">
        <f t="shared" ref="R96:R105" si="83">IF(P$12=0,0,P96/P$12)</f>
        <v>-7.7562658833665477E-2</v>
      </c>
      <c r="S96" s="1"/>
      <c r="T96" s="1">
        <f>SUM(OSRRefT22_20x_0)</f>
        <v>131173.31</v>
      </c>
      <c r="U96" s="1"/>
      <c r="V96" s="5">
        <f t="shared" ref="V96:V105" si="84">IF(T$12=0,0,T96/T$12)</f>
        <v>3.7396399235856637E-2</v>
      </c>
      <c r="W96" s="1"/>
      <c r="X96" s="1">
        <f t="shared" ref="X96:X105" si="85">+P96-T96</f>
        <v>-152602.9</v>
      </c>
      <c r="Y96" s="1"/>
      <c r="Z96" s="5">
        <f t="shared" ref="Z96:Z105" si="86">IF(T96=0,0,X96/T96)</f>
        <v>-1.163368523672994</v>
      </c>
    </row>
    <row r="97" spans="1:26" s="24" customFormat="1" hidden="1" outlineLevel="2" x14ac:dyDescent="0.25">
      <c r="A97" s="25"/>
      <c r="B97" s="11" t="str">
        <f>CONCATENATE("          ", "6234", " - ", "EXPENDABLE SUPPLIES &amp; EQUIPMEN")</f>
        <v xml:space="preserve">          6234 - EXPENDABLE SUPPLIES &amp; EQUIPMEN</v>
      </c>
      <c r="C97" s="11"/>
      <c r="D97" s="6"/>
      <c r="E97" s="2"/>
      <c r="F97" s="7">
        <f t="shared" si="79"/>
        <v>0</v>
      </c>
      <c r="G97" s="2"/>
      <c r="H97" s="6">
        <v>1008.79</v>
      </c>
      <c r="I97" s="2"/>
      <c r="J97" s="7">
        <f t="shared" si="80"/>
        <v>2.4587338452967751E-3</v>
      </c>
      <c r="K97" s="2"/>
      <c r="L97" s="6">
        <f t="shared" si="81"/>
        <v>-1008.79</v>
      </c>
      <c r="M97" s="2"/>
      <c r="N97" s="7">
        <f t="shared" si="82"/>
        <v>-1</v>
      </c>
      <c r="O97" s="11"/>
      <c r="P97" s="6">
        <v>310.91000000000003</v>
      </c>
      <c r="Q97" s="2"/>
      <c r="R97" s="7">
        <f t="shared" si="83"/>
        <v>1.1253134688052799E-3</v>
      </c>
      <c r="S97" s="2"/>
      <c r="T97" s="6">
        <v>13211.51</v>
      </c>
      <c r="U97" s="2"/>
      <c r="V97" s="7">
        <f t="shared" si="84"/>
        <v>3.7664895584971691E-3</v>
      </c>
      <c r="W97" s="2"/>
      <c r="X97" s="6">
        <f t="shared" si="85"/>
        <v>-12900.6</v>
      </c>
      <c r="Y97" s="2"/>
      <c r="Z97" s="7">
        <f t="shared" si="86"/>
        <v>-0.97646673241741477</v>
      </c>
    </row>
    <row r="98" spans="1:26" s="24" customFormat="1" hidden="1" outlineLevel="2" x14ac:dyDescent="0.25">
      <c r="A98" s="25"/>
      <c r="B98" s="11" t="str">
        <f>CONCATENATE("          ", "6235", " - ", "COVID-19 EXPENSES")</f>
        <v xml:space="preserve">          6235 - COVID-19 EXPENSES</v>
      </c>
      <c r="C98" s="11"/>
      <c r="D98" s="6"/>
      <c r="E98" s="2"/>
      <c r="F98" s="7">
        <f t="shared" si="79"/>
        <v>0</v>
      </c>
      <c r="G98" s="2"/>
      <c r="H98" s="6"/>
      <c r="I98" s="2"/>
      <c r="J98" s="7">
        <f t="shared" si="80"/>
        <v>0</v>
      </c>
      <c r="K98" s="2"/>
      <c r="L98" s="6">
        <f t="shared" si="81"/>
        <v>0</v>
      </c>
      <c r="M98" s="2"/>
      <c r="N98" s="7">
        <f t="shared" si="82"/>
        <v>0</v>
      </c>
      <c r="O98" s="11"/>
      <c r="P98" s="6">
        <v>6881.86</v>
      </c>
      <c r="Q98" s="2"/>
      <c r="R98" s="7">
        <f t="shared" si="83"/>
        <v>2.4908332792230235E-2</v>
      </c>
      <c r="S98" s="2"/>
      <c r="T98" s="6"/>
      <c r="U98" s="2"/>
      <c r="V98" s="7">
        <f t="shared" si="84"/>
        <v>0</v>
      </c>
      <c r="W98" s="2"/>
      <c r="X98" s="6">
        <f t="shared" si="85"/>
        <v>6881.86</v>
      </c>
      <c r="Y98" s="2"/>
      <c r="Z98" s="7">
        <f t="shared" si="86"/>
        <v>0</v>
      </c>
    </row>
    <row r="99" spans="1:26" s="24" customFormat="1" hidden="1" outlineLevel="2" x14ac:dyDescent="0.25">
      <c r="A99" s="25"/>
      <c r="B99" s="11" t="str">
        <f>CONCATENATE("          ", "6237", " - ", "JANITORIAL SUPPLIES")</f>
        <v xml:space="preserve">          6237 - JANITORIAL SUPPLIES</v>
      </c>
      <c r="C99" s="11"/>
      <c r="D99" s="6"/>
      <c r="E99" s="2"/>
      <c r="F99" s="7">
        <f t="shared" si="79"/>
        <v>0</v>
      </c>
      <c r="G99" s="2"/>
      <c r="H99" s="6">
        <v>5936.7</v>
      </c>
      <c r="I99" s="2"/>
      <c r="J99" s="7">
        <f t="shared" si="80"/>
        <v>1.446957763198819E-2</v>
      </c>
      <c r="K99" s="2"/>
      <c r="L99" s="6">
        <f t="shared" si="81"/>
        <v>-5936.7</v>
      </c>
      <c r="M99" s="2"/>
      <c r="N99" s="7">
        <f t="shared" si="82"/>
        <v>-1</v>
      </c>
      <c r="O99" s="11"/>
      <c r="P99" s="6">
        <v>358.91</v>
      </c>
      <c r="Q99" s="2"/>
      <c r="R99" s="7">
        <f t="shared" si="83"/>
        <v>1.2990455665269787E-3</v>
      </c>
      <c r="S99" s="2"/>
      <c r="T99" s="6">
        <v>35930.18</v>
      </c>
      <c r="U99" s="2"/>
      <c r="V99" s="7">
        <f t="shared" si="84"/>
        <v>1.0243389877835601E-2</v>
      </c>
      <c r="W99" s="2"/>
      <c r="X99" s="6">
        <f t="shared" si="85"/>
        <v>-35571.269999999997</v>
      </c>
      <c r="Y99" s="2"/>
      <c r="Z99" s="7">
        <f t="shared" si="86"/>
        <v>-0.99001090448197027</v>
      </c>
    </row>
    <row r="100" spans="1:26" s="24" customFormat="1" hidden="1" outlineLevel="2" x14ac:dyDescent="0.25">
      <c r="A100" s="25"/>
      <c r="B100" s="11" t="str">
        <f>CONCATENATE("          ", "6239", " - ", "KITCHEN SUPPLIES")</f>
        <v xml:space="preserve">          6239 - KITCHEN SUPPLIES</v>
      </c>
      <c r="C100" s="11"/>
      <c r="D100" s="6"/>
      <c r="E100" s="2"/>
      <c r="F100" s="7">
        <f t="shared" si="79"/>
        <v>0</v>
      </c>
      <c r="G100" s="2"/>
      <c r="H100" s="6">
        <v>2414.56</v>
      </c>
      <c r="I100" s="2"/>
      <c r="J100" s="7">
        <f t="shared" si="80"/>
        <v>5.8850309712623851E-3</v>
      </c>
      <c r="K100" s="2"/>
      <c r="L100" s="6">
        <f t="shared" si="81"/>
        <v>-2414.56</v>
      </c>
      <c r="M100" s="2"/>
      <c r="N100" s="7">
        <f t="shared" si="82"/>
        <v>-1</v>
      </c>
      <c r="O100" s="11"/>
      <c r="P100" s="6">
        <v>19.829999999999998</v>
      </c>
      <c r="Q100" s="2"/>
      <c r="R100" s="7">
        <f t="shared" si="83"/>
        <v>7.1773072871276876E-5</v>
      </c>
      <c r="S100" s="2"/>
      <c r="T100" s="6">
        <v>35848.400000000001</v>
      </c>
      <c r="U100" s="2"/>
      <c r="V100" s="7">
        <f t="shared" si="84"/>
        <v>1.0220075092766075E-2</v>
      </c>
      <c r="W100" s="2"/>
      <c r="X100" s="6">
        <f t="shared" si="85"/>
        <v>-35828.57</v>
      </c>
      <c r="Y100" s="2"/>
      <c r="Z100" s="7">
        <f t="shared" si="86"/>
        <v>-0.99944683723680827</v>
      </c>
    </row>
    <row r="101" spans="1:26" s="24" customFormat="1" hidden="1" outlineLevel="2" x14ac:dyDescent="0.25">
      <c r="A101" s="25"/>
      <c r="B101" s="11" t="str">
        <f>CONCATENATE("          ", "6241", " - ", "OFFICE EXPENSE")</f>
        <v xml:space="preserve">          6241 - OFFICE EXPENSE</v>
      </c>
      <c r="C101" s="11"/>
      <c r="D101" s="6">
        <v>51.24</v>
      </c>
      <c r="E101" s="2"/>
      <c r="F101" s="7">
        <f t="shared" si="79"/>
        <v>6.2431875054372017E-4</v>
      </c>
      <c r="G101" s="2"/>
      <c r="H101" s="6">
        <v>749.3</v>
      </c>
      <c r="I101" s="2"/>
      <c r="J101" s="7">
        <f t="shared" si="80"/>
        <v>1.8262763015898984E-3</v>
      </c>
      <c r="K101" s="2"/>
      <c r="L101" s="6">
        <f t="shared" si="81"/>
        <v>-698.06</v>
      </c>
      <c r="M101" s="2"/>
      <c r="N101" s="7">
        <f t="shared" si="82"/>
        <v>-0.93161617509675698</v>
      </c>
      <c r="O101" s="11"/>
      <c r="P101" s="6">
        <v>-29066.59</v>
      </c>
      <c r="Q101" s="2"/>
      <c r="R101" s="7">
        <f t="shared" si="83"/>
        <v>-0.1052041594649283</v>
      </c>
      <c r="S101" s="2"/>
      <c r="T101" s="6">
        <v>15281.7</v>
      </c>
      <c r="U101" s="2"/>
      <c r="V101" s="7">
        <f t="shared" si="84"/>
        <v>4.3566831865612787E-3</v>
      </c>
      <c r="W101" s="2"/>
      <c r="X101" s="6">
        <f t="shared" si="85"/>
        <v>-44348.29</v>
      </c>
      <c r="Y101" s="2"/>
      <c r="Z101" s="7">
        <f t="shared" si="86"/>
        <v>-2.9020521277083047</v>
      </c>
    </row>
    <row r="102" spans="1:26" s="24" customFormat="1" hidden="1" outlineLevel="2" x14ac:dyDescent="0.25">
      <c r="A102" s="25"/>
      <c r="B102" s="11" t="str">
        <f>CONCATENATE("          ", "6243", " - ", "PAPER SUPPLIES")</f>
        <v xml:space="preserve">          6243 - PAPER SUPPLIES</v>
      </c>
      <c r="C102" s="11"/>
      <c r="D102" s="6">
        <v>65.489999999999995</v>
      </c>
      <c r="E102" s="2"/>
      <c r="F102" s="7">
        <f t="shared" si="79"/>
        <v>7.9794369580617154E-4</v>
      </c>
      <c r="G102" s="2"/>
      <c r="H102" s="6">
        <v>4864.68</v>
      </c>
      <c r="I102" s="2"/>
      <c r="J102" s="7">
        <f t="shared" si="80"/>
        <v>1.1856732682261241E-2</v>
      </c>
      <c r="K102" s="2"/>
      <c r="L102" s="6">
        <f t="shared" si="81"/>
        <v>-4799.1900000000005</v>
      </c>
      <c r="M102" s="2"/>
      <c r="N102" s="7">
        <f t="shared" si="82"/>
        <v>-0.98653765509756042</v>
      </c>
      <c r="O102" s="11"/>
      <c r="P102" s="6">
        <v>65.489999999999995</v>
      </c>
      <c r="Q102" s="2"/>
      <c r="R102" s="7">
        <f t="shared" si="83"/>
        <v>2.3703573082904303E-4</v>
      </c>
      <c r="S102" s="2"/>
      <c r="T102" s="6">
        <v>23710.929999999997</v>
      </c>
      <c r="U102" s="2"/>
      <c r="V102" s="7">
        <f t="shared" si="84"/>
        <v>6.7597852378159101E-3</v>
      </c>
      <c r="W102" s="2"/>
      <c r="X102" s="6">
        <f t="shared" si="85"/>
        <v>-23645.439999999995</v>
      </c>
      <c r="Y102" s="2"/>
      <c r="Z102" s="7">
        <f t="shared" si="86"/>
        <v>-0.99723798265188246</v>
      </c>
    </row>
    <row r="103" spans="1:26" s="24" customFormat="1" hidden="1" outlineLevel="2" x14ac:dyDescent="0.25">
      <c r="A103" s="25"/>
      <c r="B103" s="11" t="str">
        <f>CONCATENATE("          ", "6245", " - ", "PRINTING")</f>
        <v xml:space="preserve">          6245 - PRINTING</v>
      </c>
      <c r="C103" s="11"/>
      <c r="D103" s="6"/>
      <c r="E103" s="2"/>
      <c r="F103" s="7">
        <f t="shared" si="79"/>
        <v>0</v>
      </c>
      <c r="G103" s="2"/>
      <c r="H103" s="6">
        <v>260.38</v>
      </c>
      <c r="I103" s="2"/>
      <c r="J103" s="7">
        <f t="shared" si="80"/>
        <v>6.3462674951017984E-4</v>
      </c>
      <c r="K103" s="2"/>
      <c r="L103" s="6">
        <f t="shared" si="81"/>
        <v>-260.38</v>
      </c>
      <c r="M103" s="2"/>
      <c r="N103" s="7">
        <f t="shared" si="82"/>
        <v>-1</v>
      </c>
      <c r="O103" s="11"/>
      <c r="P103" s="6"/>
      <c r="Q103" s="2"/>
      <c r="R103" s="7">
        <f t="shared" si="83"/>
        <v>0</v>
      </c>
      <c r="S103" s="2"/>
      <c r="T103" s="6">
        <v>531.28</v>
      </c>
      <c r="U103" s="2"/>
      <c r="V103" s="7">
        <f t="shared" si="84"/>
        <v>1.5146342640912175E-4</v>
      </c>
      <c r="W103" s="2"/>
      <c r="X103" s="6">
        <f t="shared" si="85"/>
        <v>-531.28</v>
      </c>
      <c r="Y103" s="2"/>
      <c r="Z103" s="7">
        <f t="shared" si="86"/>
        <v>-1</v>
      </c>
    </row>
    <row r="104" spans="1:26" s="24" customFormat="1" hidden="1" outlineLevel="2" x14ac:dyDescent="0.25">
      <c r="A104" s="25"/>
      <c r="B104" s="11" t="str">
        <f>CONCATENATE("          ", "6247", " - ", "STORE SUPPLIES")</f>
        <v xml:space="preserve">          6247 - STORE SUPPLIES</v>
      </c>
      <c r="C104" s="11"/>
      <c r="D104" s="6"/>
      <c r="E104" s="2"/>
      <c r="F104" s="7">
        <f t="shared" si="79"/>
        <v>0</v>
      </c>
      <c r="G104" s="2"/>
      <c r="H104" s="6">
        <v>-615.96</v>
      </c>
      <c r="I104" s="2"/>
      <c r="J104" s="7">
        <f t="shared" si="80"/>
        <v>-1.5012854006770506E-3</v>
      </c>
      <c r="K104" s="2"/>
      <c r="L104" s="6">
        <f t="shared" si="81"/>
        <v>615.96</v>
      </c>
      <c r="M104" s="2"/>
      <c r="N104" s="7">
        <f t="shared" si="82"/>
        <v>-1</v>
      </c>
      <c r="O104" s="11"/>
      <c r="P104" s="6"/>
      <c r="Q104" s="2"/>
      <c r="R104" s="7">
        <f t="shared" si="83"/>
        <v>0</v>
      </c>
      <c r="S104" s="2"/>
      <c r="T104" s="6">
        <v>2776.61</v>
      </c>
      <c r="U104" s="2"/>
      <c r="V104" s="7">
        <f t="shared" si="84"/>
        <v>7.9158798449373508E-4</v>
      </c>
      <c r="W104" s="2"/>
      <c r="X104" s="6">
        <f t="shared" si="85"/>
        <v>-2776.61</v>
      </c>
      <c r="Y104" s="2"/>
      <c r="Z104" s="7">
        <f t="shared" si="86"/>
        <v>-1</v>
      </c>
    </row>
    <row r="105" spans="1:26" s="24" customFormat="1" hidden="1" outlineLevel="2" x14ac:dyDescent="0.25">
      <c r="A105" s="25"/>
      <c r="B105" s="11" t="str">
        <f>CONCATENATE("          ", "6248", " - ", "UNIFORMS")</f>
        <v xml:space="preserve">          6248 - UNIFORMS</v>
      </c>
      <c r="C105" s="11"/>
      <c r="D105" s="6"/>
      <c r="E105" s="2"/>
      <c r="F105" s="7">
        <f t="shared" si="79"/>
        <v>0</v>
      </c>
      <c r="G105" s="2"/>
      <c r="H105" s="6">
        <v>148.94999999999999</v>
      </c>
      <c r="I105" s="2"/>
      <c r="J105" s="7">
        <f t="shared" si="80"/>
        <v>3.6303730831684956E-4</v>
      </c>
      <c r="K105" s="2"/>
      <c r="L105" s="6">
        <f t="shared" si="81"/>
        <v>-148.94999999999999</v>
      </c>
      <c r="M105" s="2"/>
      <c r="N105" s="7">
        <f t="shared" si="82"/>
        <v>-1</v>
      </c>
      <c r="O105" s="11"/>
      <c r="P105" s="6"/>
      <c r="Q105" s="2"/>
      <c r="R105" s="7">
        <f t="shared" si="83"/>
        <v>0</v>
      </c>
      <c r="S105" s="2"/>
      <c r="T105" s="6">
        <v>3882.7</v>
      </c>
      <c r="U105" s="2"/>
      <c r="V105" s="7">
        <f t="shared" si="84"/>
        <v>1.1069248714777461E-3</v>
      </c>
      <c r="W105" s="2"/>
      <c r="X105" s="6">
        <f t="shared" si="85"/>
        <v>-3882.7</v>
      </c>
      <c r="Y105" s="2"/>
      <c r="Z105" s="7">
        <f t="shared" si="86"/>
        <v>-1</v>
      </c>
    </row>
    <row r="106" spans="1:26" s="26" customFormat="1" outlineLevel="1" collapsed="1" x14ac:dyDescent="0.25">
      <c r="A106" s="27"/>
      <c r="B106" s="13" t="str">
        <f>CONCATENATE("     ","Telephone/Data Lines                              ")</f>
        <v xml:space="preserve">     Telephone/Data Lines                              </v>
      </c>
      <c r="C106" s="13"/>
      <c r="D106" s="1">
        <f>SUM(OSRRefD22_21x_0)</f>
        <v>248</v>
      </c>
      <c r="E106" s="1"/>
      <c r="F106" s="5">
        <f t="shared" ref="F106:F113" si="87">IF(D$12=0,0,D106/D$12)</f>
        <v>3.0216832579009097E-3</v>
      </c>
      <c r="G106" s="1"/>
      <c r="H106" s="1">
        <f>SUM(OSRRefH22_21x_0)</f>
        <v>2863.61</v>
      </c>
      <c r="I106" s="1"/>
      <c r="J106" s="5">
        <f t="shared" ref="J106:J113" si="88">IF(H$12=0,0,H106/H$12)</f>
        <v>6.9795049779739085E-3</v>
      </c>
      <c r="K106" s="1"/>
      <c r="L106" s="1">
        <f t="shared" ref="L106:L113" si="89">+D106-H106</f>
        <v>-2615.61</v>
      </c>
      <c r="M106" s="1"/>
      <c r="N106" s="5">
        <f t="shared" ref="N106:N113" si="90">IF(H106=0,0,L106/H106)</f>
        <v>-0.91339602809041731</v>
      </c>
      <c r="O106" s="13"/>
      <c r="P106" s="1">
        <f>SUM(OSRRefP22_21x_0)</f>
        <v>4899.2700000000004</v>
      </c>
      <c r="Q106" s="1"/>
      <c r="R106" s="5">
        <f t="shared" ref="R106:R113" si="91">IF(P$12=0,0,P106/P$12)</f>
        <v>1.7732509466770588E-2</v>
      </c>
      <c r="S106" s="1"/>
      <c r="T106" s="1">
        <f>SUM(OSRRefT22_21x_0)</f>
        <v>13362.13</v>
      </c>
      <c r="U106" s="1"/>
      <c r="V106" s="5">
        <f t="shared" ref="V106:V113" si="92">IF(T$12=0,0,T106/T$12)</f>
        <v>3.8094300442781922E-3</v>
      </c>
      <c r="W106" s="1"/>
      <c r="X106" s="1">
        <f t="shared" ref="X106:X113" si="93">+P106-T106</f>
        <v>-8462.8599999999988</v>
      </c>
      <c r="Y106" s="1"/>
      <c r="Z106" s="5">
        <f t="shared" ref="Z106:Z113" si="94">IF(T106=0,0,X106/T106)</f>
        <v>-0.63334662961668531</v>
      </c>
    </row>
    <row r="107" spans="1:26" s="24" customFormat="1" hidden="1" outlineLevel="2" x14ac:dyDescent="0.25">
      <c r="A107" s="25"/>
      <c r="B107" s="11" t="str">
        <f>CONCATENATE("          ", "6309", " - ", "TELEPHONE")</f>
        <v xml:space="preserve">          6309 - TELEPHONE</v>
      </c>
      <c r="C107" s="11"/>
      <c r="D107" s="6">
        <v>248</v>
      </c>
      <c r="E107" s="2"/>
      <c r="F107" s="7">
        <f t="shared" si="87"/>
        <v>3.0216832579009097E-3</v>
      </c>
      <c r="G107" s="2"/>
      <c r="H107" s="6">
        <v>2863.61</v>
      </c>
      <c r="I107" s="2"/>
      <c r="J107" s="7">
        <f t="shared" si="88"/>
        <v>6.9795049779739085E-3</v>
      </c>
      <c r="K107" s="2"/>
      <c r="L107" s="6">
        <f t="shared" si="89"/>
        <v>-2615.61</v>
      </c>
      <c r="M107" s="2"/>
      <c r="N107" s="7">
        <f t="shared" si="90"/>
        <v>-0.91339602809041731</v>
      </c>
      <c r="O107" s="11"/>
      <c r="P107" s="6">
        <v>4899.2700000000004</v>
      </c>
      <c r="Q107" s="2"/>
      <c r="R107" s="7">
        <f t="shared" si="91"/>
        <v>1.7732509466770588E-2</v>
      </c>
      <c r="S107" s="2"/>
      <c r="T107" s="6">
        <v>13362.13</v>
      </c>
      <c r="U107" s="2"/>
      <c r="V107" s="7">
        <f t="shared" si="92"/>
        <v>3.8094300442781922E-3</v>
      </c>
      <c r="W107" s="2"/>
      <c r="X107" s="6">
        <f t="shared" si="93"/>
        <v>-8462.8599999999988</v>
      </c>
      <c r="Y107" s="2"/>
      <c r="Z107" s="7">
        <f t="shared" si="94"/>
        <v>-0.63334662961668531</v>
      </c>
    </row>
    <row r="108" spans="1:26" s="26" customFormat="1" outlineLevel="1" collapsed="1" x14ac:dyDescent="0.25">
      <c r="A108" s="27"/>
      <c r="B108" s="13" t="str">
        <f>CONCATENATE("     ","Training                                          ")</f>
        <v xml:space="preserve">     Training                                          </v>
      </c>
      <c r="C108" s="13"/>
      <c r="D108" s="1">
        <f>SUM(OSRRefD22_22x_0)</f>
        <v>0</v>
      </c>
      <c r="E108" s="1"/>
      <c r="F108" s="5">
        <f t="shared" si="87"/>
        <v>0</v>
      </c>
      <c r="G108" s="1"/>
      <c r="H108" s="1">
        <f>SUM(OSRRefH22_22x_0)</f>
        <v>0</v>
      </c>
      <c r="I108" s="1"/>
      <c r="J108" s="5">
        <f t="shared" si="88"/>
        <v>0</v>
      </c>
      <c r="K108" s="1"/>
      <c r="L108" s="1">
        <f t="shared" si="89"/>
        <v>0</v>
      </c>
      <c r="M108" s="1"/>
      <c r="N108" s="5">
        <f t="shared" si="90"/>
        <v>0</v>
      </c>
      <c r="O108" s="13"/>
      <c r="P108" s="1">
        <f>SUM(OSRRefP22_22x_0)</f>
        <v>400</v>
      </c>
      <c r="Q108" s="1"/>
      <c r="R108" s="5">
        <f t="shared" si="91"/>
        <v>1.4477674810141582E-3</v>
      </c>
      <c r="S108" s="1"/>
      <c r="T108" s="1">
        <f>SUM(OSRRefT22_22x_0)</f>
        <v>1811.5</v>
      </c>
      <c r="U108" s="1"/>
      <c r="V108" s="5">
        <f t="shared" si="92"/>
        <v>5.1644330097147279E-4</v>
      </c>
      <c r="W108" s="1"/>
      <c r="X108" s="1">
        <f t="shared" si="93"/>
        <v>-1411.5</v>
      </c>
      <c r="Y108" s="1"/>
      <c r="Z108" s="5">
        <f t="shared" si="94"/>
        <v>-0.77918851780292575</v>
      </c>
    </row>
    <row r="109" spans="1:26" s="24" customFormat="1" hidden="1" outlineLevel="2" x14ac:dyDescent="0.25">
      <c r="A109" s="25"/>
      <c r="B109" s="11" t="str">
        <f>CONCATENATE("          ", "6376", " - ", "TRAINING")</f>
        <v xml:space="preserve">          6376 - TRAINING</v>
      </c>
      <c r="C109" s="11"/>
      <c r="D109" s="6"/>
      <c r="E109" s="2"/>
      <c r="F109" s="7">
        <f t="shared" si="87"/>
        <v>0</v>
      </c>
      <c r="G109" s="2"/>
      <c r="H109" s="6"/>
      <c r="I109" s="2"/>
      <c r="J109" s="7">
        <f t="shared" si="88"/>
        <v>0</v>
      </c>
      <c r="K109" s="2"/>
      <c r="L109" s="6">
        <f t="shared" si="89"/>
        <v>0</v>
      </c>
      <c r="M109" s="2"/>
      <c r="N109" s="7">
        <f t="shared" si="90"/>
        <v>0</v>
      </c>
      <c r="O109" s="11"/>
      <c r="P109" s="6">
        <v>400</v>
      </c>
      <c r="Q109" s="2"/>
      <c r="R109" s="7">
        <f t="shared" si="91"/>
        <v>1.4477674810141582E-3</v>
      </c>
      <c r="S109" s="2"/>
      <c r="T109" s="6">
        <v>1811.5</v>
      </c>
      <c r="U109" s="2"/>
      <c r="V109" s="7">
        <f t="shared" si="92"/>
        <v>5.1644330097147279E-4</v>
      </c>
      <c r="W109" s="2"/>
      <c r="X109" s="6">
        <f t="shared" si="93"/>
        <v>-1411.5</v>
      </c>
      <c r="Y109" s="2"/>
      <c r="Z109" s="7">
        <f t="shared" si="94"/>
        <v>-0.77918851780292575</v>
      </c>
    </row>
    <row r="110" spans="1:26" s="26" customFormat="1" outlineLevel="1" collapsed="1" x14ac:dyDescent="0.25">
      <c r="A110" s="27"/>
      <c r="B110" s="13" t="str">
        <f>CONCATENATE("     ","Travel                                            ")</f>
        <v xml:space="preserve">     Travel                                            </v>
      </c>
      <c r="C110" s="13"/>
      <c r="D110" s="1">
        <f>SUM(OSRRefD22_23x_0)</f>
        <v>0</v>
      </c>
      <c r="E110" s="1"/>
      <c r="F110" s="5">
        <f t="shared" si="87"/>
        <v>0</v>
      </c>
      <c r="G110" s="1"/>
      <c r="H110" s="1">
        <f>SUM(OSRRefH22_23x_0)</f>
        <v>125.53</v>
      </c>
      <c r="I110" s="1"/>
      <c r="J110" s="5">
        <f t="shared" si="88"/>
        <v>3.0595551066139057E-4</v>
      </c>
      <c r="K110" s="1"/>
      <c r="L110" s="1">
        <f t="shared" si="89"/>
        <v>-125.53</v>
      </c>
      <c r="M110" s="1"/>
      <c r="N110" s="5">
        <f t="shared" si="90"/>
        <v>-1</v>
      </c>
      <c r="O110" s="13"/>
      <c r="P110" s="1">
        <f>SUM(OSRRefP22_23x_0)</f>
        <v>332.21</v>
      </c>
      <c r="Q110" s="1"/>
      <c r="R110" s="5">
        <f t="shared" si="91"/>
        <v>1.2024070871692837E-3</v>
      </c>
      <c r="S110" s="1"/>
      <c r="T110" s="1">
        <f>SUM(OSRRefT22_23x_0)</f>
        <v>3069.35</v>
      </c>
      <c r="U110" s="1"/>
      <c r="V110" s="5">
        <f t="shared" si="92"/>
        <v>8.7504567807716806E-4</v>
      </c>
      <c r="W110" s="1"/>
      <c r="X110" s="1">
        <f t="shared" si="93"/>
        <v>-2737.14</v>
      </c>
      <c r="Y110" s="1"/>
      <c r="Z110" s="5">
        <f t="shared" si="94"/>
        <v>-0.89176535748611263</v>
      </c>
    </row>
    <row r="111" spans="1:26" s="24" customFormat="1" hidden="1" outlineLevel="2" x14ac:dyDescent="0.25">
      <c r="A111" s="25"/>
      <c r="B111" s="11" t="str">
        <f>CONCATENATE("          ", "6292", " - ", "TRAVEL/CONFERENCE")</f>
        <v xml:space="preserve">          6292 - TRAVEL/CONFERENCE</v>
      </c>
      <c r="C111" s="11"/>
      <c r="D111" s="6"/>
      <c r="E111" s="2"/>
      <c r="F111" s="7">
        <f t="shared" si="87"/>
        <v>0</v>
      </c>
      <c r="G111" s="2"/>
      <c r="H111" s="6">
        <v>21.44</v>
      </c>
      <c r="I111" s="2"/>
      <c r="J111" s="7">
        <f t="shared" si="88"/>
        <v>5.2255924070582444E-5</v>
      </c>
      <c r="K111" s="2"/>
      <c r="L111" s="6">
        <f t="shared" si="89"/>
        <v>-21.44</v>
      </c>
      <c r="M111" s="2"/>
      <c r="N111" s="7">
        <f t="shared" si="90"/>
        <v>-1</v>
      </c>
      <c r="O111" s="11"/>
      <c r="P111" s="6"/>
      <c r="Q111" s="2"/>
      <c r="R111" s="7">
        <f t="shared" si="91"/>
        <v>0</v>
      </c>
      <c r="S111" s="2"/>
      <c r="T111" s="6">
        <v>2147.04</v>
      </c>
      <c r="U111" s="2"/>
      <c r="V111" s="7">
        <f t="shared" si="92"/>
        <v>6.1210291190603961E-4</v>
      </c>
      <c r="W111" s="2"/>
      <c r="X111" s="6">
        <f t="shared" si="93"/>
        <v>-2147.04</v>
      </c>
      <c r="Y111" s="2"/>
      <c r="Z111" s="7">
        <f t="shared" si="94"/>
        <v>-1</v>
      </c>
    </row>
    <row r="112" spans="1:26" s="24" customFormat="1" hidden="1" outlineLevel="2" x14ac:dyDescent="0.25">
      <c r="A112" s="25"/>
      <c r="B112" s="11" t="str">
        <f>CONCATENATE("          ", "6294", " - ", "TRAVEL OPERATIONAL")</f>
        <v xml:space="preserve">          6294 - TRAVEL OPERATIONAL</v>
      </c>
      <c r="C112" s="11"/>
      <c r="D112" s="6"/>
      <c r="E112" s="2"/>
      <c r="F112" s="7">
        <f t="shared" si="87"/>
        <v>0</v>
      </c>
      <c r="G112" s="2"/>
      <c r="H112" s="6"/>
      <c r="I112" s="2"/>
      <c r="J112" s="7">
        <f t="shared" si="88"/>
        <v>0</v>
      </c>
      <c r="K112" s="2"/>
      <c r="L112" s="6">
        <f t="shared" si="89"/>
        <v>0</v>
      </c>
      <c r="M112" s="2"/>
      <c r="N112" s="7">
        <f t="shared" si="90"/>
        <v>0</v>
      </c>
      <c r="O112" s="11"/>
      <c r="P112" s="6"/>
      <c r="Q112" s="2"/>
      <c r="R112" s="7">
        <f t="shared" si="91"/>
        <v>0</v>
      </c>
      <c r="S112" s="2"/>
      <c r="T112" s="6">
        <v>45.49</v>
      </c>
      <c r="U112" s="2"/>
      <c r="V112" s="7">
        <f t="shared" si="92"/>
        <v>1.2968813558483189E-5</v>
      </c>
      <c r="W112" s="2"/>
      <c r="X112" s="6">
        <f t="shared" si="93"/>
        <v>-45.49</v>
      </c>
      <c r="Y112" s="2"/>
      <c r="Z112" s="7">
        <f t="shared" si="94"/>
        <v>-1</v>
      </c>
    </row>
    <row r="113" spans="1:26" s="24" customFormat="1" hidden="1" outlineLevel="2" x14ac:dyDescent="0.25">
      <c r="A113" s="25"/>
      <c r="B113" s="11" t="str">
        <f>CONCATENATE("          ", "6298", " - ", "VEHICLE MILEAGE")</f>
        <v xml:space="preserve">          6298 - VEHICLE MILEAGE</v>
      </c>
      <c r="C113" s="11"/>
      <c r="D113" s="6"/>
      <c r="E113" s="2"/>
      <c r="F113" s="7">
        <f t="shared" si="87"/>
        <v>0</v>
      </c>
      <c r="G113" s="2"/>
      <c r="H113" s="6">
        <v>104.09</v>
      </c>
      <c r="I113" s="2"/>
      <c r="J113" s="7">
        <f t="shared" si="88"/>
        <v>2.5369958659080812E-4</v>
      </c>
      <c r="K113" s="2"/>
      <c r="L113" s="6">
        <f t="shared" si="89"/>
        <v>-104.09</v>
      </c>
      <c r="M113" s="2"/>
      <c r="N113" s="7">
        <f t="shared" si="90"/>
        <v>-1</v>
      </c>
      <c r="O113" s="11"/>
      <c r="P113" s="6">
        <v>332.21</v>
      </c>
      <c r="Q113" s="2"/>
      <c r="R113" s="7">
        <f t="shared" si="91"/>
        <v>1.2024070871692837E-3</v>
      </c>
      <c r="S113" s="2"/>
      <c r="T113" s="6">
        <v>876.82</v>
      </c>
      <c r="U113" s="2"/>
      <c r="V113" s="7">
        <f t="shared" si="92"/>
        <v>2.4997395261264519E-4</v>
      </c>
      <c r="W113" s="2"/>
      <c r="X113" s="6">
        <f t="shared" si="93"/>
        <v>-544.61000000000013</v>
      </c>
      <c r="Y113" s="2"/>
      <c r="Z113" s="7">
        <f t="shared" si="94"/>
        <v>-0.62111950001140492</v>
      </c>
    </row>
    <row r="114" spans="1:26" s="26" customFormat="1" outlineLevel="1" collapsed="1" x14ac:dyDescent="0.25">
      <c r="A114" s="27"/>
      <c r="B114" s="13" t="str">
        <f>CONCATENATE("     ","Utilities                                         ")</f>
        <v xml:space="preserve">     Utilities                                         </v>
      </c>
      <c r="C114" s="13"/>
      <c r="D114" s="1">
        <f>SUM(OSRRefD22_24x_0)</f>
        <v>3660</v>
      </c>
      <c r="E114" s="1"/>
      <c r="F114" s="5">
        <f t="shared" ref="F114:F115" si="95">IF(D$12=0,0,D114/D$12)</f>
        <v>4.4594196467408587E-2</v>
      </c>
      <c r="G114" s="1"/>
      <c r="H114" s="1">
        <f>SUM(OSRRefH22_24x_0)</f>
        <v>15583</v>
      </c>
      <c r="I114" s="1"/>
      <c r="J114" s="5">
        <f t="shared" ref="J114:J115" si="96">IF(H$12=0,0,H114/H$12)</f>
        <v>3.7980600036934993E-2</v>
      </c>
      <c r="K114" s="1"/>
      <c r="L114" s="1">
        <f t="shared" ref="L114:L115" si="97">+D114-H114</f>
        <v>-11923</v>
      </c>
      <c r="M114" s="1"/>
      <c r="N114" s="5">
        <f t="shared" ref="N114:N115" si="98">IF(H114=0,0,L114/H114)</f>
        <v>-0.765128665853815</v>
      </c>
      <c r="O114" s="13"/>
      <c r="P114" s="1">
        <f>SUM(OSRRefP22_24x_0)</f>
        <v>4652</v>
      </c>
      <c r="Q114" s="1"/>
      <c r="R114" s="5">
        <f t="shared" ref="R114:R115" si="99">IF(P$12=0,0,P114/P$12)</f>
        <v>1.6837535804194659E-2</v>
      </c>
      <c r="S114" s="1"/>
      <c r="T114" s="1">
        <f>SUM(OSRRefT22_24x_0)</f>
        <v>112470</v>
      </c>
      <c r="U114" s="1"/>
      <c r="V114" s="5">
        <f t="shared" ref="V114:V115" si="100">IF(T$12=0,0,T114/T$12)</f>
        <v>3.2064244029953927E-2</v>
      </c>
      <c r="W114" s="1"/>
      <c r="X114" s="1">
        <f t="shared" ref="X114:X115" si="101">+P114-T114</f>
        <v>-107818</v>
      </c>
      <c r="Y114" s="1"/>
      <c r="Z114" s="5">
        <f t="shared" ref="Z114:Z115" si="102">IF(T114=0,0,X114/T114)</f>
        <v>-0.95863785898461817</v>
      </c>
    </row>
    <row r="115" spans="1:26" s="24" customFormat="1" hidden="1" outlineLevel="2" x14ac:dyDescent="0.25">
      <c r="A115" s="25"/>
      <c r="B115" s="11" t="str">
        <f>CONCATENATE("          ", "6274", " - ", "UTILITIES")</f>
        <v xml:space="preserve">          6274 - UTILITIES</v>
      </c>
      <c r="C115" s="11"/>
      <c r="D115" s="6">
        <v>3660</v>
      </c>
      <c r="E115" s="2"/>
      <c r="F115" s="7">
        <f t="shared" si="95"/>
        <v>4.4594196467408587E-2</v>
      </c>
      <c r="G115" s="2"/>
      <c r="H115" s="6">
        <v>15583</v>
      </c>
      <c r="I115" s="2"/>
      <c r="J115" s="7">
        <f t="shared" si="96"/>
        <v>3.7980600036934993E-2</v>
      </c>
      <c r="K115" s="2"/>
      <c r="L115" s="6">
        <f t="shared" si="97"/>
        <v>-11923</v>
      </c>
      <c r="M115" s="2"/>
      <c r="N115" s="7">
        <f t="shared" si="98"/>
        <v>-0.765128665853815</v>
      </c>
      <c r="O115" s="11"/>
      <c r="P115" s="6">
        <v>4652</v>
      </c>
      <c r="Q115" s="2"/>
      <c r="R115" s="7">
        <f t="shared" si="99"/>
        <v>1.6837535804194659E-2</v>
      </c>
      <c r="S115" s="2"/>
      <c r="T115" s="6">
        <v>112470</v>
      </c>
      <c r="U115" s="2"/>
      <c r="V115" s="7">
        <f t="shared" si="100"/>
        <v>3.2064244029953927E-2</v>
      </c>
      <c r="W115" s="2"/>
      <c r="X115" s="6">
        <f t="shared" si="101"/>
        <v>-107818</v>
      </c>
      <c r="Y115" s="2"/>
      <c r="Z115" s="7">
        <f t="shared" si="102"/>
        <v>-0.95863785898461817</v>
      </c>
    </row>
    <row r="116" spans="1:26" s="61" customFormat="1" x14ac:dyDescent="0.25">
      <c r="A116" s="37"/>
      <c r="B116" s="37"/>
      <c r="C116" s="37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7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collapsed="1" x14ac:dyDescent="0.25">
      <c r="A117" s="10"/>
      <c r="B117" s="29" t="s">
        <v>0</v>
      </c>
      <c r="C117" s="10"/>
      <c r="D117" s="4">
        <f>SUM(OSRRefD25x_0)</f>
        <v>976.87</v>
      </c>
      <c r="E117" s="4"/>
      <c r="F117" s="12">
        <f t="shared" ref="F117:F120" si="103">IF(D$12=0,0,D117/D$12)</f>
        <v>1.1902385984458313E-2</v>
      </c>
      <c r="G117" s="4"/>
      <c r="H117" s="4">
        <f>SUM(OSRRefH25x_0)</f>
        <v>65507.39</v>
      </c>
      <c r="I117" s="4"/>
      <c r="J117" s="12">
        <f t="shared" ref="J117:J120" si="104">IF(H$12=0,0,H117/H$12)</f>
        <v>0.15966180960363954</v>
      </c>
      <c r="K117" s="4"/>
      <c r="L117" s="4">
        <f t="shared" ref="L117:L120" si="105">+D117-H117</f>
        <v>-64530.52</v>
      </c>
      <c r="M117" s="4"/>
      <c r="N117" s="12">
        <f t="shared" ref="N117:N120" si="106">IF(H117=0,0,L117/H117)</f>
        <v>-0.98508763667732746</v>
      </c>
      <c r="O117" s="10"/>
      <c r="P117" s="4">
        <f>SUM(OSRRefP25x_0)</f>
        <v>16348.34</v>
      </c>
      <c r="Q117" s="4"/>
      <c r="R117" s="12">
        <f t="shared" ref="R117:R120" si="107">IF(P$12=0,0,P117/P$12)</f>
        <v>5.9171487551407505E-2</v>
      </c>
      <c r="S117" s="4"/>
      <c r="T117" s="4">
        <f>SUM(OSRRefT25x_0)</f>
        <v>579944.91999999993</v>
      </c>
      <c r="U117" s="4"/>
      <c r="V117" s="12">
        <f t="shared" ref="V117:V120" si="108">IF(T$12=0,0,T117/T$12)</f>
        <v>0.16533738275817647</v>
      </c>
      <c r="W117" s="4"/>
      <c r="X117" s="4">
        <f t="shared" ref="X117:X120" si="109">+P117-T117</f>
        <v>-563596.57999999996</v>
      </c>
      <c r="Y117" s="4"/>
      <c r="Z117" s="12">
        <f t="shared" ref="Z117:Z120" si="110">IF(T117=0,0,X117/T117)</f>
        <v>-0.97181052986894001</v>
      </c>
    </row>
    <row r="118" spans="1:26" s="24" customFormat="1" hidden="1" outlineLevel="1" x14ac:dyDescent="0.25">
      <c r="A118" s="44"/>
      <c r="B118" s="11" t="str">
        <f>CONCATENATE("          ", "9150", " - ", "MISC. INCOME")</f>
        <v xml:space="preserve">          9150 - MISC. INCOME</v>
      </c>
      <c r="C118" s="11"/>
      <c r="D118" s="2">
        <f>0</f>
        <v>0</v>
      </c>
      <c r="E118" s="2"/>
      <c r="F118" s="19">
        <f t="shared" si="103"/>
        <v>0</v>
      </c>
      <c r="G118" s="2"/>
      <c r="H118" s="2">
        <f>--47160.59</f>
        <v>47160.59</v>
      </c>
      <c r="I118" s="2"/>
      <c r="J118" s="19">
        <f t="shared" si="104"/>
        <v>0.11494497248898645</v>
      </c>
      <c r="K118" s="2"/>
      <c r="L118" s="2">
        <f t="shared" si="105"/>
        <v>-47160.59</v>
      </c>
      <c r="M118" s="2"/>
      <c r="N118" s="19">
        <f t="shared" si="106"/>
        <v>-1</v>
      </c>
      <c r="O118" s="11"/>
      <c r="P118" s="2">
        <f>--1728.05</f>
        <v>1728.05</v>
      </c>
      <c r="Q118" s="2"/>
      <c r="R118" s="19">
        <f t="shared" si="107"/>
        <v>6.25453648891629E-3</v>
      </c>
      <c r="S118" s="2"/>
      <c r="T118" s="2">
        <f>--230131.86</f>
        <v>230131.86</v>
      </c>
      <c r="U118" s="2"/>
      <c r="V118" s="19">
        <f t="shared" si="108"/>
        <v>6.5608643354736304E-2</v>
      </c>
      <c r="W118" s="2"/>
      <c r="X118" s="2">
        <f t="shared" si="109"/>
        <v>-228403.81</v>
      </c>
      <c r="Y118" s="2"/>
      <c r="Z118" s="19">
        <f t="shared" si="110"/>
        <v>-0.99249104404752997</v>
      </c>
    </row>
    <row r="119" spans="1:26" s="24" customFormat="1" hidden="1" outlineLevel="1" x14ac:dyDescent="0.25">
      <c r="A119" s="44"/>
      <c r="B119" s="11" t="str">
        <f>CONCATENATE("          ", "9160", " - ", "MISC. INCOME")</f>
        <v xml:space="preserve">          9160 - MISC. INCOME</v>
      </c>
      <c r="C119" s="11"/>
      <c r="D119" s="2">
        <f>--189.92</f>
        <v>189.92</v>
      </c>
      <c r="E119" s="2"/>
      <c r="F119" s="19">
        <f t="shared" si="103"/>
        <v>2.3140245336312126E-3</v>
      </c>
      <c r="G119" s="2"/>
      <c r="H119" s="2">
        <f>--18346.8</f>
        <v>18346.8</v>
      </c>
      <c r="I119" s="2"/>
      <c r="J119" s="19">
        <f t="shared" si="104"/>
        <v>4.4716837114653074E-2</v>
      </c>
      <c r="K119" s="2"/>
      <c r="L119" s="2">
        <f t="shared" si="105"/>
        <v>-18156.88</v>
      </c>
      <c r="M119" s="2"/>
      <c r="N119" s="19">
        <f t="shared" si="106"/>
        <v>-0.98964833104410588</v>
      </c>
      <c r="O119" s="11"/>
      <c r="P119" s="2">
        <f>--12518.17</f>
        <v>12518.17</v>
      </c>
      <c r="Q119" s="2"/>
      <c r="R119" s="19">
        <f t="shared" si="107"/>
        <v>4.5308498619517509E-2</v>
      </c>
      <c r="S119" s="2"/>
      <c r="T119" s="2">
        <f>--122397</f>
        <v>122397</v>
      </c>
      <c r="U119" s="2"/>
      <c r="V119" s="19">
        <f t="shared" si="108"/>
        <v>3.4894347617447058E-2</v>
      </c>
      <c r="W119" s="2"/>
      <c r="X119" s="2">
        <f t="shared" si="109"/>
        <v>-109878.83</v>
      </c>
      <c r="Y119" s="2"/>
      <c r="Z119" s="19">
        <f t="shared" si="110"/>
        <v>-0.89772486253748052</v>
      </c>
    </row>
    <row r="120" spans="1:26" s="24" customFormat="1" hidden="1" outlineLevel="1" x14ac:dyDescent="0.25">
      <c r="A120" s="44"/>
      <c r="B120" s="11" t="str">
        <f>CONCATENATE("          ", "9165", " - ", "OTHER INCOME")</f>
        <v xml:space="preserve">          9165 - OTHER INCOME</v>
      </c>
      <c r="C120" s="11"/>
      <c r="D120" s="2">
        <f>--786.95</f>
        <v>786.95</v>
      </c>
      <c r="E120" s="2"/>
      <c r="F120" s="19">
        <f t="shared" si="103"/>
        <v>9.5883614508270997E-3</v>
      </c>
      <c r="G120" s="2"/>
      <c r="H120" s="2">
        <f>0</f>
        <v>0</v>
      </c>
      <c r="I120" s="2"/>
      <c r="J120" s="19">
        <f t="shared" si="104"/>
        <v>0</v>
      </c>
      <c r="K120" s="2"/>
      <c r="L120" s="2">
        <f t="shared" si="105"/>
        <v>786.95</v>
      </c>
      <c r="M120" s="2"/>
      <c r="N120" s="19">
        <f t="shared" si="106"/>
        <v>0</v>
      </c>
      <c r="O120" s="11"/>
      <c r="P120" s="2">
        <f>--2102.12</f>
        <v>2102.12</v>
      </c>
      <c r="Q120" s="2"/>
      <c r="R120" s="19">
        <f t="shared" si="107"/>
        <v>7.6084524429737045E-3</v>
      </c>
      <c r="S120" s="2"/>
      <c r="T120" s="2">
        <f>--227416.06</f>
        <v>227416.06</v>
      </c>
      <c r="U120" s="2"/>
      <c r="V120" s="19">
        <f t="shared" si="108"/>
        <v>6.4834391785993109E-2</v>
      </c>
      <c r="W120" s="2"/>
      <c r="X120" s="2">
        <f t="shared" si="109"/>
        <v>-225313.94</v>
      </c>
      <c r="Y120" s="2"/>
      <c r="Z120" s="19">
        <f t="shared" si="110"/>
        <v>-0.99075650154171169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10"/>
      <c r="B122" s="28" t="s">
        <v>3</v>
      </c>
      <c r="C122" s="28"/>
      <c r="D122" s="20">
        <f>+D27-D29+D117</f>
        <v>-30180.220000000012</v>
      </c>
      <c r="E122" s="14"/>
      <c r="F122" s="22">
        <f>IF(D$12=0,0,D122/D$12)</f>
        <v>-0.36772203828131544</v>
      </c>
      <c r="G122" s="14"/>
      <c r="H122" s="20">
        <f>+H27-H29+H117</f>
        <v>-189307.87000000005</v>
      </c>
      <c r="I122" s="14"/>
      <c r="J122" s="22">
        <f>IF(H$12=0,0,H122/H$12)</f>
        <v>-0.46140194406173951</v>
      </c>
      <c r="K122" s="15"/>
      <c r="L122" s="20">
        <f>+D122-H122</f>
        <v>159127.65000000005</v>
      </c>
      <c r="M122" s="15"/>
      <c r="N122" s="22">
        <f>IF(H122=0,0,L122/H122)</f>
        <v>-0.84057598873200579</v>
      </c>
      <c r="O122" s="29"/>
      <c r="P122" s="20">
        <f>+P27-P29+P117</f>
        <v>-514290.7</v>
      </c>
      <c r="Q122" s="14"/>
      <c r="R122" s="22">
        <f>IF(P$12=0,0,P122/P$12)</f>
        <v>-1.8614333781200203</v>
      </c>
      <c r="S122" s="14"/>
      <c r="T122" s="20">
        <f>+T27-T29+T117</f>
        <v>-463679.3200000017</v>
      </c>
      <c r="U122" s="14"/>
      <c r="V122" s="22">
        <f>IF(T$12=0,0,T122/T$12)</f>
        <v>-0.13219104532873791</v>
      </c>
      <c r="W122" s="15"/>
      <c r="X122" s="20">
        <f>+P122-T122</f>
        <v>-50611.379999998317</v>
      </c>
      <c r="Y122" s="15"/>
      <c r="Z122" s="22">
        <f>IF(T122=0,0,X122/T122)</f>
        <v>0.10915168698918497</v>
      </c>
    </row>
    <row r="123" spans="1:26" x14ac:dyDescent="0.25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51"/>
      <c r="B124" s="10" t="s">
        <v>13</v>
      </c>
      <c r="C124" s="10"/>
      <c r="D124" s="4">
        <v>14219.8</v>
      </c>
      <c r="E124" s="4"/>
      <c r="F124" s="12">
        <f>IF(D$12=0,0,D124/D$12)</f>
        <v>0.17325698222056191</v>
      </c>
      <c r="G124" s="4"/>
      <c r="H124" s="4">
        <v>31259.329999999998</v>
      </c>
      <c r="I124" s="4"/>
      <c r="J124" s="12">
        <f>IF(H$12=0,0,H124/H$12)</f>
        <v>7.6188674206029844E-2</v>
      </c>
      <c r="K124" s="4"/>
      <c r="L124" s="4">
        <f>+D124-H124</f>
        <v>-17039.53</v>
      </c>
      <c r="M124" s="4"/>
      <c r="N124" s="12">
        <f>IF(H124=0,0,L124/H124)</f>
        <v>-0.54510221428290373</v>
      </c>
      <c r="O124" s="10"/>
      <c r="P124" s="4">
        <v>50153.5</v>
      </c>
      <c r="Q124" s="4"/>
      <c r="R124" s="12">
        <f>IF(P$12=0,0,P124/P$12)</f>
        <v>0.18152651589760896</v>
      </c>
      <c r="S124" s="4"/>
      <c r="T124" s="4">
        <v>365797.74</v>
      </c>
      <c r="U124" s="4"/>
      <c r="V124" s="12">
        <f>IF(T$12=0,0,T124/T$12)</f>
        <v>0.10428583623157854</v>
      </c>
      <c r="W124" s="4"/>
      <c r="X124" s="4">
        <f>+P124-T124</f>
        <v>-315644.24</v>
      </c>
      <c r="Y124" s="4"/>
      <c r="Z124" s="12">
        <f>IF(T124=0,0,X124/T124)</f>
        <v>-0.86289281065541845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8" t="s">
        <v>4</v>
      </c>
      <c r="C126" s="28"/>
      <c r="D126" s="30">
        <f>+D122-D124</f>
        <v>-44400.020000000011</v>
      </c>
      <c r="E126" s="14"/>
      <c r="F126" s="36">
        <f>IF(D$12=0,0,D126/D$12)</f>
        <v>-0.54097902050187729</v>
      </c>
      <c r="G126" s="14"/>
      <c r="H126" s="30">
        <f>+H122-H124</f>
        <v>-220567.20000000004</v>
      </c>
      <c r="I126" s="14"/>
      <c r="J126" s="36">
        <f>IF(H$12=0,0,H126/H$12)</f>
        <v>-0.53759061826776933</v>
      </c>
      <c r="K126" s="15"/>
      <c r="L126" s="30">
        <f>D126-H126</f>
        <v>176167.18000000002</v>
      </c>
      <c r="M126" s="15"/>
      <c r="N126" s="36">
        <f>IF(H126=0,0,L126/H126)</f>
        <v>-0.79870071343336624</v>
      </c>
      <c r="O126" s="29"/>
      <c r="P126" s="30">
        <f>+P122-P124</f>
        <v>-564444.19999999995</v>
      </c>
      <c r="Q126" s="14"/>
      <c r="R126" s="36">
        <f>IF(P$12=0,0,P126/P$12)</f>
        <v>-2.042959894017629</v>
      </c>
      <c r="S126" s="14"/>
      <c r="T126" s="30">
        <f>+T122-T124</f>
        <v>-829477.06000000169</v>
      </c>
      <c r="U126" s="14"/>
      <c r="V126" s="36">
        <f>IF(T$12=0,0,T126/T$12)</f>
        <v>-0.23647688156031643</v>
      </c>
      <c r="W126" s="15"/>
      <c r="X126" s="30">
        <f>P126-T126</f>
        <v>265032.86000000173</v>
      </c>
      <c r="Y126" s="15"/>
      <c r="Z126" s="36">
        <f>IF(T126=0,0,X126/T126)</f>
        <v>-0.31951801054028089</v>
      </c>
    </row>
    <row r="127" spans="1:26" ht="15.75" thickTop="1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8" t="s">
        <v>5</v>
      </c>
      <c r="C129" s="28"/>
      <c r="D129" s="32">
        <f>SUM(D126:D128)</f>
        <v>-44400.020000000011</v>
      </c>
      <c r="E129" s="14"/>
      <c r="F129" s="31">
        <f>IF(D$12=0,0,D129/D$12)</f>
        <v>-0.54097902050187729</v>
      </c>
      <c r="G129" s="14"/>
      <c r="H129" s="32">
        <f>SUM(H126:H128)</f>
        <v>-220567.20000000004</v>
      </c>
      <c r="I129" s="14"/>
      <c r="J129" s="31">
        <f>IF(H$12=0,0,H129/H$12)</f>
        <v>-0.53759061826776933</v>
      </c>
      <c r="K129" s="15"/>
      <c r="L129" s="32">
        <f>+D129-H129</f>
        <v>176167.18000000002</v>
      </c>
      <c r="M129" s="15"/>
      <c r="N129" s="31">
        <f>IF(H129=0,0,L129/H129)</f>
        <v>-0.79870071343336624</v>
      </c>
      <c r="O129" s="29"/>
      <c r="P129" s="32">
        <f>SUM(P126:P128)</f>
        <v>-564444.19999999995</v>
      </c>
      <c r="Q129" s="14"/>
      <c r="R129" s="31">
        <f>IF(P$12=0,0,P129/P$12)</f>
        <v>-2.042959894017629</v>
      </c>
      <c r="S129" s="14"/>
      <c r="T129" s="32">
        <f>SUM(T126:T128)</f>
        <v>-829477.06000000169</v>
      </c>
      <c r="U129" s="14"/>
      <c r="V129" s="31">
        <f>IF(T$12=0,0,T129/T$12)</f>
        <v>-0.23647688156031643</v>
      </c>
      <c r="W129" s="15"/>
      <c r="X129" s="32">
        <f>+P129-T129</f>
        <v>265032.86000000173</v>
      </c>
      <c r="Y129" s="15"/>
      <c r="Z129" s="31">
        <f>IF(T129=0,0,X129/T129)</f>
        <v>-0.31951801054028089</v>
      </c>
    </row>
    <row r="130" spans="1:26" ht="15.75" thickTop="1" x14ac:dyDescent="0.25">
      <c r="A130" s="9"/>
      <c r="C130" s="9"/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  <row r="131" spans="1:26" x14ac:dyDescent="0.25">
      <c r="A131" s="9"/>
      <c r="B131" s="62">
        <v>44238.495961307868</v>
      </c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6" x14ac:dyDescent="0.25">
      <c r="A132" s="9"/>
      <c r="B132" s="59" t="s">
        <v>313</v>
      </c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6" x14ac:dyDescent="0.25">
      <c r="A133" s="9"/>
      <c r="B133" s="56"/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  <row r="134" spans="1:26" x14ac:dyDescent="0.25">
      <c r="D134" s="18"/>
      <c r="E134" s="18"/>
      <c r="G134" s="18"/>
      <c r="H134" s="18"/>
      <c r="I134" s="18"/>
      <c r="J134" s="42"/>
      <c r="K134" s="18"/>
      <c r="L134" s="18"/>
      <c r="M134" s="18"/>
      <c r="P134" s="18"/>
      <c r="Q134" s="18"/>
      <c r="R134" s="42"/>
      <c r="S134" s="18"/>
      <c r="T134" s="18"/>
      <c r="U134" s="18"/>
      <c r="V134" s="42"/>
      <c r="W134" s="18"/>
      <c r="X134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","405", " - ", "Library Starbucks")</f>
        <v>Department 405 - Library Starbucks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50349.219999999994</v>
      </c>
      <c r="I12" s="4"/>
      <c r="J12" s="12"/>
      <c r="K12" s="4"/>
      <c r="L12" s="4">
        <f t="shared" ref="L12:L14" si="0">+D12-H12</f>
        <v>-50349.219999999994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556783.11</v>
      </c>
      <c r="U12" s="4"/>
      <c r="V12" s="12"/>
      <c r="W12" s="4"/>
      <c r="X12" s="4">
        <f t="shared" ref="X12:X14" si="2">+P12-T12</f>
        <v>-556783.11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--10414.63</f>
        <v>10414.629999999999</v>
      </c>
      <c r="I13" s="2"/>
      <c r="J13" s="19"/>
      <c r="K13" s="2"/>
      <c r="L13" s="2">
        <f t="shared" si="0"/>
        <v>-10414.629999999999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--120766.35</f>
        <v>120766.35</v>
      </c>
      <c r="U13" s="2"/>
      <c r="V13" s="19"/>
      <c r="W13" s="2"/>
      <c r="X13" s="2">
        <f t="shared" si="2"/>
        <v>-120766.35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--39934.59</f>
        <v>39934.589999999997</v>
      </c>
      <c r="I14" s="2"/>
      <c r="J14" s="19"/>
      <c r="K14" s="2"/>
      <c r="L14" s="2">
        <f t="shared" si="0"/>
        <v>-39934.589999999997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--436016.76</f>
        <v>436016.76</v>
      </c>
      <c r="U14" s="2"/>
      <c r="V14" s="19"/>
      <c r="W14" s="2"/>
      <c r="X14" s="2">
        <f t="shared" si="2"/>
        <v>-436016.76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26579.14</v>
      </c>
      <c r="I16" s="4"/>
      <c r="J16" s="12">
        <f t="shared" ref="J16:J18" si="7">IF(H$12=0,0,H16/H$12)</f>
        <v>0.52789576482018996</v>
      </c>
      <c r="K16" s="4"/>
      <c r="L16" s="4">
        <f t="shared" ref="L16:L18" si="8">+D16-H16</f>
        <v>-26579.14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220718.19</v>
      </c>
      <c r="U16" s="4"/>
      <c r="V16" s="12">
        <f t="shared" ref="V16:V18" si="11">IF(T$12=0,0,T16/T$12)</f>
        <v>0.39641682018694857</v>
      </c>
      <c r="W16" s="4"/>
      <c r="X16" s="4">
        <f t="shared" ref="X16:X18" si="12">+P16-T16</f>
        <v>-220718.19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18827.14</v>
      </c>
      <c r="I17" s="2"/>
      <c r="J17" s="19">
        <f t="shared" si="7"/>
        <v>0.3739311155167846</v>
      </c>
      <c r="K17" s="2"/>
      <c r="L17" s="2">
        <f t="shared" si="8"/>
        <v>-18827.14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221568.19</v>
      </c>
      <c r="U17" s="2"/>
      <c r="V17" s="19">
        <f t="shared" si="11"/>
        <v>0.39794344695549405</v>
      </c>
      <c r="W17" s="2"/>
      <c r="X17" s="2">
        <f t="shared" si="12"/>
        <v>-221568.19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7752</v>
      </c>
      <c r="I18" s="2"/>
      <c r="J18" s="19">
        <f t="shared" si="7"/>
        <v>0.15396464930340531</v>
      </c>
      <c r="K18" s="2"/>
      <c r="L18" s="2">
        <f t="shared" si="8"/>
        <v>-7752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-850</v>
      </c>
      <c r="U18" s="2"/>
      <c r="V18" s="19">
        <f t="shared" si="11"/>
        <v>-1.5266267685454754E-3</v>
      </c>
      <c r="W18" s="2"/>
      <c r="X18" s="2">
        <f t="shared" si="12"/>
        <v>850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23770.079999999994</v>
      </c>
      <c r="I20" s="14"/>
      <c r="J20" s="22">
        <f>IF(H$12=0,0,H20/H$12)</f>
        <v>0.47210423517981009</v>
      </c>
      <c r="K20" s="15"/>
      <c r="L20" s="20">
        <f>+D20-H20</f>
        <v>-23770.079999999994</v>
      </c>
      <c r="M20" s="15"/>
      <c r="N20" s="22">
        <f>IF(H20=0,0,L20/H20)</f>
        <v>-1</v>
      </c>
      <c r="O20" s="29"/>
      <c r="P20" s="20">
        <f>P12-P16</f>
        <v>0</v>
      </c>
      <c r="Q20" s="14"/>
      <c r="R20" s="22">
        <f>IF(P$12=0,0,P20/P$12)</f>
        <v>0</v>
      </c>
      <c r="S20" s="14"/>
      <c r="T20" s="20">
        <f>T12-T16</f>
        <v>336064.92</v>
      </c>
      <c r="U20" s="14"/>
      <c r="V20" s="22">
        <f>IF(T$12=0,0,T20/T$12)</f>
        <v>0.60358317981305143</v>
      </c>
      <c r="W20" s="15"/>
      <c r="X20" s="20">
        <f>+P20-T20</f>
        <v>-336064.92</v>
      </c>
      <c r="Y20" s="15"/>
      <c r="Z20" s="22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5696.01</v>
      </c>
      <c r="E22" s="21"/>
      <c r="F22" s="35">
        <f t="shared" ref="F22:F31" si="14">IF(D$12=0,0,D22/D$12)</f>
        <v>0</v>
      </c>
      <c r="G22" s="21"/>
      <c r="H22" s="21">
        <f>SUM(OSRRefH22x_0)</f>
        <v>50792.89999999998</v>
      </c>
      <c r="I22" s="21"/>
      <c r="J22" s="35">
        <f t="shared" ref="J22:J31" si="15">IF(H$12=0,0,H22/H$12)</f>
        <v>1.0088120530963536</v>
      </c>
      <c r="K22" s="4"/>
      <c r="L22" s="21">
        <f t="shared" ref="L22:L31" si="16">+D22-H22</f>
        <v>-45096.889999999978</v>
      </c>
      <c r="M22" s="4"/>
      <c r="N22" s="35">
        <f t="shared" ref="N22:N31" si="17">IF(H22=0,0,L22/H22)</f>
        <v>-0.88785814552821352</v>
      </c>
      <c r="O22" s="10"/>
      <c r="P22" s="21">
        <f>SUM(OSRRefP22x_0)</f>
        <v>50886.05000000001</v>
      </c>
      <c r="Q22" s="21"/>
      <c r="R22" s="35">
        <f t="shared" ref="R22:R31" si="18">IF(P$12=0,0,P22/P$12)</f>
        <v>0</v>
      </c>
      <c r="S22" s="21"/>
      <c r="T22" s="21">
        <f>SUM(OSRRefT22x_0)</f>
        <v>389078.85999999993</v>
      </c>
      <c r="U22" s="21"/>
      <c r="V22" s="35">
        <f t="shared" ref="V22:V31" si="19">IF(T$12=0,0,T22/T$12)</f>
        <v>0.69879788558959688</v>
      </c>
      <c r="W22" s="4"/>
      <c r="X22" s="21">
        <f t="shared" ref="X22:X31" si="20">+P22-T22</f>
        <v>-338192.80999999994</v>
      </c>
      <c r="Y22" s="4"/>
      <c r="Z22" s="35">
        <f t="shared" ref="Z22:Z31" si="21">IF(T22=0,0,X22/T22)</f>
        <v>-0.86921404570785465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4873.3600000000006</v>
      </c>
      <c r="I23" s="1"/>
      <c r="J23" s="5">
        <f t="shared" si="15"/>
        <v>9.6791171740098478E-2</v>
      </c>
      <c r="K23" s="1"/>
      <c r="L23" s="1">
        <f t="shared" si="16"/>
        <v>-4873.3600000000006</v>
      </c>
      <c r="M23" s="1"/>
      <c r="N23" s="5">
        <f t="shared" si="17"/>
        <v>-1</v>
      </c>
      <c r="O23" s="13"/>
      <c r="P23" s="1">
        <f>SUM(OSRRefP22_0x_0)</f>
        <v>0.83</v>
      </c>
      <c r="Q23" s="1"/>
      <c r="R23" s="5">
        <f t="shared" si="18"/>
        <v>0</v>
      </c>
      <c r="S23" s="1"/>
      <c r="T23" s="1">
        <f>SUM(OSRRefT22_0x_0)</f>
        <v>36267.720000000008</v>
      </c>
      <c r="U23" s="1"/>
      <c r="V23" s="5">
        <f t="shared" si="19"/>
        <v>6.5137967277778971E-2</v>
      </c>
      <c r="W23" s="1"/>
      <c r="X23" s="1">
        <f t="shared" si="20"/>
        <v>-36266.890000000007</v>
      </c>
      <c r="Y23" s="1"/>
      <c r="Z23" s="5">
        <f t="shared" si="21"/>
        <v>-0.99997711463527339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893.79</v>
      </c>
      <c r="I24" s="2"/>
      <c r="J24" s="7">
        <f t="shared" si="15"/>
        <v>1.7751814228701063E-2</v>
      </c>
      <c r="K24" s="2"/>
      <c r="L24" s="6">
        <f t="shared" si="16"/>
        <v>-893.79</v>
      </c>
      <c r="M24" s="2"/>
      <c r="N24" s="7">
        <f t="shared" si="17"/>
        <v>-1</v>
      </c>
      <c r="O24" s="11"/>
      <c r="P24" s="6">
        <v>0.83</v>
      </c>
      <c r="Q24" s="2"/>
      <c r="R24" s="7">
        <f t="shared" si="18"/>
        <v>0</v>
      </c>
      <c r="S24" s="2"/>
      <c r="T24" s="6">
        <v>7331.41</v>
      </c>
      <c r="U24" s="2"/>
      <c r="V24" s="7">
        <f t="shared" si="19"/>
        <v>1.3167443243743511E-2</v>
      </c>
      <c r="W24" s="2"/>
      <c r="X24" s="6">
        <f t="shared" si="20"/>
        <v>-7330.58</v>
      </c>
      <c r="Y24" s="2"/>
      <c r="Z24" s="7">
        <f t="shared" si="21"/>
        <v>-0.99988678848952661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755.2</v>
      </c>
      <c r="I25" s="2"/>
      <c r="J25" s="7">
        <f t="shared" si="15"/>
        <v>1.4999239312942687E-2</v>
      </c>
      <c r="K25" s="2"/>
      <c r="L25" s="6">
        <f t="shared" si="16"/>
        <v>-755.2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5823.09</v>
      </c>
      <c r="U25" s="2"/>
      <c r="V25" s="7">
        <f t="shared" si="19"/>
        <v>1.0458453023117027E-2</v>
      </c>
      <c r="W25" s="2"/>
      <c r="X25" s="6">
        <f t="shared" si="20"/>
        <v>-5823.09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1079.06</v>
      </c>
      <c r="I26" s="2"/>
      <c r="J26" s="7">
        <f t="shared" si="15"/>
        <v>2.1431513735466014E-2</v>
      </c>
      <c r="K26" s="2"/>
      <c r="L26" s="6">
        <f t="shared" si="16"/>
        <v>-1079.06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9336.44</v>
      </c>
      <c r="U26" s="2"/>
      <c r="V26" s="7">
        <f t="shared" si="19"/>
        <v>1.67685402669632E-2</v>
      </c>
      <c r="W26" s="2"/>
      <c r="X26" s="6">
        <f t="shared" si="20"/>
        <v>-9336.44</v>
      </c>
      <c r="Y26" s="2"/>
      <c r="Z26" s="7">
        <f t="shared" si="21"/>
        <v>-1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50.61</v>
      </c>
      <c r="I27" s="2"/>
      <c r="J27" s="7">
        <f t="shared" si="15"/>
        <v>1.0051794248252506E-3</v>
      </c>
      <c r="K27" s="2"/>
      <c r="L27" s="6">
        <f t="shared" si="16"/>
        <v>-50.61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494.33</v>
      </c>
      <c r="U27" s="2"/>
      <c r="V27" s="7">
        <f t="shared" si="19"/>
        <v>8.8783224764127637E-4</v>
      </c>
      <c r="W27" s="2"/>
      <c r="X27" s="6">
        <f t="shared" si="20"/>
        <v>-494.33</v>
      </c>
      <c r="Y27" s="2"/>
      <c r="Z27" s="7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810.41</v>
      </c>
      <c r="I28" s="2"/>
      <c r="J28" s="7">
        <f t="shared" si="15"/>
        <v>1.6095780629769438E-2</v>
      </c>
      <c r="K28" s="2"/>
      <c r="L28" s="6">
        <f t="shared" si="16"/>
        <v>-810.41</v>
      </c>
      <c r="M28" s="2"/>
      <c r="N28" s="7">
        <f t="shared" si="17"/>
        <v>-1</v>
      </c>
      <c r="O28" s="11"/>
      <c r="P28" s="6"/>
      <c r="Q28" s="2"/>
      <c r="R28" s="7">
        <f t="shared" si="18"/>
        <v>0</v>
      </c>
      <c r="S28" s="2"/>
      <c r="T28" s="6">
        <v>4990.43</v>
      </c>
      <c r="U28" s="2"/>
      <c r="V28" s="7">
        <f t="shared" si="19"/>
        <v>8.9629694406498789E-3</v>
      </c>
      <c r="W28" s="2"/>
      <c r="X28" s="6">
        <f t="shared" si="20"/>
        <v>-4990.43</v>
      </c>
      <c r="Y28" s="2"/>
      <c r="Z28" s="7">
        <f t="shared" si="21"/>
        <v>-1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378.58</v>
      </c>
      <c r="I29" s="2"/>
      <c r="J29" s="7">
        <f t="shared" si="15"/>
        <v>7.5190837117238363E-3</v>
      </c>
      <c r="K29" s="2"/>
      <c r="L29" s="6">
        <f t="shared" si="16"/>
        <v>-378.58</v>
      </c>
      <c r="M29" s="2"/>
      <c r="N29" s="7">
        <f t="shared" si="17"/>
        <v>-1</v>
      </c>
      <c r="O29" s="11"/>
      <c r="P29" s="6"/>
      <c r="Q29" s="2"/>
      <c r="R29" s="7">
        <f t="shared" si="18"/>
        <v>0</v>
      </c>
      <c r="S29" s="2"/>
      <c r="T29" s="6">
        <v>2874.58</v>
      </c>
      <c r="U29" s="2"/>
      <c r="V29" s="7">
        <f t="shared" si="19"/>
        <v>5.1628362074417093E-3</v>
      </c>
      <c r="W29" s="2"/>
      <c r="X29" s="6">
        <f t="shared" si="20"/>
        <v>-2874.58</v>
      </c>
      <c r="Y29" s="2"/>
      <c r="Z29" s="7">
        <f t="shared" si="21"/>
        <v>-1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453.54</v>
      </c>
      <c r="I30" s="2"/>
      <c r="J30" s="7">
        <f t="shared" si="15"/>
        <v>9.0078853257309667E-3</v>
      </c>
      <c r="K30" s="2"/>
      <c r="L30" s="6">
        <f t="shared" si="16"/>
        <v>-453.54</v>
      </c>
      <c r="M30" s="2"/>
      <c r="N30" s="7">
        <f t="shared" si="17"/>
        <v>-1</v>
      </c>
      <c r="O30" s="11"/>
      <c r="P30" s="6"/>
      <c r="Q30" s="2"/>
      <c r="R30" s="7">
        <f t="shared" si="18"/>
        <v>0</v>
      </c>
      <c r="S30" s="2"/>
      <c r="T30" s="6">
        <v>3443.8</v>
      </c>
      <c r="U30" s="2"/>
      <c r="V30" s="7">
        <f t="shared" si="19"/>
        <v>6.1851732535493044E-3</v>
      </c>
      <c r="W30" s="2"/>
      <c r="X30" s="6">
        <f t="shared" si="20"/>
        <v>-3443.8</v>
      </c>
      <c r="Y30" s="2"/>
      <c r="Z30" s="7">
        <f t="shared" si="21"/>
        <v>-1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452.17</v>
      </c>
      <c r="I31" s="2"/>
      <c r="J31" s="7">
        <f t="shared" si="15"/>
        <v>8.9806753709392138E-3</v>
      </c>
      <c r="K31" s="2"/>
      <c r="L31" s="6">
        <f t="shared" si="16"/>
        <v>-452.17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1973.64</v>
      </c>
      <c r="U31" s="2"/>
      <c r="V31" s="7">
        <f t="shared" si="19"/>
        <v>3.5447195946730499E-3</v>
      </c>
      <c r="W31" s="2"/>
      <c r="X31" s="6">
        <f t="shared" si="20"/>
        <v>-1973.64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25913.440000000002</v>
      </c>
      <c r="I32" s="1"/>
      <c r="J32" s="5">
        <f t="shared" ref="J32:J36" si="23">IF(H$12=0,0,H32/H$12)</f>
        <v>0.51467411014510267</v>
      </c>
      <c r="K32" s="1"/>
      <c r="L32" s="1">
        <f t="shared" ref="L32:L36" si="24">+D32-H32</f>
        <v>-25913.440000000002</v>
      </c>
      <c r="M32" s="1"/>
      <c r="N32" s="5">
        <f t="shared" ref="N32:N36" si="25">IF(H32=0,0,L32/H32)</f>
        <v>-1</v>
      </c>
      <c r="O32" s="13"/>
      <c r="P32" s="1">
        <f>SUM(OSRRefP22_1x_0)</f>
        <v>0</v>
      </c>
      <c r="Q32" s="1"/>
      <c r="R32" s="5">
        <f t="shared" ref="R32:R36" si="26">IF(P$12=0,0,P32/P$12)</f>
        <v>0</v>
      </c>
      <c r="S32" s="1"/>
      <c r="T32" s="1">
        <f>SUM(OSRRefT22_1x_0)</f>
        <v>183294.31</v>
      </c>
      <c r="U32" s="1"/>
      <c r="V32" s="5">
        <f t="shared" ref="V32:V36" si="27">IF(T$12=0,0,T32/T$12)</f>
        <v>0.329202353138909</v>
      </c>
      <c r="W32" s="1"/>
      <c r="X32" s="1">
        <f t="shared" ref="X32:X36" si="28">+P32-T32</f>
        <v>-183294.31</v>
      </c>
      <c r="Y32" s="1"/>
      <c r="Z32" s="5">
        <f t="shared" ref="Z32:Z36" si="29">IF(T32=0,0,X32/T32)</f>
        <v>-1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13641.28</v>
      </c>
      <c r="I33" s="2"/>
      <c r="J33" s="7">
        <f t="shared" si="23"/>
        <v>0.2709332935048448</v>
      </c>
      <c r="K33" s="2"/>
      <c r="L33" s="6">
        <f t="shared" si="24"/>
        <v>-13641.28</v>
      </c>
      <c r="M33" s="2"/>
      <c r="N33" s="7">
        <f t="shared" si="25"/>
        <v>-1</v>
      </c>
      <c r="O33" s="11"/>
      <c r="P33" s="6"/>
      <c r="Q33" s="2"/>
      <c r="R33" s="7">
        <f t="shared" si="26"/>
        <v>0</v>
      </c>
      <c r="S33" s="2"/>
      <c r="T33" s="6">
        <v>76392.78</v>
      </c>
      <c r="U33" s="2"/>
      <c r="V33" s="7">
        <f t="shared" si="27"/>
        <v>0.13720383867247699</v>
      </c>
      <c r="W33" s="2"/>
      <c r="X33" s="6">
        <f t="shared" si="28"/>
        <v>-76392.78</v>
      </c>
      <c r="Y33" s="2"/>
      <c r="Z33" s="7">
        <f t="shared" si="29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/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45.5</v>
      </c>
      <c r="U34" s="2"/>
      <c r="V34" s="7">
        <f t="shared" si="27"/>
        <v>8.1719432904493104E-5</v>
      </c>
      <c r="W34" s="2"/>
      <c r="X34" s="6">
        <f t="shared" si="28"/>
        <v>-45.5</v>
      </c>
      <c r="Y34" s="2"/>
      <c r="Z34" s="7">
        <f t="shared" si="29"/>
        <v>-1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2"/>
        <v>0</v>
      </c>
      <c r="G35" s="2"/>
      <c r="H35" s="6">
        <v>11901.66</v>
      </c>
      <c r="I35" s="2"/>
      <c r="J35" s="7">
        <f t="shared" si="23"/>
        <v>0.2363822120779627</v>
      </c>
      <c r="K35" s="2"/>
      <c r="L35" s="6">
        <f t="shared" si="24"/>
        <v>-11901.66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102021.53</v>
      </c>
      <c r="U35" s="2"/>
      <c r="V35" s="7">
        <f t="shared" si="27"/>
        <v>0.18323388078348857</v>
      </c>
      <c r="W35" s="2"/>
      <c r="X35" s="6">
        <f t="shared" si="28"/>
        <v>-102021.53</v>
      </c>
      <c r="Y35" s="2"/>
      <c r="Z35" s="7">
        <f t="shared" si="29"/>
        <v>-1</v>
      </c>
    </row>
    <row r="36" spans="1:26" s="24" customFormat="1" hidden="1" outlineLevel="2" x14ac:dyDescent="0.25">
      <c r="A36" s="25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2"/>
        <v>0</v>
      </c>
      <c r="G36" s="2"/>
      <c r="H36" s="6">
        <v>370.5</v>
      </c>
      <c r="I36" s="2"/>
      <c r="J36" s="7">
        <f t="shared" si="23"/>
        <v>7.3586045622951067E-3</v>
      </c>
      <c r="K36" s="2"/>
      <c r="L36" s="6">
        <f t="shared" si="24"/>
        <v>-370.5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4834.5</v>
      </c>
      <c r="U36" s="2"/>
      <c r="V36" s="7">
        <f t="shared" si="27"/>
        <v>8.6829142500389426E-3</v>
      </c>
      <c r="W36" s="2"/>
      <c r="X36" s="6">
        <f t="shared" si="28"/>
        <v>-4834.5</v>
      </c>
      <c r="Y36" s="2"/>
      <c r="Z36" s="7">
        <f t="shared" si="29"/>
        <v>-1</v>
      </c>
    </row>
    <row r="37" spans="1:26" s="26" customFormat="1" outlineLevel="1" collapsed="1" x14ac:dyDescent="0.25">
      <c r="A37" s="27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45" si="30">IF(D$12=0,0,D37/D$12)</f>
        <v>0</v>
      </c>
      <c r="G37" s="1"/>
      <c r="H37" s="1">
        <f>SUM(OSRRefH22_2x_0)</f>
        <v>61.55</v>
      </c>
      <c r="I37" s="1"/>
      <c r="J37" s="5">
        <f t="shared" ref="J37:J45" si="31">IF(H$12=0,0,H37/H$12)</f>
        <v>1.2224618375418727E-3</v>
      </c>
      <c r="K37" s="1"/>
      <c r="L37" s="1">
        <f t="shared" ref="L37:L45" si="32">+D37-H37</f>
        <v>-61.55</v>
      </c>
      <c r="M37" s="1"/>
      <c r="N37" s="5">
        <f t="shared" ref="N37:N45" si="33">IF(H37=0,0,L37/H37)</f>
        <v>-1</v>
      </c>
      <c r="O37" s="13"/>
      <c r="P37" s="1">
        <f>SUM(OSRRefP22_2x_0)</f>
        <v>0</v>
      </c>
      <c r="Q37" s="1"/>
      <c r="R37" s="5">
        <f t="shared" ref="R37:R45" si="34">IF(P$12=0,0,P37/P$12)</f>
        <v>0</v>
      </c>
      <c r="S37" s="1"/>
      <c r="T37" s="1">
        <f>SUM(OSRRefT22_2x_0)</f>
        <v>1183.29</v>
      </c>
      <c r="U37" s="1"/>
      <c r="V37" s="5">
        <f t="shared" ref="V37:V45" si="35">IF(T$12=0,0,T37/T$12)</f>
        <v>2.1252261046496184E-3</v>
      </c>
      <c r="W37" s="1"/>
      <c r="X37" s="1">
        <f t="shared" ref="X37:X45" si="36">+P37-T37</f>
        <v>-1183.29</v>
      </c>
      <c r="Y37" s="1"/>
      <c r="Z37" s="5">
        <f t="shared" ref="Z37:Z45" si="37">IF(T37=0,0,X37/T37)</f>
        <v>-1</v>
      </c>
    </row>
    <row r="38" spans="1:26" s="24" customFormat="1" hidden="1" outlineLevel="2" x14ac:dyDescent="0.25">
      <c r="A38" s="25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30"/>
        <v>0</v>
      </c>
      <c r="G38" s="2"/>
      <c r="H38" s="6">
        <v>61.55</v>
      </c>
      <c r="I38" s="2"/>
      <c r="J38" s="7">
        <f t="shared" si="31"/>
        <v>1.2224618375418727E-3</v>
      </c>
      <c r="K38" s="2"/>
      <c r="L38" s="6">
        <f t="shared" si="32"/>
        <v>-61.55</v>
      </c>
      <c r="M38" s="2"/>
      <c r="N38" s="7">
        <f t="shared" si="33"/>
        <v>-1</v>
      </c>
      <c r="O38" s="11"/>
      <c r="P38" s="6"/>
      <c r="Q38" s="2"/>
      <c r="R38" s="7">
        <f t="shared" si="34"/>
        <v>0</v>
      </c>
      <c r="S38" s="2"/>
      <c r="T38" s="6">
        <v>1183.29</v>
      </c>
      <c r="U38" s="2"/>
      <c r="V38" s="7">
        <f t="shared" si="35"/>
        <v>2.1252261046496184E-3</v>
      </c>
      <c r="W38" s="2"/>
      <c r="X38" s="6">
        <f t="shared" si="36"/>
        <v>-1183.29</v>
      </c>
      <c r="Y38" s="2"/>
      <c r="Z38" s="7">
        <f t="shared" si="37"/>
        <v>-1</v>
      </c>
    </row>
    <row r="39" spans="1:26" s="26" customFormat="1" outlineLevel="1" collapsed="1" x14ac:dyDescent="0.25">
      <c r="A39" s="27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52.98</v>
      </c>
      <c r="I39" s="1"/>
      <c r="J39" s="5">
        <f t="shared" si="31"/>
        <v>1.0522506604868954E-3</v>
      </c>
      <c r="K39" s="1"/>
      <c r="L39" s="1">
        <f t="shared" si="32"/>
        <v>-52.98</v>
      </c>
      <c r="M39" s="1"/>
      <c r="N39" s="5">
        <f t="shared" si="33"/>
        <v>-1</v>
      </c>
      <c r="O39" s="13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49.97</v>
      </c>
      <c r="U39" s="1"/>
      <c r="V39" s="5">
        <f t="shared" si="35"/>
        <v>8.9747693675549896E-5</v>
      </c>
      <c r="W39" s="1"/>
      <c r="X39" s="1">
        <f t="shared" si="36"/>
        <v>-49.97</v>
      </c>
      <c r="Y39" s="1"/>
      <c r="Z39" s="5">
        <f t="shared" si="37"/>
        <v>-1</v>
      </c>
    </row>
    <row r="40" spans="1:26" s="24" customFormat="1" hidden="1" outlineLevel="2" x14ac:dyDescent="0.25">
      <c r="A40" s="25"/>
      <c r="B40" s="11" t="str">
        <f>CONCATENATE("          ", "6272", " - ", "CASH (OVER/SHORT)")</f>
        <v xml:space="preserve">          6272 - CASH (OVER/SHORT)</v>
      </c>
      <c r="C40" s="11"/>
      <c r="D40" s="6"/>
      <c r="E40" s="2"/>
      <c r="F40" s="7">
        <f t="shared" si="30"/>
        <v>0</v>
      </c>
      <c r="G40" s="2"/>
      <c r="H40" s="6">
        <v>52.98</v>
      </c>
      <c r="I40" s="2"/>
      <c r="J40" s="7">
        <f t="shared" si="31"/>
        <v>1.0522506604868954E-3</v>
      </c>
      <c r="K40" s="2"/>
      <c r="L40" s="6">
        <f t="shared" si="32"/>
        <v>-52.98</v>
      </c>
      <c r="M40" s="2"/>
      <c r="N40" s="7">
        <f t="shared" si="33"/>
        <v>-1</v>
      </c>
      <c r="O40" s="11"/>
      <c r="P40" s="6"/>
      <c r="Q40" s="2"/>
      <c r="R40" s="7">
        <f t="shared" si="34"/>
        <v>0</v>
      </c>
      <c r="S40" s="2"/>
      <c r="T40" s="6">
        <v>49.97</v>
      </c>
      <c r="U40" s="2"/>
      <c r="V40" s="7">
        <f t="shared" si="35"/>
        <v>8.9747693675549896E-5</v>
      </c>
      <c r="W40" s="2"/>
      <c r="X40" s="6">
        <f t="shared" si="36"/>
        <v>-49.97</v>
      </c>
      <c r="Y40" s="2"/>
      <c r="Z40" s="7">
        <f t="shared" si="37"/>
        <v>-1</v>
      </c>
    </row>
    <row r="41" spans="1:26" s="26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1857.65</v>
      </c>
      <c r="I41" s="1"/>
      <c r="J41" s="5">
        <f t="shared" si="31"/>
        <v>3.6895308407955484E-2</v>
      </c>
      <c r="K41" s="1"/>
      <c r="L41" s="1">
        <f t="shared" si="32"/>
        <v>-1857.65</v>
      </c>
      <c r="M41" s="1"/>
      <c r="N41" s="5">
        <f t="shared" si="33"/>
        <v>-1</v>
      </c>
      <c r="O41" s="13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19536.929999999997</v>
      </c>
      <c r="U41" s="1"/>
      <c r="V41" s="5">
        <f t="shared" si="35"/>
        <v>3.5088941544940175E-2</v>
      </c>
      <c r="W41" s="1"/>
      <c r="X41" s="1">
        <f t="shared" si="36"/>
        <v>-19536.929999999997</v>
      </c>
      <c r="Y41" s="1"/>
      <c r="Z41" s="5">
        <f t="shared" si="37"/>
        <v>-1</v>
      </c>
    </row>
    <row r="42" spans="1:26" s="24" customFormat="1" hidden="1" outlineLevel="2" x14ac:dyDescent="0.25">
      <c r="A42" s="25"/>
      <c r="B42" s="11" t="str">
        <f>CONCATENATE("          ", "6381", " - ", "BANK/CREDIT CARD FEES")</f>
        <v xml:space="preserve">          6381 - BANK/CREDIT CARD FEES</v>
      </c>
      <c r="C42" s="11"/>
      <c r="D42" s="6"/>
      <c r="E42" s="2"/>
      <c r="F42" s="7">
        <f t="shared" si="30"/>
        <v>0</v>
      </c>
      <c r="G42" s="2"/>
      <c r="H42" s="6">
        <v>1857.65</v>
      </c>
      <c r="I42" s="2"/>
      <c r="J42" s="7">
        <f t="shared" si="31"/>
        <v>3.6895308407955484E-2</v>
      </c>
      <c r="K42" s="2"/>
      <c r="L42" s="6">
        <f t="shared" si="32"/>
        <v>-1857.65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19536.929999999997</v>
      </c>
      <c r="U42" s="2"/>
      <c r="V42" s="7">
        <f t="shared" si="35"/>
        <v>3.5088941544940175E-2</v>
      </c>
      <c r="W42" s="2"/>
      <c r="X42" s="6">
        <f t="shared" si="36"/>
        <v>-19536.929999999997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5233.01</v>
      </c>
      <c r="E43" s="1"/>
      <c r="F43" s="5">
        <f t="shared" si="30"/>
        <v>0</v>
      </c>
      <c r="G43" s="1"/>
      <c r="H43" s="1">
        <f>SUM(OSRRefH22_5x_0)</f>
        <v>5612.57</v>
      </c>
      <c r="I43" s="1"/>
      <c r="J43" s="5">
        <f t="shared" si="31"/>
        <v>0.11147282917193158</v>
      </c>
      <c r="K43" s="1"/>
      <c r="L43" s="1">
        <f t="shared" si="32"/>
        <v>-379.55999999999949</v>
      </c>
      <c r="M43" s="1"/>
      <c r="N43" s="5">
        <f t="shared" si="33"/>
        <v>-6.7626773474540103E-2</v>
      </c>
      <c r="O43" s="13"/>
      <c r="P43" s="1">
        <f>SUM(OSRRefP22_5x_0)</f>
        <v>36922.19</v>
      </c>
      <c r="Q43" s="1"/>
      <c r="R43" s="5">
        <f t="shared" si="34"/>
        <v>0</v>
      </c>
      <c r="S43" s="1"/>
      <c r="T43" s="1">
        <f>SUM(OSRRefT22_5x_0)</f>
        <v>39287.990000000005</v>
      </c>
      <c r="U43" s="1"/>
      <c r="V43" s="5">
        <f t="shared" si="35"/>
        <v>7.0562467313349364E-2</v>
      </c>
      <c r="W43" s="1"/>
      <c r="X43" s="1">
        <f t="shared" si="36"/>
        <v>-2365.8000000000029</v>
      </c>
      <c r="Y43" s="1"/>
      <c r="Z43" s="5">
        <f t="shared" si="37"/>
        <v>-6.0216875436997476E-2</v>
      </c>
    </row>
    <row r="44" spans="1:26" s="24" customFormat="1" hidden="1" outlineLevel="2" x14ac:dyDescent="0.25">
      <c r="A44" s="25"/>
      <c r="B44" s="11" t="str">
        <f>CONCATENATE("          ", "6321", " - ", "BUILDING DEPRECIATION")</f>
        <v xml:space="preserve">          6321 - BUILDING DEPRECIATION</v>
      </c>
      <c r="C44" s="11"/>
      <c r="D44" s="6">
        <v>4626.5</v>
      </c>
      <c r="E44" s="2"/>
      <c r="F44" s="7">
        <f t="shared" si="30"/>
        <v>0</v>
      </c>
      <c r="G44" s="2"/>
      <c r="H44" s="6">
        <v>4626.5</v>
      </c>
      <c r="I44" s="2"/>
      <c r="J44" s="7">
        <f t="shared" si="31"/>
        <v>9.1888215944556845E-2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>
        <v>32385.500000000004</v>
      </c>
      <c r="Q44" s="2"/>
      <c r="R44" s="7">
        <f t="shared" si="34"/>
        <v>0</v>
      </c>
      <c r="S44" s="2"/>
      <c r="T44" s="6">
        <v>32385.500000000004</v>
      </c>
      <c r="U44" s="2"/>
      <c r="V44" s="7">
        <f t="shared" si="35"/>
        <v>5.8165377897328827E-2</v>
      </c>
      <c r="W44" s="2"/>
      <c r="X44" s="6">
        <f t="shared" si="36"/>
        <v>0</v>
      </c>
      <c r="Y44" s="2"/>
      <c r="Z44" s="7">
        <f t="shared" si="37"/>
        <v>0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606.51</v>
      </c>
      <c r="E45" s="2"/>
      <c r="F45" s="7">
        <f t="shared" si="30"/>
        <v>0</v>
      </c>
      <c r="G45" s="2"/>
      <c r="H45" s="6">
        <v>986.07</v>
      </c>
      <c r="I45" s="2"/>
      <c r="J45" s="7">
        <f t="shared" si="31"/>
        <v>1.9584613227374727E-2</v>
      </c>
      <c r="K45" s="2"/>
      <c r="L45" s="6">
        <f t="shared" si="32"/>
        <v>-379.56000000000006</v>
      </c>
      <c r="M45" s="2"/>
      <c r="N45" s="7">
        <f t="shared" si="33"/>
        <v>-0.38492196294380726</v>
      </c>
      <c r="O45" s="11"/>
      <c r="P45" s="6">
        <v>4536.6899999999996</v>
      </c>
      <c r="Q45" s="2"/>
      <c r="R45" s="7">
        <f t="shared" si="34"/>
        <v>0</v>
      </c>
      <c r="S45" s="2"/>
      <c r="T45" s="6">
        <v>6902.49</v>
      </c>
      <c r="U45" s="2"/>
      <c r="V45" s="7">
        <f t="shared" si="35"/>
        <v>1.2397089416020539E-2</v>
      </c>
      <c r="W45" s="2"/>
      <c r="X45" s="6">
        <f t="shared" si="36"/>
        <v>-2365.8000000000002</v>
      </c>
      <c r="Y45" s="2"/>
      <c r="Z45" s="7">
        <f t="shared" si="37"/>
        <v>-0.34274587866117884</v>
      </c>
    </row>
    <row r="46" spans="1:26" s="26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ref="F46:F56" si="38">IF(D$12=0,0,D46/D$12)</f>
        <v>0</v>
      </c>
      <c r="G46" s="1"/>
      <c r="H46" s="1">
        <f>SUM(OSRRefH22_6x_0)</f>
        <v>0</v>
      </c>
      <c r="I46" s="1"/>
      <c r="J46" s="5">
        <f t="shared" ref="J46:J56" si="39">IF(H$12=0,0,H46/H$12)</f>
        <v>0</v>
      </c>
      <c r="K46" s="1"/>
      <c r="L46" s="1">
        <f t="shared" ref="L46:L56" si="40">+D46-H46</f>
        <v>0</v>
      </c>
      <c r="M46" s="1"/>
      <c r="N46" s="5">
        <f t="shared" ref="N46:N56" si="41">IF(H46=0,0,L46/H46)</f>
        <v>0</v>
      </c>
      <c r="O46" s="13"/>
      <c r="P46" s="1">
        <f>SUM(OSRRefP22_6x_0)</f>
        <v>0</v>
      </c>
      <c r="Q46" s="1"/>
      <c r="R46" s="5">
        <f t="shared" ref="R46:R56" si="42">IF(P$12=0,0,P46/P$12)</f>
        <v>0</v>
      </c>
      <c r="S46" s="1"/>
      <c r="T46" s="1">
        <f>SUM(OSRRefT22_6x_0)</f>
        <v>186.48</v>
      </c>
      <c r="U46" s="1"/>
      <c r="V46" s="5">
        <f t="shared" ref="V46:V56" si="43">IF(T$12=0,0,T46/T$12)</f>
        <v>3.3492395270395326E-4</v>
      </c>
      <c r="W46" s="1"/>
      <c r="X46" s="1">
        <f t="shared" ref="X46:X56" si="44">+P46-T46</f>
        <v>-186.48</v>
      </c>
      <c r="Y46" s="1"/>
      <c r="Z46" s="5">
        <f t="shared" ref="Z46:Z56" si="45">IF(T46=0,0,X46/T46)</f>
        <v>-1</v>
      </c>
    </row>
    <row r="47" spans="1:26" s="24" customFormat="1" hidden="1" outlineLevel="2" x14ac:dyDescent="0.25">
      <c r="A47" s="25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38"/>
        <v>0</v>
      </c>
      <c r="G47" s="2"/>
      <c r="H47" s="6"/>
      <c r="I47" s="2"/>
      <c r="J47" s="7">
        <f t="shared" si="39"/>
        <v>0</v>
      </c>
      <c r="K47" s="2"/>
      <c r="L47" s="6">
        <f t="shared" si="40"/>
        <v>0</v>
      </c>
      <c r="M47" s="2"/>
      <c r="N47" s="7">
        <f t="shared" si="41"/>
        <v>0</v>
      </c>
      <c r="O47" s="11"/>
      <c r="P47" s="6"/>
      <c r="Q47" s="2"/>
      <c r="R47" s="7">
        <f t="shared" si="42"/>
        <v>0</v>
      </c>
      <c r="S47" s="2"/>
      <c r="T47" s="6">
        <v>186.48</v>
      </c>
      <c r="U47" s="2"/>
      <c r="V47" s="7">
        <f t="shared" si="43"/>
        <v>3.3492395270395326E-4</v>
      </c>
      <c r="W47" s="2"/>
      <c r="X47" s="6">
        <f t="shared" si="44"/>
        <v>-186.48</v>
      </c>
      <c r="Y47" s="2"/>
      <c r="Z47" s="7">
        <f t="shared" si="45"/>
        <v>-1</v>
      </c>
    </row>
    <row r="48" spans="1:26" s="26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38"/>
        <v>0</v>
      </c>
      <c r="G48" s="1"/>
      <c r="H48" s="1">
        <f>SUM(OSRRefH22_7x_0)</f>
        <v>455.06</v>
      </c>
      <c r="I48" s="1"/>
      <c r="J48" s="5">
        <f t="shared" si="39"/>
        <v>9.0380744726532014E-3</v>
      </c>
      <c r="K48" s="1"/>
      <c r="L48" s="1">
        <f t="shared" si="40"/>
        <v>-455.06</v>
      </c>
      <c r="M48" s="1"/>
      <c r="N48" s="5">
        <f t="shared" si="41"/>
        <v>-1</v>
      </c>
      <c r="O48" s="13"/>
      <c r="P48" s="1">
        <f>SUM(OSRRefP22_7x_0)</f>
        <v>96.3</v>
      </c>
      <c r="Q48" s="1"/>
      <c r="R48" s="5">
        <f t="shared" si="42"/>
        <v>0</v>
      </c>
      <c r="S48" s="1"/>
      <c r="T48" s="1">
        <f>SUM(OSRRefT22_7x_0)</f>
        <v>2711.08</v>
      </c>
      <c r="U48" s="1"/>
      <c r="V48" s="5">
        <f t="shared" si="43"/>
        <v>4.8691850584332563E-3</v>
      </c>
      <c r="W48" s="1"/>
      <c r="X48" s="1">
        <f t="shared" si="44"/>
        <v>-2614.7799999999997</v>
      </c>
      <c r="Y48" s="1"/>
      <c r="Z48" s="5">
        <f t="shared" si="45"/>
        <v>-0.96447910057984265</v>
      </c>
    </row>
    <row r="49" spans="1:26" s="24" customFormat="1" hidden="1" outlineLevel="2" x14ac:dyDescent="0.25">
      <c r="A49" s="25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38"/>
        <v>0</v>
      </c>
      <c r="G49" s="2"/>
      <c r="H49" s="6">
        <v>455.06</v>
      </c>
      <c r="I49" s="2"/>
      <c r="J49" s="7">
        <f t="shared" si="39"/>
        <v>9.0380744726532014E-3</v>
      </c>
      <c r="K49" s="2"/>
      <c r="L49" s="6">
        <f t="shared" si="40"/>
        <v>-455.06</v>
      </c>
      <c r="M49" s="2"/>
      <c r="N49" s="7">
        <f t="shared" si="41"/>
        <v>-1</v>
      </c>
      <c r="O49" s="11"/>
      <c r="P49" s="6">
        <v>96.3</v>
      </c>
      <c r="Q49" s="2"/>
      <c r="R49" s="7">
        <f t="shared" si="42"/>
        <v>0</v>
      </c>
      <c r="S49" s="2"/>
      <c r="T49" s="6">
        <v>2711.08</v>
      </c>
      <c r="U49" s="2"/>
      <c r="V49" s="7">
        <f t="shared" si="43"/>
        <v>4.8691850584332563E-3</v>
      </c>
      <c r="W49" s="2"/>
      <c r="X49" s="6">
        <f t="shared" si="44"/>
        <v>-2614.7799999999997</v>
      </c>
      <c r="Y49" s="2"/>
      <c r="Z49" s="7">
        <f t="shared" si="45"/>
        <v>-0.96447910057984265</v>
      </c>
    </row>
    <row r="50" spans="1:26" s="26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38"/>
        <v>0</v>
      </c>
      <c r="G50" s="1"/>
      <c r="H50" s="1">
        <f>SUM(OSRRefH22_8x_0)</f>
        <v>1021.89</v>
      </c>
      <c r="I50" s="1"/>
      <c r="J50" s="5">
        <f t="shared" si="39"/>
        <v>2.0296044308134271E-2</v>
      </c>
      <c r="K50" s="1"/>
      <c r="L50" s="1">
        <f t="shared" si="40"/>
        <v>-1021.89</v>
      </c>
      <c r="M50" s="1"/>
      <c r="N50" s="5">
        <f t="shared" si="41"/>
        <v>-1</v>
      </c>
      <c r="O50" s="13"/>
      <c r="P50" s="1">
        <f>SUM(OSRRefP22_8x_0)</f>
        <v>0</v>
      </c>
      <c r="Q50" s="1"/>
      <c r="R50" s="5">
        <f t="shared" si="42"/>
        <v>0</v>
      </c>
      <c r="S50" s="1"/>
      <c r="T50" s="1">
        <f>SUM(OSRRefT22_8x_0)</f>
        <v>7461.89</v>
      </c>
      <c r="U50" s="1"/>
      <c r="V50" s="5">
        <f t="shared" si="43"/>
        <v>1.3401789432872704E-2</v>
      </c>
      <c r="W50" s="1"/>
      <c r="X50" s="1">
        <f t="shared" si="44"/>
        <v>-7461.89</v>
      </c>
      <c r="Y50" s="1"/>
      <c r="Z50" s="5">
        <f t="shared" si="45"/>
        <v>-1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38"/>
        <v>0</v>
      </c>
      <c r="G51" s="2"/>
      <c r="H51" s="6">
        <v>1021.89</v>
      </c>
      <c r="I51" s="2"/>
      <c r="J51" s="7">
        <f t="shared" si="39"/>
        <v>2.0296044308134271E-2</v>
      </c>
      <c r="K51" s="2"/>
      <c r="L51" s="6">
        <f t="shared" si="40"/>
        <v>-1021.89</v>
      </c>
      <c r="M51" s="2"/>
      <c r="N51" s="7">
        <f t="shared" si="41"/>
        <v>-1</v>
      </c>
      <c r="O51" s="11"/>
      <c r="P51" s="6">
        <v>0</v>
      </c>
      <c r="Q51" s="2"/>
      <c r="R51" s="7">
        <f t="shared" si="42"/>
        <v>0</v>
      </c>
      <c r="S51" s="2"/>
      <c r="T51" s="6">
        <v>7461.89</v>
      </c>
      <c r="U51" s="2"/>
      <c r="V51" s="7">
        <f t="shared" si="43"/>
        <v>1.3401789432872704E-2</v>
      </c>
      <c r="W51" s="2"/>
      <c r="X51" s="6">
        <f t="shared" si="44"/>
        <v>-7461.89</v>
      </c>
      <c r="Y51" s="2"/>
      <c r="Z51" s="7">
        <f t="shared" si="45"/>
        <v>-1</v>
      </c>
    </row>
    <row r="52" spans="1:26" s="26" customFormat="1" outlineLevel="1" collapsed="1" x14ac:dyDescent="0.25">
      <c r="A52" s="27"/>
      <c r="B52" s="13" t="str">
        <f>CONCATENATE("     ","Rent                                              ")</f>
        <v xml:space="preserve">     Rent                                              </v>
      </c>
      <c r="C52" s="13"/>
      <c r="D52" s="1">
        <f>SUM(OSRRefD22_9x_0)</f>
        <v>0</v>
      </c>
      <c r="E52" s="1"/>
      <c r="F52" s="5">
        <f t="shared" si="38"/>
        <v>0</v>
      </c>
      <c r="G52" s="1"/>
      <c r="H52" s="1">
        <f>SUM(OSRRefH22_9x_0)</f>
        <v>1850</v>
      </c>
      <c r="I52" s="1"/>
      <c r="J52" s="5">
        <f t="shared" si="39"/>
        <v>3.6743369609300802E-2</v>
      </c>
      <c r="K52" s="1"/>
      <c r="L52" s="1">
        <f t="shared" si="40"/>
        <v>-1850</v>
      </c>
      <c r="M52" s="1"/>
      <c r="N52" s="5">
        <f t="shared" si="41"/>
        <v>-1</v>
      </c>
      <c r="O52" s="13"/>
      <c r="P52" s="1">
        <f>SUM(OSRRefP22_9x_0)</f>
        <v>11100</v>
      </c>
      <c r="Q52" s="1"/>
      <c r="R52" s="5">
        <f t="shared" si="42"/>
        <v>0</v>
      </c>
      <c r="S52" s="1"/>
      <c r="T52" s="1">
        <f>SUM(OSRRefT22_9x_0)</f>
        <v>12950</v>
      </c>
      <c r="U52" s="1"/>
      <c r="V52" s="5">
        <f t="shared" si="43"/>
        <v>2.3258607826663422E-2</v>
      </c>
      <c r="W52" s="1"/>
      <c r="X52" s="1">
        <f t="shared" si="44"/>
        <v>-1850</v>
      </c>
      <c r="Y52" s="1"/>
      <c r="Z52" s="5">
        <f t="shared" si="45"/>
        <v>-0.14285714285714285</v>
      </c>
    </row>
    <row r="53" spans="1:26" s="24" customFormat="1" hidden="1" outlineLevel="2" x14ac:dyDescent="0.25">
      <c r="A53" s="25"/>
      <c r="B53" s="11" t="str">
        <f>CONCATENATE("          ", "6273", " - ", "RENT")</f>
        <v xml:space="preserve">          6273 - RENT</v>
      </c>
      <c r="C53" s="11"/>
      <c r="D53" s="6"/>
      <c r="E53" s="2"/>
      <c r="F53" s="7">
        <f t="shared" si="38"/>
        <v>0</v>
      </c>
      <c r="G53" s="2"/>
      <c r="H53" s="6">
        <v>1850</v>
      </c>
      <c r="I53" s="2"/>
      <c r="J53" s="7">
        <f t="shared" si="39"/>
        <v>3.6743369609300802E-2</v>
      </c>
      <c r="K53" s="2"/>
      <c r="L53" s="6">
        <f t="shared" si="40"/>
        <v>-1850</v>
      </c>
      <c r="M53" s="2"/>
      <c r="N53" s="7">
        <f t="shared" si="41"/>
        <v>-1</v>
      </c>
      <c r="O53" s="11"/>
      <c r="P53" s="6">
        <v>11100</v>
      </c>
      <c r="Q53" s="2"/>
      <c r="R53" s="7">
        <f t="shared" si="42"/>
        <v>0</v>
      </c>
      <c r="S53" s="2"/>
      <c r="T53" s="6">
        <v>12950</v>
      </c>
      <c r="U53" s="2"/>
      <c r="V53" s="7">
        <f t="shared" si="43"/>
        <v>2.3258607826663422E-2</v>
      </c>
      <c r="W53" s="2"/>
      <c r="X53" s="6">
        <f t="shared" si="44"/>
        <v>-1850</v>
      </c>
      <c r="Y53" s="2"/>
      <c r="Z53" s="7">
        <f t="shared" si="45"/>
        <v>-0.14285714285714285</v>
      </c>
    </row>
    <row r="54" spans="1:26" s="26" customFormat="1" outlineLevel="1" collapsed="1" x14ac:dyDescent="0.25">
      <c r="A54" s="27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0</v>
      </c>
      <c r="E54" s="1"/>
      <c r="F54" s="5">
        <f t="shared" si="38"/>
        <v>0</v>
      </c>
      <c r="G54" s="1"/>
      <c r="H54" s="1">
        <f>SUM(OSRRefH22_10x_0)</f>
        <v>2699.1</v>
      </c>
      <c r="I54" s="1"/>
      <c r="J54" s="5">
        <f t="shared" si="39"/>
        <v>5.360758319592638E-2</v>
      </c>
      <c r="K54" s="1"/>
      <c r="L54" s="1">
        <f t="shared" si="40"/>
        <v>-2699.1</v>
      </c>
      <c r="M54" s="1"/>
      <c r="N54" s="5">
        <f t="shared" si="41"/>
        <v>-1</v>
      </c>
      <c r="O54" s="13"/>
      <c r="P54" s="1">
        <f>SUM(OSRRefP22_10x_0)</f>
        <v>765.3</v>
      </c>
      <c r="Q54" s="1"/>
      <c r="R54" s="5">
        <f t="shared" si="42"/>
        <v>0</v>
      </c>
      <c r="S54" s="1"/>
      <c r="T54" s="1">
        <f>SUM(OSRRefT22_10x_0)</f>
        <v>20355.95</v>
      </c>
      <c r="U54" s="1"/>
      <c r="V54" s="5">
        <f t="shared" si="43"/>
        <v>3.6559927257850906E-2</v>
      </c>
      <c r="W54" s="1"/>
      <c r="X54" s="1">
        <f t="shared" si="44"/>
        <v>-19590.650000000001</v>
      </c>
      <c r="Y54" s="1"/>
      <c r="Z54" s="5">
        <f t="shared" si="45"/>
        <v>-0.96240411280239935</v>
      </c>
    </row>
    <row r="55" spans="1:26" s="24" customFormat="1" hidden="1" outlineLevel="2" x14ac:dyDescent="0.25">
      <c r="A55" s="25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38"/>
        <v>0</v>
      </c>
      <c r="G55" s="2"/>
      <c r="H55" s="6">
        <v>1799</v>
      </c>
      <c r="I55" s="2"/>
      <c r="J55" s="7">
        <f t="shared" si="39"/>
        <v>3.5730444284936297E-2</v>
      </c>
      <c r="K55" s="2"/>
      <c r="L55" s="6">
        <f t="shared" si="40"/>
        <v>-1799</v>
      </c>
      <c r="M55" s="2"/>
      <c r="N55" s="7">
        <f t="shared" si="41"/>
        <v>-1</v>
      </c>
      <c r="O55" s="11"/>
      <c r="P55" s="6">
        <v>223.3</v>
      </c>
      <c r="Q55" s="2"/>
      <c r="R55" s="7">
        <f t="shared" si="42"/>
        <v>0</v>
      </c>
      <c r="S55" s="2"/>
      <c r="T55" s="6">
        <v>12719.41</v>
      </c>
      <c r="U55" s="2"/>
      <c r="V55" s="7">
        <f t="shared" si="43"/>
        <v>2.2844460924829418E-2</v>
      </c>
      <c r="W55" s="2"/>
      <c r="X55" s="6">
        <f t="shared" si="44"/>
        <v>-12496.11</v>
      </c>
      <c r="Y55" s="2"/>
      <c r="Z55" s="7">
        <f t="shared" si="45"/>
        <v>-0.9824441542492931</v>
      </c>
    </row>
    <row r="56" spans="1:26" s="24" customFormat="1" hidden="1" outlineLevel="2" x14ac:dyDescent="0.25">
      <c r="A56" s="25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38"/>
        <v>0</v>
      </c>
      <c r="G56" s="2"/>
      <c r="H56" s="6">
        <v>900.1</v>
      </c>
      <c r="I56" s="2"/>
      <c r="J56" s="7">
        <f t="shared" si="39"/>
        <v>1.7877138910990083E-2</v>
      </c>
      <c r="K56" s="2"/>
      <c r="L56" s="6">
        <f t="shared" si="40"/>
        <v>-900.1</v>
      </c>
      <c r="M56" s="2"/>
      <c r="N56" s="7">
        <f t="shared" si="41"/>
        <v>-1</v>
      </c>
      <c r="O56" s="11"/>
      <c r="P56" s="6">
        <v>542</v>
      </c>
      <c r="Q56" s="2"/>
      <c r="R56" s="7">
        <f t="shared" si="42"/>
        <v>0</v>
      </c>
      <c r="S56" s="2"/>
      <c r="T56" s="6">
        <v>7636.54</v>
      </c>
      <c r="U56" s="2"/>
      <c r="V56" s="7">
        <f t="shared" si="43"/>
        <v>1.3715466333021488E-2</v>
      </c>
      <c r="W56" s="2"/>
      <c r="X56" s="6">
        <f t="shared" si="44"/>
        <v>-7094.54</v>
      </c>
      <c r="Y56" s="2"/>
      <c r="Z56" s="7">
        <f t="shared" si="45"/>
        <v>-0.92902544869797055</v>
      </c>
    </row>
    <row r="57" spans="1:26" s="26" customFormat="1" outlineLevel="1" collapsed="1" x14ac:dyDescent="0.25">
      <c r="A57" s="27"/>
      <c r="B57" s="13" t="str">
        <f>CONCATENATE("     ","Royalty &amp; Commissions                             ")</f>
        <v xml:space="preserve">     Royalty &amp; Commissions                             </v>
      </c>
      <c r="C57" s="13"/>
      <c r="D57" s="1">
        <f>SUM(OSRRefD22_11x_0)</f>
        <v>0</v>
      </c>
      <c r="E57" s="1"/>
      <c r="F57" s="5">
        <f t="shared" ref="F57:F62" si="46">IF(D$12=0,0,D57/D$12)</f>
        <v>0</v>
      </c>
      <c r="G57" s="1"/>
      <c r="H57" s="1">
        <f>SUM(OSRRefH22_11x_0)</f>
        <v>4027.92</v>
      </c>
      <c r="I57" s="1"/>
      <c r="J57" s="5">
        <f t="shared" ref="J57:J62" si="47">IF(H$12=0,0,H57/H$12)</f>
        <v>7.9999650441456696E-2</v>
      </c>
      <c r="K57" s="1"/>
      <c r="L57" s="1">
        <f t="shared" ref="L57:L62" si="48">+D57-H57</f>
        <v>-4027.92</v>
      </c>
      <c r="M57" s="1"/>
      <c r="N57" s="5">
        <f t="shared" ref="N57:N62" si="49">IF(H57=0,0,L57/H57)</f>
        <v>-1</v>
      </c>
      <c r="O57" s="13"/>
      <c r="P57" s="1">
        <f>SUM(OSRRefP22_11x_0)</f>
        <v>0</v>
      </c>
      <c r="Q57" s="1"/>
      <c r="R57" s="5">
        <f t="shared" ref="R57:R62" si="50">IF(P$12=0,0,P57/P$12)</f>
        <v>0</v>
      </c>
      <c r="S57" s="1"/>
      <c r="T57" s="1">
        <f>SUM(OSRRefT22_11x_0)</f>
        <v>47371.68</v>
      </c>
      <c r="U57" s="1"/>
      <c r="V57" s="5">
        <f t="shared" ref="V57:V62" si="51">IF(T$12=0,0,T57/T$12)</f>
        <v>8.5081029128200383E-2</v>
      </c>
      <c r="W57" s="1"/>
      <c r="X57" s="1">
        <f t="shared" ref="X57:X62" si="52">+P57-T57</f>
        <v>-47371.68</v>
      </c>
      <c r="Y57" s="1"/>
      <c r="Z57" s="5">
        <f t="shared" ref="Z57:Z62" si="53">IF(T57=0,0,X57/T57)</f>
        <v>-1</v>
      </c>
    </row>
    <row r="58" spans="1:26" s="24" customFormat="1" hidden="1" outlineLevel="2" x14ac:dyDescent="0.25">
      <c r="A58" s="25"/>
      <c r="B58" s="11" t="str">
        <f>CONCATENATE("          ", "6259", " - ", "ROYALTY &amp; COMMISSIONS")</f>
        <v xml:space="preserve">          6259 - ROYALTY &amp; COMMISSIONS</v>
      </c>
      <c r="C58" s="11"/>
      <c r="D58" s="6"/>
      <c r="E58" s="2"/>
      <c r="F58" s="7">
        <f t="shared" si="46"/>
        <v>0</v>
      </c>
      <c r="G58" s="2"/>
      <c r="H58" s="6">
        <v>4027.92</v>
      </c>
      <c r="I58" s="2"/>
      <c r="J58" s="7">
        <f t="shared" si="47"/>
        <v>7.9999650441456696E-2</v>
      </c>
      <c r="K58" s="2"/>
      <c r="L58" s="6">
        <f t="shared" si="48"/>
        <v>-4027.92</v>
      </c>
      <c r="M58" s="2"/>
      <c r="N58" s="7">
        <f t="shared" si="49"/>
        <v>-1</v>
      </c>
      <c r="O58" s="11"/>
      <c r="P58" s="6"/>
      <c r="Q58" s="2"/>
      <c r="R58" s="7">
        <f t="shared" si="50"/>
        <v>0</v>
      </c>
      <c r="S58" s="2"/>
      <c r="T58" s="6">
        <v>47371.68</v>
      </c>
      <c r="U58" s="2"/>
      <c r="V58" s="7">
        <f t="shared" si="51"/>
        <v>8.5081029128200383E-2</v>
      </c>
      <c r="W58" s="2"/>
      <c r="X58" s="6">
        <f t="shared" si="52"/>
        <v>-47371.68</v>
      </c>
      <c r="Y58" s="2"/>
      <c r="Z58" s="7">
        <f t="shared" si="53"/>
        <v>-1</v>
      </c>
    </row>
    <row r="59" spans="1:26" s="26" customFormat="1" outlineLevel="1" collapsed="1" x14ac:dyDescent="0.25">
      <c r="A59" s="27"/>
      <c r="B59" s="13" t="str">
        <f>CONCATENATE("     ","Services                                          ")</f>
        <v xml:space="preserve">     Services                                          </v>
      </c>
      <c r="C59" s="13"/>
      <c r="D59" s="1">
        <f>SUM(OSRRefD22_12x_0)</f>
        <v>115</v>
      </c>
      <c r="E59" s="1"/>
      <c r="F59" s="5">
        <f t="shared" si="46"/>
        <v>0</v>
      </c>
      <c r="G59" s="1"/>
      <c r="H59" s="1">
        <f>SUM(OSRRefH22_12x_0)</f>
        <v>453.96999999999997</v>
      </c>
      <c r="I59" s="1"/>
      <c r="J59" s="5">
        <f t="shared" si="47"/>
        <v>9.0164256765050185E-3</v>
      </c>
      <c r="K59" s="1"/>
      <c r="L59" s="1">
        <f t="shared" si="48"/>
        <v>-338.96999999999997</v>
      </c>
      <c r="M59" s="1"/>
      <c r="N59" s="5">
        <f t="shared" si="49"/>
        <v>-0.74667929598872174</v>
      </c>
      <c r="O59" s="13"/>
      <c r="P59" s="1">
        <f>SUM(OSRRefP22_12x_0)</f>
        <v>460</v>
      </c>
      <c r="Q59" s="1"/>
      <c r="R59" s="5">
        <f t="shared" si="50"/>
        <v>0</v>
      </c>
      <c r="S59" s="1"/>
      <c r="T59" s="1">
        <f>SUM(OSRRefT22_12x_0)</f>
        <v>3190.09</v>
      </c>
      <c r="U59" s="1"/>
      <c r="V59" s="5">
        <f t="shared" si="51"/>
        <v>5.7295021036108664E-3</v>
      </c>
      <c r="W59" s="1"/>
      <c r="X59" s="1">
        <f t="shared" si="52"/>
        <v>-2730.09</v>
      </c>
      <c r="Y59" s="1"/>
      <c r="Z59" s="5">
        <f t="shared" si="53"/>
        <v>-0.85580344128222086</v>
      </c>
    </row>
    <row r="60" spans="1:26" s="24" customFormat="1" hidden="1" outlineLevel="2" x14ac:dyDescent="0.25">
      <c r="A60" s="25"/>
      <c r="B60" s="11" t="str">
        <f>CONCATENATE("          ", "6282", " - ", "JANITORIAL/EXTERMINATOR EXPENS")</f>
        <v xml:space="preserve">          6282 - JANITORIAL/EXTERMINATOR EXPENS</v>
      </c>
      <c r="C60" s="11"/>
      <c r="D60" s="6"/>
      <c r="E60" s="2"/>
      <c r="F60" s="7">
        <f t="shared" si="46"/>
        <v>0</v>
      </c>
      <c r="G60" s="2"/>
      <c r="H60" s="6">
        <v>96.96</v>
      </c>
      <c r="I60" s="2"/>
      <c r="J60" s="7">
        <f t="shared" si="47"/>
        <v>1.9257497931447598E-3</v>
      </c>
      <c r="K60" s="2"/>
      <c r="L60" s="6">
        <f t="shared" si="48"/>
        <v>-96.96</v>
      </c>
      <c r="M60" s="2"/>
      <c r="N60" s="7">
        <f t="shared" si="49"/>
        <v>-1</v>
      </c>
      <c r="O60" s="11"/>
      <c r="P60" s="6"/>
      <c r="Q60" s="2"/>
      <c r="R60" s="7">
        <f t="shared" si="50"/>
        <v>0</v>
      </c>
      <c r="S60" s="2"/>
      <c r="T60" s="6">
        <v>775.68</v>
      </c>
      <c r="U60" s="2"/>
      <c r="V60" s="7">
        <f t="shared" si="51"/>
        <v>1.3931457080298287E-3</v>
      </c>
      <c r="W60" s="2"/>
      <c r="X60" s="6">
        <f t="shared" si="52"/>
        <v>-775.68</v>
      </c>
      <c r="Y60" s="2"/>
      <c r="Z60" s="7">
        <f t="shared" si="53"/>
        <v>-1</v>
      </c>
    </row>
    <row r="61" spans="1:26" s="24" customFormat="1" hidden="1" outlineLevel="2" x14ac:dyDescent="0.25">
      <c r="A61" s="25"/>
      <c r="B61" s="11" t="str">
        <f>CONCATENATE("          ", "6284", " - ", "TRASH REMOVAL EXPENSE")</f>
        <v xml:space="preserve">          6284 - TRASH REMOVAL EXPENSE</v>
      </c>
      <c r="C61" s="11"/>
      <c r="D61" s="6">
        <v>115</v>
      </c>
      <c r="E61" s="2"/>
      <c r="F61" s="7">
        <f t="shared" si="46"/>
        <v>0</v>
      </c>
      <c r="G61" s="2"/>
      <c r="H61" s="6">
        <v>115</v>
      </c>
      <c r="I61" s="2"/>
      <c r="J61" s="7">
        <f t="shared" si="47"/>
        <v>2.2840473000376176E-3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>
        <v>460</v>
      </c>
      <c r="Q61" s="2"/>
      <c r="R61" s="7">
        <f t="shared" si="50"/>
        <v>0</v>
      </c>
      <c r="S61" s="2"/>
      <c r="T61" s="6">
        <v>709</v>
      </c>
      <c r="U61" s="2"/>
      <c r="V61" s="7">
        <f t="shared" si="51"/>
        <v>1.2733863281161671E-3</v>
      </c>
      <c r="W61" s="2"/>
      <c r="X61" s="6">
        <f t="shared" si="52"/>
        <v>-249</v>
      </c>
      <c r="Y61" s="2"/>
      <c r="Z61" s="7">
        <f t="shared" si="53"/>
        <v>-0.35119887165021157</v>
      </c>
    </row>
    <row r="62" spans="1:26" s="24" customFormat="1" hidden="1" outlineLevel="2" x14ac:dyDescent="0.25">
      <c r="A62" s="25"/>
      <c r="B62" s="11" t="str">
        <f>CONCATENATE("          ", "6286", " - ", "LAUNDRY EXPENSE")</f>
        <v xml:space="preserve">          6286 - LAUNDRY EXPENSE</v>
      </c>
      <c r="C62" s="11"/>
      <c r="D62" s="6"/>
      <c r="E62" s="2"/>
      <c r="F62" s="7">
        <f t="shared" si="46"/>
        <v>0</v>
      </c>
      <c r="G62" s="2"/>
      <c r="H62" s="6">
        <v>242.01</v>
      </c>
      <c r="I62" s="2"/>
      <c r="J62" s="7">
        <f t="shared" si="47"/>
        <v>4.8066285833226413E-3</v>
      </c>
      <c r="K62" s="2"/>
      <c r="L62" s="6">
        <f t="shared" si="48"/>
        <v>-242.01</v>
      </c>
      <c r="M62" s="2"/>
      <c r="N62" s="7">
        <f t="shared" si="49"/>
        <v>-1</v>
      </c>
      <c r="O62" s="11"/>
      <c r="P62" s="6"/>
      <c r="Q62" s="2"/>
      <c r="R62" s="7">
        <f t="shared" si="50"/>
        <v>0</v>
      </c>
      <c r="S62" s="2"/>
      <c r="T62" s="6">
        <v>1705.41</v>
      </c>
      <c r="U62" s="2"/>
      <c r="V62" s="7">
        <f t="shared" si="51"/>
        <v>3.06297006746487E-3</v>
      </c>
      <c r="W62" s="2"/>
      <c r="X62" s="6">
        <f t="shared" si="52"/>
        <v>-1705.41</v>
      </c>
      <c r="Y62" s="2"/>
      <c r="Z62" s="7">
        <f t="shared" si="53"/>
        <v>-1</v>
      </c>
    </row>
    <row r="63" spans="1:26" s="26" customFormat="1" outlineLevel="1" collapsed="1" x14ac:dyDescent="0.25">
      <c r="A63" s="27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SUM(OSRRefD22_13x_0)</f>
        <v>0</v>
      </c>
      <c r="E63" s="1"/>
      <c r="F63" s="5">
        <f t="shared" ref="F63:F65" si="54">IF(D$12=0,0,D63/D$12)</f>
        <v>0</v>
      </c>
      <c r="G63" s="1"/>
      <c r="H63" s="1">
        <f>SUM(OSRRefH22_13x_0)</f>
        <v>30.68</v>
      </c>
      <c r="I63" s="1"/>
      <c r="J63" s="5">
        <f t="shared" ref="J63:J65" si="55">IF(H$12=0,0,H63/H$12)</f>
        <v>6.0934409708829655E-4</v>
      </c>
      <c r="K63" s="1"/>
      <c r="L63" s="1">
        <f t="shared" ref="L63:L65" si="56">+D63-H63</f>
        <v>-30.68</v>
      </c>
      <c r="M63" s="1"/>
      <c r="N63" s="5">
        <f t="shared" ref="N63:N65" si="57">IF(H63=0,0,L63/H63)</f>
        <v>-1</v>
      </c>
      <c r="O63" s="13"/>
      <c r="P63" s="1">
        <f>SUM(OSRRefP22_13x_0)</f>
        <v>0</v>
      </c>
      <c r="Q63" s="1"/>
      <c r="R63" s="5">
        <f t="shared" ref="R63:R65" si="58">IF(P$12=0,0,P63/P$12)</f>
        <v>0</v>
      </c>
      <c r="S63" s="1"/>
      <c r="T63" s="1">
        <f>SUM(OSRRefT22_13x_0)</f>
        <v>1101.72</v>
      </c>
      <c r="U63" s="1"/>
      <c r="V63" s="5">
        <f t="shared" ref="V63:V65" si="59">IF(T$12=0,0,T63/T$12)</f>
        <v>1.9787238158140252E-3</v>
      </c>
      <c r="W63" s="1"/>
      <c r="X63" s="1">
        <f t="shared" ref="X63:X65" si="60">+P63-T63</f>
        <v>-1101.72</v>
      </c>
      <c r="Y63" s="1"/>
      <c r="Z63" s="5">
        <f t="shared" ref="Z63:Z65" si="61">IF(T63=0,0,X63/T63)</f>
        <v>-1</v>
      </c>
    </row>
    <row r="64" spans="1:26" s="24" customFormat="1" hidden="1" outlineLevel="2" x14ac:dyDescent="0.25">
      <c r="A64" s="25"/>
      <c r="B64" s="11" t="str">
        <f>CONCATENATE("          ", "6258", " - ", "MEMBERSHIP DUES")</f>
        <v xml:space="preserve">          6258 - MEMBERSHIP DUES</v>
      </c>
      <c r="C64" s="11"/>
      <c r="D64" s="6"/>
      <c r="E64" s="2"/>
      <c r="F64" s="7">
        <f t="shared" si="54"/>
        <v>0</v>
      </c>
      <c r="G64" s="2"/>
      <c r="H64" s="6"/>
      <c r="I64" s="2"/>
      <c r="J64" s="7">
        <f t="shared" si="55"/>
        <v>0</v>
      </c>
      <c r="K64" s="2"/>
      <c r="L64" s="6">
        <f t="shared" si="56"/>
        <v>0</v>
      </c>
      <c r="M64" s="2"/>
      <c r="N64" s="7">
        <f t="shared" si="57"/>
        <v>0</v>
      </c>
      <c r="O64" s="11"/>
      <c r="P64" s="6"/>
      <c r="Q64" s="2"/>
      <c r="R64" s="7">
        <f t="shared" si="58"/>
        <v>0</v>
      </c>
      <c r="S64" s="2"/>
      <c r="T64" s="6">
        <v>979</v>
      </c>
      <c r="U64" s="2"/>
      <c r="V64" s="7">
        <f t="shared" si="59"/>
        <v>1.7583148310659064E-3</v>
      </c>
      <c r="W64" s="2"/>
      <c r="X64" s="6">
        <f t="shared" si="60"/>
        <v>-979</v>
      </c>
      <c r="Y64" s="2"/>
      <c r="Z64" s="7">
        <f t="shared" si="61"/>
        <v>-1</v>
      </c>
    </row>
    <row r="65" spans="1:26" s="24" customFormat="1" hidden="1" outlineLevel="2" x14ac:dyDescent="0.25">
      <c r="A65" s="25"/>
      <c r="B65" s="11" t="str">
        <f>CONCATENATE("          ", "6275", " - ", "SUBSCRIPTIONS")</f>
        <v xml:space="preserve">          6275 - SUBSCRIPTIONS</v>
      </c>
      <c r="C65" s="11"/>
      <c r="D65" s="6"/>
      <c r="E65" s="2"/>
      <c r="F65" s="7">
        <f t="shared" si="54"/>
        <v>0</v>
      </c>
      <c r="G65" s="2"/>
      <c r="H65" s="6">
        <v>30.68</v>
      </c>
      <c r="I65" s="2"/>
      <c r="J65" s="7">
        <f t="shared" si="55"/>
        <v>6.0934409708829655E-4</v>
      </c>
      <c r="K65" s="2"/>
      <c r="L65" s="6">
        <f t="shared" si="56"/>
        <v>-30.68</v>
      </c>
      <c r="M65" s="2"/>
      <c r="N65" s="7">
        <f t="shared" si="57"/>
        <v>-1</v>
      </c>
      <c r="O65" s="11"/>
      <c r="P65" s="6"/>
      <c r="Q65" s="2"/>
      <c r="R65" s="7">
        <f t="shared" si="58"/>
        <v>0</v>
      </c>
      <c r="S65" s="2"/>
      <c r="T65" s="6">
        <v>122.72</v>
      </c>
      <c r="U65" s="2"/>
      <c r="V65" s="7">
        <f t="shared" si="59"/>
        <v>2.2040898474811853E-4</v>
      </c>
      <c r="W65" s="2"/>
      <c r="X65" s="6">
        <f t="shared" si="60"/>
        <v>-122.72</v>
      </c>
      <c r="Y65" s="2"/>
      <c r="Z65" s="7">
        <f t="shared" si="61"/>
        <v>-1</v>
      </c>
    </row>
    <row r="66" spans="1:26" s="26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SUM(OSRRefD22_14x_0)</f>
        <v>0</v>
      </c>
      <c r="E66" s="1"/>
      <c r="F66" s="5">
        <f t="shared" ref="F66:F73" si="62">IF(D$12=0,0,D66/D$12)</f>
        <v>0</v>
      </c>
      <c r="G66" s="1"/>
      <c r="H66" s="1">
        <f>SUM(OSRRefH22_14x_0)</f>
        <v>711.5300000000002</v>
      </c>
      <c r="I66" s="1"/>
      <c r="J66" s="5">
        <f t="shared" ref="J66:J73" si="63">IF(H$12=0,0,H66/H$12)</f>
        <v>1.4131897177354491E-2</v>
      </c>
      <c r="K66" s="1"/>
      <c r="L66" s="1">
        <f t="shared" ref="L66:L73" si="64">+D66-H66</f>
        <v>-711.5300000000002</v>
      </c>
      <c r="M66" s="1"/>
      <c r="N66" s="5">
        <f t="shared" ref="N66:N73" si="65">IF(H66=0,0,L66/H66)</f>
        <v>-1</v>
      </c>
      <c r="O66" s="13"/>
      <c r="P66" s="1">
        <f>SUM(OSRRefP22_14x_0)</f>
        <v>72</v>
      </c>
      <c r="Q66" s="1"/>
      <c r="R66" s="5">
        <f t="shared" ref="R66:R73" si="66">IF(P$12=0,0,P66/P$12)</f>
        <v>0</v>
      </c>
      <c r="S66" s="1"/>
      <c r="T66" s="1">
        <f>SUM(OSRRefT22_14x_0)</f>
        <v>9916.61</v>
      </c>
      <c r="U66" s="1"/>
      <c r="V66" s="5">
        <f t="shared" ref="V66:V73" si="67">IF(T$12=0,0,T66/T$12)</f>
        <v>1.7810543857912645E-2</v>
      </c>
      <c r="W66" s="1"/>
      <c r="X66" s="1">
        <f t="shared" ref="X66:X73" si="68">+P66-T66</f>
        <v>-9844.61</v>
      </c>
      <c r="Y66" s="1"/>
      <c r="Z66" s="5">
        <f t="shared" ref="Z66:Z73" si="69">IF(T66=0,0,X66/T66)</f>
        <v>-0.99273945430948685</v>
      </c>
    </row>
    <row r="67" spans="1:26" s="24" customFormat="1" hidden="1" outlineLevel="2" x14ac:dyDescent="0.25">
      <c r="A67" s="25"/>
      <c r="B67" s="11" t="str">
        <f>CONCATENATE("          ", "6237", " - ", "JANITORIAL SUPPLIES")</f>
        <v xml:space="preserve">          6237 - JANITORIAL SUPPLIES</v>
      </c>
      <c r="C67" s="11"/>
      <c r="D67" s="6"/>
      <c r="E67" s="2"/>
      <c r="F67" s="7">
        <f t="shared" si="62"/>
        <v>0</v>
      </c>
      <c r="G67" s="2"/>
      <c r="H67" s="6">
        <v>355.49</v>
      </c>
      <c r="I67" s="2"/>
      <c r="J67" s="7">
        <f t="shared" si="63"/>
        <v>7.0604867364380229E-3</v>
      </c>
      <c r="K67" s="2"/>
      <c r="L67" s="6">
        <f t="shared" si="64"/>
        <v>-355.49</v>
      </c>
      <c r="M67" s="2"/>
      <c r="N67" s="7">
        <f t="shared" si="65"/>
        <v>-1</v>
      </c>
      <c r="O67" s="11"/>
      <c r="P67" s="6">
        <v>72</v>
      </c>
      <c r="Q67" s="2"/>
      <c r="R67" s="7">
        <f t="shared" si="66"/>
        <v>0</v>
      </c>
      <c r="S67" s="2"/>
      <c r="T67" s="6">
        <v>1428.63</v>
      </c>
      <c r="U67" s="2"/>
      <c r="V67" s="7">
        <f t="shared" si="67"/>
        <v>2.5658644709966151E-3</v>
      </c>
      <c r="W67" s="2"/>
      <c r="X67" s="6">
        <f t="shared" si="68"/>
        <v>-1356.63</v>
      </c>
      <c r="Y67" s="2"/>
      <c r="Z67" s="7">
        <f t="shared" si="69"/>
        <v>-0.9496020663152811</v>
      </c>
    </row>
    <row r="68" spans="1:26" s="24" customFormat="1" hidden="1" outlineLevel="2" x14ac:dyDescent="0.25">
      <c r="A68" s="25"/>
      <c r="B68" s="11" t="str">
        <f>CONCATENATE("          ", "6239", " - ", "KITCHEN SUPPLIES")</f>
        <v xml:space="preserve">          6239 - KITCHEN SUPPLIES</v>
      </c>
      <c r="C68" s="11"/>
      <c r="D68" s="6"/>
      <c r="E68" s="2"/>
      <c r="F68" s="7">
        <f t="shared" si="62"/>
        <v>0</v>
      </c>
      <c r="G68" s="2"/>
      <c r="H68" s="6">
        <v>528.49</v>
      </c>
      <c r="I68" s="2"/>
      <c r="J68" s="7">
        <f t="shared" si="63"/>
        <v>1.0496488326929395E-2</v>
      </c>
      <c r="K68" s="2"/>
      <c r="L68" s="6">
        <f t="shared" si="64"/>
        <v>-528.49</v>
      </c>
      <c r="M68" s="2"/>
      <c r="N68" s="7">
        <f t="shared" si="65"/>
        <v>-1</v>
      </c>
      <c r="O68" s="11"/>
      <c r="P68" s="6"/>
      <c r="Q68" s="2"/>
      <c r="R68" s="7">
        <f t="shared" si="66"/>
        <v>0</v>
      </c>
      <c r="S68" s="2"/>
      <c r="T68" s="6">
        <v>4001.24</v>
      </c>
      <c r="U68" s="2"/>
      <c r="V68" s="7">
        <f t="shared" si="67"/>
        <v>7.1863530486763506E-3</v>
      </c>
      <c r="W68" s="2"/>
      <c r="X68" s="6">
        <f t="shared" si="68"/>
        <v>-4001.24</v>
      </c>
      <c r="Y68" s="2"/>
      <c r="Z68" s="7">
        <f t="shared" si="69"/>
        <v>-1</v>
      </c>
    </row>
    <row r="69" spans="1:26" s="24" customFormat="1" hidden="1" outlineLevel="2" x14ac:dyDescent="0.25">
      <c r="A69" s="25"/>
      <c r="B69" s="11" t="str">
        <f>CONCATENATE("          ", "6241", " - ", "OFFICE EXPENSE")</f>
        <v xml:space="preserve">          6241 - OFFICE EXPENSE</v>
      </c>
      <c r="C69" s="11"/>
      <c r="D69" s="6"/>
      <c r="E69" s="2"/>
      <c r="F69" s="7">
        <f t="shared" si="62"/>
        <v>0</v>
      </c>
      <c r="G69" s="2"/>
      <c r="H69" s="6">
        <v>236.42</v>
      </c>
      <c r="I69" s="2"/>
      <c r="J69" s="7">
        <f t="shared" si="63"/>
        <v>4.6956040232599434E-3</v>
      </c>
      <c r="K69" s="2"/>
      <c r="L69" s="6">
        <f t="shared" si="64"/>
        <v>-236.42</v>
      </c>
      <c r="M69" s="2"/>
      <c r="N69" s="7">
        <f t="shared" si="65"/>
        <v>-1</v>
      </c>
      <c r="O69" s="11"/>
      <c r="P69" s="6"/>
      <c r="Q69" s="2"/>
      <c r="R69" s="7">
        <f t="shared" si="66"/>
        <v>0</v>
      </c>
      <c r="S69" s="2"/>
      <c r="T69" s="6">
        <v>1405.42</v>
      </c>
      <c r="U69" s="2"/>
      <c r="V69" s="7">
        <f t="shared" si="67"/>
        <v>2.5241785800578613E-3</v>
      </c>
      <c r="W69" s="2"/>
      <c r="X69" s="6">
        <f t="shared" si="68"/>
        <v>-1405.42</v>
      </c>
      <c r="Y69" s="2"/>
      <c r="Z69" s="7">
        <f t="shared" si="69"/>
        <v>-1</v>
      </c>
    </row>
    <row r="70" spans="1:26" s="24" customFormat="1" hidden="1" outlineLevel="2" x14ac:dyDescent="0.25">
      <c r="A70" s="25"/>
      <c r="B70" s="11" t="str">
        <f>CONCATENATE("          ", "6243", " - ", "PAPER SUPPLIES")</f>
        <v xml:space="preserve">          6243 - PAPER SUPPLIES</v>
      </c>
      <c r="C70" s="11"/>
      <c r="D70" s="6"/>
      <c r="E70" s="2"/>
      <c r="F70" s="7">
        <f t="shared" si="62"/>
        <v>0</v>
      </c>
      <c r="G70" s="2"/>
      <c r="H70" s="6">
        <v>678.11</v>
      </c>
      <c r="I70" s="2"/>
      <c r="J70" s="7">
        <f t="shared" si="63"/>
        <v>1.3468133170682685E-2</v>
      </c>
      <c r="K70" s="2"/>
      <c r="L70" s="6">
        <f t="shared" si="64"/>
        <v>-678.11</v>
      </c>
      <c r="M70" s="2"/>
      <c r="N70" s="7">
        <f t="shared" si="65"/>
        <v>-1</v>
      </c>
      <c r="O70" s="11"/>
      <c r="P70" s="6"/>
      <c r="Q70" s="2"/>
      <c r="R70" s="7">
        <f t="shared" si="66"/>
        <v>0</v>
      </c>
      <c r="S70" s="2"/>
      <c r="T70" s="6">
        <v>4346.87</v>
      </c>
      <c r="U70" s="2"/>
      <c r="V70" s="7">
        <f t="shared" si="67"/>
        <v>7.8071154133967889E-3</v>
      </c>
      <c r="W70" s="2"/>
      <c r="X70" s="6">
        <f t="shared" si="68"/>
        <v>-4346.87</v>
      </c>
      <c r="Y70" s="2"/>
      <c r="Z70" s="7">
        <f t="shared" si="69"/>
        <v>-1</v>
      </c>
    </row>
    <row r="71" spans="1:26" s="24" customFormat="1" hidden="1" outlineLevel="2" x14ac:dyDescent="0.25">
      <c r="A71" s="25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62"/>
        <v>0</v>
      </c>
      <c r="G71" s="2"/>
      <c r="H71" s="6"/>
      <c r="I71" s="2"/>
      <c r="J71" s="7">
        <f t="shared" si="63"/>
        <v>0</v>
      </c>
      <c r="K71" s="2"/>
      <c r="L71" s="6">
        <f t="shared" si="64"/>
        <v>0</v>
      </c>
      <c r="M71" s="2"/>
      <c r="N71" s="7">
        <f t="shared" si="65"/>
        <v>0</v>
      </c>
      <c r="O71" s="11"/>
      <c r="P71" s="6"/>
      <c r="Q71" s="2"/>
      <c r="R71" s="7">
        <f t="shared" si="66"/>
        <v>0</v>
      </c>
      <c r="S71" s="2"/>
      <c r="T71" s="6">
        <v>66.930000000000007</v>
      </c>
      <c r="U71" s="2"/>
      <c r="V71" s="7">
        <f t="shared" si="67"/>
        <v>1.2020838778676316E-4</v>
      </c>
      <c r="W71" s="2"/>
      <c r="X71" s="6">
        <f t="shared" si="68"/>
        <v>-66.930000000000007</v>
      </c>
      <c r="Y71" s="2"/>
      <c r="Z71" s="7">
        <f t="shared" si="69"/>
        <v>-1</v>
      </c>
    </row>
    <row r="72" spans="1:26" s="24" customFormat="1" hidden="1" outlineLevel="2" x14ac:dyDescent="0.25">
      <c r="A72" s="25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62"/>
        <v>0</v>
      </c>
      <c r="G72" s="2"/>
      <c r="H72" s="6">
        <v>-1086.98</v>
      </c>
      <c r="I72" s="2"/>
      <c r="J72" s="7">
        <f t="shared" si="63"/>
        <v>-2.158881507995556E-2</v>
      </c>
      <c r="K72" s="2"/>
      <c r="L72" s="6">
        <f t="shared" si="64"/>
        <v>1086.98</v>
      </c>
      <c r="M72" s="2"/>
      <c r="N72" s="7">
        <f t="shared" si="65"/>
        <v>-1</v>
      </c>
      <c r="O72" s="11"/>
      <c r="P72" s="6"/>
      <c r="Q72" s="2"/>
      <c r="R72" s="7">
        <f t="shared" si="66"/>
        <v>0</v>
      </c>
      <c r="S72" s="2"/>
      <c r="T72" s="6">
        <v>-1466.56</v>
      </c>
      <c r="U72" s="2"/>
      <c r="V72" s="7">
        <f t="shared" si="67"/>
        <v>-2.6339879455035912E-3</v>
      </c>
      <c r="W72" s="2"/>
      <c r="X72" s="6">
        <f t="shared" si="68"/>
        <v>1466.56</v>
      </c>
      <c r="Y72" s="2"/>
      <c r="Z72" s="7">
        <f t="shared" si="69"/>
        <v>-1</v>
      </c>
    </row>
    <row r="73" spans="1:26" s="24" customFormat="1" hidden="1" outlineLevel="2" x14ac:dyDescent="0.25">
      <c r="A73" s="25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62"/>
        <v>0</v>
      </c>
      <c r="G73" s="2"/>
      <c r="H73" s="6"/>
      <c r="I73" s="2"/>
      <c r="J73" s="7">
        <f t="shared" si="63"/>
        <v>0</v>
      </c>
      <c r="K73" s="2"/>
      <c r="L73" s="6">
        <f t="shared" si="64"/>
        <v>0</v>
      </c>
      <c r="M73" s="2"/>
      <c r="N73" s="7">
        <f t="shared" si="65"/>
        <v>0</v>
      </c>
      <c r="O73" s="11"/>
      <c r="P73" s="6"/>
      <c r="Q73" s="2"/>
      <c r="R73" s="7">
        <f t="shared" si="66"/>
        <v>0</v>
      </c>
      <c r="S73" s="2"/>
      <c r="T73" s="6">
        <v>134.08000000000001</v>
      </c>
      <c r="U73" s="2"/>
      <c r="V73" s="7">
        <f t="shared" si="67"/>
        <v>2.4081190250185573E-4</v>
      </c>
      <c r="W73" s="2"/>
      <c r="X73" s="6">
        <f t="shared" si="68"/>
        <v>-134.08000000000001</v>
      </c>
      <c r="Y73" s="2"/>
      <c r="Z73" s="7">
        <f t="shared" si="69"/>
        <v>-1</v>
      </c>
    </row>
    <row r="74" spans="1:26" s="26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SUM(OSRRefD22_15x_0)</f>
        <v>0</v>
      </c>
      <c r="E74" s="1"/>
      <c r="F74" s="5">
        <f t="shared" ref="F74:F79" si="70">IF(D$12=0,0,D74/D$12)</f>
        <v>0</v>
      </c>
      <c r="G74" s="1"/>
      <c r="H74" s="1">
        <f>SUM(OSRRefH22_15x_0)</f>
        <v>823.2</v>
      </c>
      <c r="I74" s="1"/>
      <c r="J74" s="5">
        <f t="shared" ref="J74:J79" si="71">IF(H$12=0,0,H74/H$12)</f>
        <v>1.6349806412095363E-2</v>
      </c>
      <c r="K74" s="1"/>
      <c r="L74" s="1">
        <f t="shared" ref="L74:L79" si="72">+D74-H74</f>
        <v>-823.2</v>
      </c>
      <c r="M74" s="1"/>
      <c r="N74" s="5">
        <f t="shared" ref="N74:N79" si="73">IF(H74=0,0,L74/H74)</f>
        <v>-1</v>
      </c>
      <c r="O74" s="13"/>
      <c r="P74" s="1">
        <f>SUM(OSRRefP22_15x_0)</f>
        <v>77.430000000000007</v>
      </c>
      <c r="Q74" s="1"/>
      <c r="R74" s="5">
        <f t="shared" ref="R74:R79" si="74">IF(P$12=0,0,P74/P$12)</f>
        <v>0</v>
      </c>
      <c r="S74" s="1"/>
      <c r="T74" s="1">
        <f>SUM(OSRRefT22_15x_0)</f>
        <v>1315.5</v>
      </c>
      <c r="U74" s="1"/>
      <c r="V74" s="5">
        <f t="shared" ref="V74:V79" si="75">IF(T$12=0,0,T74/T$12)</f>
        <v>2.3626794282606742E-3</v>
      </c>
      <c r="W74" s="1"/>
      <c r="X74" s="1">
        <f t="shared" ref="X74:X79" si="76">+P74-T74</f>
        <v>-1238.07</v>
      </c>
      <c r="Y74" s="1"/>
      <c r="Z74" s="5">
        <f t="shared" ref="Z74:Z79" si="77">IF(T74=0,0,X74/T74)</f>
        <v>-0.94114025085518804</v>
      </c>
    </row>
    <row r="75" spans="1:26" s="24" customFormat="1" hidden="1" outlineLevel="2" x14ac:dyDescent="0.25">
      <c r="A75" s="25"/>
      <c r="B75" s="11" t="str">
        <f>CONCATENATE("          ", "6309", " - ", "TELEPHONE")</f>
        <v xml:space="preserve">          6309 - TELEPHONE</v>
      </c>
      <c r="C75" s="11"/>
      <c r="D75" s="6"/>
      <c r="E75" s="2"/>
      <c r="F75" s="7">
        <f t="shared" si="70"/>
        <v>0</v>
      </c>
      <c r="G75" s="2"/>
      <c r="H75" s="6">
        <v>823.2</v>
      </c>
      <c r="I75" s="2"/>
      <c r="J75" s="7">
        <f t="shared" si="71"/>
        <v>1.6349806412095363E-2</v>
      </c>
      <c r="K75" s="2"/>
      <c r="L75" s="6">
        <f t="shared" si="72"/>
        <v>-823.2</v>
      </c>
      <c r="M75" s="2"/>
      <c r="N75" s="7">
        <f t="shared" si="73"/>
        <v>-1</v>
      </c>
      <c r="O75" s="11"/>
      <c r="P75" s="6">
        <v>77.430000000000007</v>
      </c>
      <c r="Q75" s="2"/>
      <c r="R75" s="7">
        <f t="shared" si="74"/>
        <v>0</v>
      </c>
      <c r="S75" s="2"/>
      <c r="T75" s="6">
        <v>1315.5</v>
      </c>
      <c r="U75" s="2"/>
      <c r="V75" s="7">
        <f t="shared" si="75"/>
        <v>2.3626794282606742E-3</v>
      </c>
      <c r="W75" s="2"/>
      <c r="X75" s="6">
        <f t="shared" si="76"/>
        <v>-1238.07</v>
      </c>
      <c r="Y75" s="2"/>
      <c r="Z75" s="7">
        <f t="shared" si="77"/>
        <v>-0.94114025085518804</v>
      </c>
    </row>
    <row r="76" spans="1:26" s="26" customFormat="1" outlineLevel="1" collapsed="1" x14ac:dyDescent="0.25">
      <c r="A76" s="27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SUM(OSRRefD22_16x_0)</f>
        <v>0</v>
      </c>
      <c r="E76" s="1"/>
      <c r="F76" s="5">
        <f t="shared" si="70"/>
        <v>0</v>
      </c>
      <c r="G76" s="1"/>
      <c r="H76" s="1">
        <f>SUM(OSRRefH22_16x_0)</f>
        <v>0</v>
      </c>
      <c r="I76" s="1"/>
      <c r="J76" s="5">
        <f t="shared" si="71"/>
        <v>0</v>
      </c>
      <c r="K76" s="1"/>
      <c r="L76" s="1">
        <f t="shared" si="72"/>
        <v>0</v>
      </c>
      <c r="M76" s="1"/>
      <c r="N76" s="5">
        <f t="shared" si="73"/>
        <v>0</v>
      </c>
      <c r="O76" s="13"/>
      <c r="P76" s="1">
        <f>SUM(OSRRefP22_16x_0)</f>
        <v>0</v>
      </c>
      <c r="Q76" s="1"/>
      <c r="R76" s="5">
        <f t="shared" si="74"/>
        <v>0</v>
      </c>
      <c r="S76" s="1"/>
      <c r="T76" s="1">
        <f>SUM(OSRRefT22_16x_0)</f>
        <v>465.65</v>
      </c>
      <c r="U76" s="1"/>
      <c r="V76" s="5">
        <f t="shared" si="75"/>
        <v>8.3632206443905958E-4</v>
      </c>
      <c r="W76" s="1"/>
      <c r="X76" s="1">
        <f t="shared" si="76"/>
        <v>-465.65</v>
      </c>
      <c r="Y76" s="1"/>
      <c r="Z76" s="5">
        <f t="shared" si="77"/>
        <v>-1</v>
      </c>
    </row>
    <row r="77" spans="1:26" s="24" customFormat="1" hidden="1" outlineLevel="2" x14ac:dyDescent="0.25">
      <c r="A77" s="25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70"/>
        <v>0</v>
      </c>
      <c r="G77" s="2"/>
      <c r="H77" s="6"/>
      <c r="I77" s="2"/>
      <c r="J77" s="7">
        <f t="shared" si="71"/>
        <v>0</v>
      </c>
      <c r="K77" s="2"/>
      <c r="L77" s="6">
        <f t="shared" si="72"/>
        <v>0</v>
      </c>
      <c r="M77" s="2"/>
      <c r="N77" s="7">
        <f t="shared" si="73"/>
        <v>0</v>
      </c>
      <c r="O77" s="11"/>
      <c r="P77" s="6"/>
      <c r="Q77" s="2"/>
      <c r="R77" s="7">
        <f t="shared" si="74"/>
        <v>0</v>
      </c>
      <c r="S77" s="2"/>
      <c r="T77" s="6">
        <v>465.65</v>
      </c>
      <c r="U77" s="2"/>
      <c r="V77" s="7">
        <f t="shared" si="75"/>
        <v>8.3632206443905958E-4</v>
      </c>
      <c r="W77" s="2"/>
      <c r="X77" s="6">
        <f t="shared" si="76"/>
        <v>-465.65</v>
      </c>
      <c r="Y77" s="2"/>
      <c r="Z77" s="7">
        <f t="shared" si="77"/>
        <v>-1</v>
      </c>
    </row>
    <row r="78" spans="1:26" s="26" customFormat="1" outlineLevel="1" collapsed="1" x14ac:dyDescent="0.25">
      <c r="A78" s="27"/>
      <c r="B78" s="13" t="str">
        <f>CONCATENATE("     ","Utilities                                         ")</f>
        <v xml:space="preserve">     Utilities                                         </v>
      </c>
      <c r="C78" s="13"/>
      <c r="D78" s="1">
        <f>SUM(OSRRefD22_17x_0)</f>
        <v>348</v>
      </c>
      <c r="E78" s="1"/>
      <c r="F78" s="5">
        <f t="shared" si="70"/>
        <v>0</v>
      </c>
      <c r="G78" s="1"/>
      <c r="H78" s="1">
        <f>SUM(OSRRefH22_17x_0)</f>
        <v>348</v>
      </c>
      <c r="I78" s="1"/>
      <c r="J78" s="5">
        <f t="shared" si="71"/>
        <v>6.9117257427225298E-3</v>
      </c>
      <c r="K78" s="1"/>
      <c r="L78" s="1">
        <f t="shared" si="72"/>
        <v>0</v>
      </c>
      <c r="M78" s="1"/>
      <c r="N78" s="5">
        <f t="shared" si="73"/>
        <v>0</v>
      </c>
      <c r="O78" s="13"/>
      <c r="P78" s="1">
        <f>SUM(OSRRefP22_17x_0)</f>
        <v>1392</v>
      </c>
      <c r="Q78" s="1"/>
      <c r="R78" s="5">
        <f t="shared" si="74"/>
        <v>0</v>
      </c>
      <c r="S78" s="1"/>
      <c r="T78" s="1">
        <f>SUM(OSRRefT22_17x_0)</f>
        <v>2432</v>
      </c>
      <c r="U78" s="1"/>
      <c r="V78" s="5">
        <f t="shared" si="75"/>
        <v>4.3679485895324662E-3</v>
      </c>
      <c r="W78" s="1"/>
      <c r="X78" s="1">
        <f t="shared" si="76"/>
        <v>-1040</v>
      </c>
      <c r="Y78" s="1"/>
      <c r="Z78" s="5">
        <f t="shared" si="77"/>
        <v>-0.42763157894736842</v>
      </c>
    </row>
    <row r="79" spans="1:26" s="24" customFormat="1" hidden="1" outlineLevel="2" x14ac:dyDescent="0.25">
      <c r="A79" s="25"/>
      <c r="B79" s="11" t="str">
        <f>CONCATENATE("          ", "6274", " - ", "UTILITIES")</f>
        <v xml:space="preserve">          6274 - UTILITIES</v>
      </c>
      <c r="C79" s="11"/>
      <c r="D79" s="6">
        <v>348</v>
      </c>
      <c r="E79" s="2"/>
      <c r="F79" s="7">
        <f t="shared" si="70"/>
        <v>0</v>
      </c>
      <c r="G79" s="2"/>
      <c r="H79" s="6">
        <v>348</v>
      </c>
      <c r="I79" s="2"/>
      <c r="J79" s="7">
        <f t="shared" si="71"/>
        <v>6.9117257427225298E-3</v>
      </c>
      <c r="K79" s="2"/>
      <c r="L79" s="6">
        <f t="shared" si="72"/>
        <v>0</v>
      </c>
      <c r="M79" s="2"/>
      <c r="N79" s="7">
        <f t="shared" si="73"/>
        <v>0</v>
      </c>
      <c r="O79" s="11"/>
      <c r="P79" s="6">
        <v>1392</v>
      </c>
      <c r="Q79" s="2"/>
      <c r="R79" s="7">
        <f t="shared" si="74"/>
        <v>0</v>
      </c>
      <c r="S79" s="2"/>
      <c r="T79" s="6">
        <v>2432</v>
      </c>
      <c r="U79" s="2"/>
      <c r="V79" s="7">
        <f t="shared" si="75"/>
        <v>4.3679485895324662E-3</v>
      </c>
      <c r="W79" s="2"/>
      <c r="X79" s="6">
        <f t="shared" si="76"/>
        <v>-1040</v>
      </c>
      <c r="Y79" s="2"/>
      <c r="Z79" s="7">
        <f t="shared" si="77"/>
        <v>-0.42763157894736842</v>
      </c>
    </row>
    <row r="80" spans="1:26" s="61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9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8" t="s">
        <v>3</v>
      </c>
      <c r="C83" s="28"/>
      <c r="D83" s="20">
        <f>+D20-D22+D81</f>
        <v>-5696.01</v>
      </c>
      <c r="E83" s="14"/>
      <c r="F83" s="22">
        <f>IF(D$12=0,0,D83/D$12)</f>
        <v>0</v>
      </c>
      <c r="G83" s="14"/>
      <c r="H83" s="20">
        <f>+H20-H22+H81</f>
        <v>-27022.819999999985</v>
      </c>
      <c r="I83" s="14"/>
      <c r="J83" s="22">
        <f>IF(H$12=0,0,H83/H$12)</f>
        <v>-0.53670781791654343</v>
      </c>
      <c r="K83" s="15"/>
      <c r="L83" s="20">
        <f>+D83-H83</f>
        <v>21326.809999999983</v>
      </c>
      <c r="M83" s="15"/>
      <c r="N83" s="22">
        <f>IF(H83=0,0,L83/H83)</f>
        <v>-0.78921481917875314</v>
      </c>
      <c r="O83" s="29"/>
      <c r="P83" s="20">
        <f>+P20-P22+P81</f>
        <v>-50886.05000000001</v>
      </c>
      <c r="Q83" s="14"/>
      <c r="R83" s="22">
        <f>IF(P$12=0,0,P83/P$12)</f>
        <v>0</v>
      </c>
      <c r="S83" s="14"/>
      <c r="T83" s="20">
        <f>+T20-T22+T81</f>
        <v>-53013.939999999944</v>
      </c>
      <c r="U83" s="14"/>
      <c r="V83" s="22">
        <f>IF(T$12=0,0,T83/T$12)</f>
        <v>-9.5214705776545464E-2</v>
      </c>
      <c r="W83" s="15"/>
      <c r="X83" s="20">
        <f>+P83-T83</f>
        <v>2127.8899999999339</v>
      </c>
      <c r="Y83" s="15"/>
      <c r="Z83" s="22">
        <f>IF(T83=0,0,X83/T83)</f>
        <v>-4.0138310791462323E-2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/>
      <c r="E85" s="4"/>
      <c r="F85" s="12">
        <f>IF(D$12=0,0,D85/D$12)</f>
        <v>0</v>
      </c>
      <c r="G85" s="4"/>
      <c r="H85" s="4">
        <v>3365.83</v>
      </c>
      <c r="I85" s="4"/>
      <c r="J85" s="12">
        <f>IF(H$12=0,0,H85/H$12)</f>
        <v>6.6849694990309683E-2</v>
      </c>
      <c r="K85" s="4"/>
      <c r="L85" s="4">
        <f>+D85-H85</f>
        <v>-3365.83</v>
      </c>
      <c r="M85" s="4"/>
      <c r="N85" s="12">
        <f>IF(H85=0,0,L85/H85)</f>
        <v>-1</v>
      </c>
      <c r="O85" s="10"/>
      <c r="P85" s="4"/>
      <c r="Q85" s="4"/>
      <c r="R85" s="12">
        <f>IF(P$12=0,0,P85/P$12)</f>
        <v>0</v>
      </c>
      <c r="S85" s="4"/>
      <c r="T85" s="4">
        <v>58064.590000000004</v>
      </c>
      <c r="U85" s="4"/>
      <c r="V85" s="12">
        <f>IF(T$12=0,0,T85/T$12)</f>
        <v>0.10428583223366816</v>
      </c>
      <c r="W85" s="4"/>
      <c r="X85" s="4">
        <f>+P85-T85</f>
        <v>-58064.590000000004</v>
      </c>
      <c r="Y85" s="4"/>
      <c r="Z85" s="12">
        <f>IF(T85=0,0,X85/T85)</f>
        <v>-1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4</v>
      </c>
      <c r="C87" s="28"/>
      <c r="D87" s="30">
        <f>+D83-D85</f>
        <v>-5696.01</v>
      </c>
      <c r="E87" s="14"/>
      <c r="F87" s="36">
        <f>IF(D$12=0,0,D87/D$12)</f>
        <v>0</v>
      </c>
      <c r="G87" s="14"/>
      <c r="H87" s="30">
        <f>+H83-H85</f>
        <v>-30388.649999999987</v>
      </c>
      <c r="I87" s="14"/>
      <c r="J87" s="36">
        <f>IF(H$12=0,0,H87/H$12)</f>
        <v>-0.60355751290685322</v>
      </c>
      <c r="K87" s="15"/>
      <c r="L87" s="30">
        <f>D87-H87</f>
        <v>24692.639999999985</v>
      </c>
      <c r="M87" s="15"/>
      <c r="N87" s="36">
        <f>IF(H87=0,0,L87/H87)</f>
        <v>-0.81256126876317292</v>
      </c>
      <c r="O87" s="29"/>
      <c r="P87" s="30">
        <f>+P83-P85</f>
        <v>-50886.05000000001</v>
      </c>
      <c r="Q87" s="14"/>
      <c r="R87" s="36">
        <f>IF(P$12=0,0,P87/P$12)</f>
        <v>0</v>
      </c>
      <c r="S87" s="14"/>
      <c r="T87" s="30">
        <f>+T83-T85</f>
        <v>-111078.52999999994</v>
      </c>
      <c r="U87" s="14"/>
      <c r="V87" s="36">
        <f>IF(T$12=0,0,T87/T$12)</f>
        <v>-0.19950053801021361</v>
      </c>
      <c r="W87" s="15"/>
      <c r="X87" s="30">
        <f>P87-T87</f>
        <v>60192.47999999993</v>
      </c>
      <c r="Y87" s="15"/>
      <c r="Z87" s="36">
        <f>IF(T87=0,0,X87/T87)</f>
        <v>-0.54189121876207724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5</v>
      </c>
      <c r="C90" s="28"/>
      <c r="D90" s="32">
        <f>SUM(D87:D89)</f>
        <v>-5696.01</v>
      </c>
      <c r="E90" s="14"/>
      <c r="F90" s="31">
        <f>IF(D$12=0,0,D90/D$12)</f>
        <v>0</v>
      </c>
      <c r="G90" s="14"/>
      <c r="H90" s="32">
        <f>SUM(H87:H89)</f>
        <v>-30388.649999999987</v>
      </c>
      <c r="I90" s="14"/>
      <c r="J90" s="31">
        <f>IF(H$12=0,0,H90/H$12)</f>
        <v>-0.60355751290685322</v>
      </c>
      <c r="K90" s="15"/>
      <c r="L90" s="32">
        <f>+D90-H90</f>
        <v>24692.639999999985</v>
      </c>
      <c r="M90" s="15"/>
      <c r="N90" s="31">
        <f>IF(H90=0,0,L90/H90)</f>
        <v>-0.81256126876317292</v>
      </c>
      <c r="O90" s="29"/>
      <c r="P90" s="32">
        <f>SUM(P87:P89)</f>
        <v>-50886.05000000001</v>
      </c>
      <c r="Q90" s="14"/>
      <c r="R90" s="31">
        <f>IF(P$12=0,0,P90/P$12)</f>
        <v>0</v>
      </c>
      <c r="S90" s="14"/>
      <c r="T90" s="32">
        <f>SUM(T87:T89)</f>
        <v>-111078.52999999994</v>
      </c>
      <c r="U90" s="14"/>
      <c r="V90" s="31">
        <f>IF(T$12=0,0,T90/T$12)</f>
        <v>-0.19950053801021361</v>
      </c>
      <c r="W90" s="15"/>
      <c r="X90" s="32">
        <f>+P90-T90</f>
        <v>60192.47999999993</v>
      </c>
      <c r="Y90" s="15"/>
      <c r="Z90" s="31">
        <f>IF(T90=0,0,X90/T90)</f>
        <v>-0.54189121876207724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62">
        <v>44238.496400231481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9" t="s">
        <v>313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6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","406", " - ", "OPA! Greek")</f>
        <v>Department 406 - OPA! Greek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13667.810000000001</v>
      </c>
      <c r="I12" s="4"/>
      <c r="J12" s="12"/>
      <c r="K12" s="4"/>
      <c r="L12" s="4">
        <f t="shared" ref="L12:L14" si="0">+D12-H12</f>
        <v>-13667.810000000001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151545.38999999998</v>
      </c>
      <c r="U12" s="4"/>
      <c r="V12" s="12"/>
      <c r="W12" s="4"/>
      <c r="X12" s="4">
        <f t="shared" ref="X12:X14" si="2">+P12-T12</f>
        <v>-151545.38999999998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--2379.2</f>
        <v>2379.1999999999998</v>
      </c>
      <c r="I13" s="2"/>
      <c r="J13" s="19"/>
      <c r="K13" s="2"/>
      <c r="L13" s="2">
        <f t="shared" si="0"/>
        <v>-2379.1999999999998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--36450.63</f>
        <v>36450.629999999997</v>
      </c>
      <c r="U13" s="2"/>
      <c r="V13" s="19"/>
      <c r="W13" s="2"/>
      <c r="X13" s="2">
        <f t="shared" si="2"/>
        <v>-36450.629999999997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--11288.61</f>
        <v>11288.61</v>
      </c>
      <c r="I14" s="2"/>
      <c r="J14" s="19"/>
      <c r="K14" s="2"/>
      <c r="L14" s="2">
        <f t="shared" si="0"/>
        <v>-11288.61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--115094.76</f>
        <v>115094.76</v>
      </c>
      <c r="U14" s="2"/>
      <c r="V14" s="19"/>
      <c r="W14" s="2"/>
      <c r="X14" s="2">
        <f t="shared" si="2"/>
        <v>-115094.76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4278.0200000000004</v>
      </c>
      <c r="I16" s="4"/>
      <c r="J16" s="12">
        <f t="shared" ref="J16:J18" si="7">IF(H$12=0,0,H16/H$12)</f>
        <v>0.31299966856431277</v>
      </c>
      <c r="K16" s="4"/>
      <c r="L16" s="4">
        <f t="shared" ref="L16:L18" si="8">+D16-H16</f>
        <v>-4278.0200000000004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52698.559999999998</v>
      </c>
      <c r="U16" s="4"/>
      <c r="V16" s="12">
        <f t="shared" ref="V16:V18" si="11">IF(T$12=0,0,T16/T$12)</f>
        <v>0.3477410959185232</v>
      </c>
      <c r="W16" s="4"/>
      <c r="X16" s="4">
        <f t="shared" ref="X16:X18" si="12">+P16-T16</f>
        <v>-52698.559999999998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6808.02</v>
      </c>
      <c r="I17" s="2"/>
      <c r="J17" s="19">
        <f t="shared" si="7"/>
        <v>0.49810613404781012</v>
      </c>
      <c r="K17" s="2"/>
      <c r="L17" s="2">
        <f t="shared" si="8"/>
        <v>-6808.02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56061.18</v>
      </c>
      <c r="U17" s="2"/>
      <c r="V17" s="19">
        <f t="shared" si="11"/>
        <v>0.36992995959824315</v>
      </c>
      <c r="W17" s="2"/>
      <c r="X17" s="2">
        <f t="shared" si="12"/>
        <v>-56061.18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-2530</v>
      </c>
      <c r="I18" s="2"/>
      <c r="J18" s="19">
        <f t="shared" si="7"/>
        <v>-0.18510646548349735</v>
      </c>
      <c r="K18" s="2"/>
      <c r="L18" s="2">
        <f t="shared" si="8"/>
        <v>2530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-3362.62</v>
      </c>
      <c r="U18" s="2"/>
      <c r="V18" s="19">
        <f t="shared" si="11"/>
        <v>-2.2188863679719985E-2</v>
      </c>
      <c r="W18" s="2"/>
      <c r="X18" s="2">
        <f t="shared" si="12"/>
        <v>3362.62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9389.7900000000009</v>
      </c>
      <c r="I20" s="14"/>
      <c r="J20" s="22">
        <f>IF(H$12=0,0,H20/H$12)</f>
        <v>0.68700033143568717</v>
      </c>
      <c r="K20" s="15"/>
      <c r="L20" s="20">
        <f>+D20-H20</f>
        <v>-9389.7900000000009</v>
      </c>
      <c r="M20" s="15"/>
      <c r="N20" s="22">
        <f>IF(H20=0,0,L20/H20)</f>
        <v>-1</v>
      </c>
      <c r="O20" s="29"/>
      <c r="P20" s="20">
        <f>P12-P16</f>
        <v>0</v>
      </c>
      <c r="Q20" s="14"/>
      <c r="R20" s="22">
        <f>IF(P$12=0,0,P20/P$12)</f>
        <v>0</v>
      </c>
      <c r="S20" s="14"/>
      <c r="T20" s="20">
        <f>T12-T16</f>
        <v>98846.829999999987</v>
      </c>
      <c r="U20" s="14"/>
      <c r="V20" s="22">
        <f>IF(T$12=0,0,T20/T$12)</f>
        <v>0.6522589040814768</v>
      </c>
      <c r="W20" s="15"/>
      <c r="X20" s="20">
        <f>+P20-T20</f>
        <v>-98846.829999999987</v>
      </c>
      <c r="Y20" s="15"/>
      <c r="Z20" s="22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119.55</v>
      </c>
      <c r="E22" s="21"/>
      <c r="F22" s="35">
        <f t="shared" ref="F22:F31" si="14">IF(D$12=0,0,D22/D$12)</f>
        <v>0</v>
      </c>
      <c r="G22" s="21"/>
      <c r="H22" s="21">
        <f>SUM(OSRRefH22x_0)</f>
        <v>17521.63</v>
      </c>
      <c r="I22" s="21"/>
      <c r="J22" s="35">
        <f t="shared" ref="J22:J31" si="15">IF(H$12=0,0,H22/H$12)</f>
        <v>1.28196324063621</v>
      </c>
      <c r="K22" s="4"/>
      <c r="L22" s="21">
        <f t="shared" ref="L22:L31" si="16">+D22-H22</f>
        <v>-17402.080000000002</v>
      </c>
      <c r="M22" s="4"/>
      <c r="N22" s="35">
        <f t="shared" ref="N22:N31" si="17">IF(H22=0,0,L22/H22)</f>
        <v>-0.99317700465082304</v>
      </c>
      <c r="O22" s="10"/>
      <c r="P22" s="21">
        <f>SUM(OSRRefP22x_0)</f>
        <v>1864.0500000000002</v>
      </c>
      <c r="Q22" s="21"/>
      <c r="R22" s="35">
        <f t="shared" ref="R22:R31" si="18">IF(P$12=0,0,P22/P$12)</f>
        <v>0</v>
      </c>
      <c r="S22" s="21"/>
      <c r="T22" s="21">
        <f>SUM(OSRRefT22x_0)</f>
        <v>144750.01000000004</v>
      </c>
      <c r="U22" s="21"/>
      <c r="V22" s="35">
        <f t="shared" ref="V22:V31" si="19">IF(T$12=0,0,T22/T$12)</f>
        <v>0.95515944100972028</v>
      </c>
      <c r="W22" s="4"/>
      <c r="X22" s="21">
        <f t="shared" ref="X22:X31" si="20">+P22-T22</f>
        <v>-142885.96000000005</v>
      </c>
      <c r="Y22" s="4"/>
      <c r="Z22" s="35">
        <f t="shared" ref="Z22:Z31" si="21">IF(T22=0,0,X22/T22)</f>
        <v>-0.9871222806823986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1983.5</v>
      </c>
      <c r="I23" s="1"/>
      <c r="J23" s="5">
        <f t="shared" si="15"/>
        <v>0.14512200564684466</v>
      </c>
      <c r="K23" s="1"/>
      <c r="L23" s="1">
        <f t="shared" si="16"/>
        <v>-1983.5</v>
      </c>
      <c r="M23" s="1"/>
      <c r="N23" s="5">
        <f t="shared" si="17"/>
        <v>-1</v>
      </c>
      <c r="O23" s="13"/>
      <c r="P23" s="1">
        <f>SUM(OSRRefP22_0x_0)</f>
        <v>660.8</v>
      </c>
      <c r="Q23" s="1"/>
      <c r="R23" s="5">
        <f t="shared" si="18"/>
        <v>0</v>
      </c>
      <c r="S23" s="1"/>
      <c r="T23" s="1">
        <f>SUM(OSRRefT22_0x_0)</f>
        <v>15150.93</v>
      </c>
      <c r="U23" s="1"/>
      <c r="V23" s="5">
        <f t="shared" si="19"/>
        <v>9.9976185352784422E-2</v>
      </c>
      <c r="W23" s="1"/>
      <c r="X23" s="1">
        <f t="shared" si="20"/>
        <v>-14490.130000000001</v>
      </c>
      <c r="Y23" s="1"/>
      <c r="Z23" s="5">
        <f t="shared" si="21"/>
        <v>-0.95638551560861285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512.78</v>
      </c>
      <c r="I24" s="2"/>
      <c r="J24" s="7">
        <f t="shared" si="15"/>
        <v>3.7517349158350893E-2</v>
      </c>
      <c r="K24" s="2"/>
      <c r="L24" s="6">
        <f t="shared" si="16"/>
        <v>-512.78</v>
      </c>
      <c r="M24" s="2"/>
      <c r="N24" s="7">
        <f t="shared" si="17"/>
        <v>-1</v>
      </c>
      <c r="O24" s="11"/>
      <c r="P24" s="6"/>
      <c r="Q24" s="2"/>
      <c r="R24" s="7">
        <f t="shared" si="18"/>
        <v>0</v>
      </c>
      <c r="S24" s="2"/>
      <c r="T24" s="6">
        <v>5057.6499999999996</v>
      </c>
      <c r="U24" s="2"/>
      <c r="V24" s="7">
        <f t="shared" si="19"/>
        <v>3.3373829451361074E-2</v>
      </c>
      <c r="W24" s="2"/>
      <c r="X24" s="6">
        <f t="shared" si="20"/>
        <v>-5057.6499999999996</v>
      </c>
      <c r="Y24" s="2"/>
      <c r="Z24" s="7">
        <f t="shared" si="21"/>
        <v>-1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379.71</v>
      </c>
      <c r="I25" s="2"/>
      <c r="J25" s="7">
        <f t="shared" si="15"/>
        <v>2.7781334390805837E-2</v>
      </c>
      <c r="K25" s="2"/>
      <c r="L25" s="6">
        <f t="shared" si="16"/>
        <v>-379.71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2919.31</v>
      </c>
      <c r="U25" s="2"/>
      <c r="V25" s="7">
        <f t="shared" si="19"/>
        <v>1.9263601485997036E-2</v>
      </c>
      <c r="W25" s="2"/>
      <c r="X25" s="6">
        <f t="shared" si="20"/>
        <v>-2919.31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36.049999999999997</v>
      </c>
      <c r="I26" s="2"/>
      <c r="J26" s="7">
        <f t="shared" si="15"/>
        <v>2.6375842216126793E-3</v>
      </c>
      <c r="K26" s="2"/>
      <c r="L26" s="6">
        <f t="shared" si="16"/>
        <v>-36.049999999999997</v>
      </c>
      <c r="M26" s="2"/>
      <c r="N26" s="7">
        <f t="shared" si="17"/>
        <v>-1</v>
      </c>
      <c r="O26" s="11"/>
      <c r="P26" s="6">
        <v>660.8</v>
      </c>
      <c r="Q26" s="2"/>
      <c r="R26" s="7">
        <f t="shared" si="18"/>
        <v>0</v>
      </c>
      <c r="S26" s="2"/>
      <c r="T26" s="6">
        <v>245.87</v>
      </c>
      <c r="U26" s="2"/>
      <c r="V26" s="7">
        <f t="shared" si="19"/>
        <v>1.6224182075086548E-3</v>
      </c>
      <c r="W26" s="2"/>
      <c r="X26" s="6">
        <f t="shared" si="20"/>
        <v>414.92999999999995</v>
      </c>
      <c r="Y26" s="2"/>
      <c r="Z26" s="7">
        <f t="shared" si="21"/>
        <v>1.6875991377557242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25.44</v>
      </c>
      <c r="I27" s="2"/>
      <c r="J27" s="7">
        <f t="shared" si="15"/>
        <v>1.8613077003557994E-3</v>
      </c>
      <c r="K27" s="2"/>
      <c r="L27" s="6">
        <f t="shared" si="16"/>
        <v>-25.44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246.12</v>
      </c>
      <c r="U27" s="2"/>
      <c r="V27" s="7">
        <f t="shared" si="19"/>
        <v>1.6240678782772609E-3</v>
      </c>
      <c r="W27" s="2"/>
      <c r="X27" s="6">
        <f t="shared" si="20"/>
        <v>-246.12</v>
      </c>
      <c r="Y27" s="2"/>
      <c r="Z27" s="7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473.18</v>
      </c>
      <c r="I28" s="2"/>
      <c r="J28" s="7">
        <f t="shared" si="15"/>
        <v>3.4620030568174413E-2</v>
      </c>
      <c r="K28" s="2"/>
      <c r="L28" s="6">
        <f t="shared" si="16"/>
        <v>-473.18</v>
      </c>
      <c r="M28" s="2"/>
      <c r="N28" s="7">
        <f t="shared" si="17"/>
        <v>-1</v>
      </c>
      <c r="O28" s="11"/>
      <c r="P28" s="6"/>
      <c r="Q28" s="2"/>
      <c r="R28" s="7">
        <f t="shared" si="18"/>
        <v>0</v>
      </c>
      <c r="S28" s="2"/>
      <c r="T28" s="6">
        <v>2365.88</v>
      </c>
      <c r="U28" s="2"/>
      <c r="V28" s="7">
        <f t="shared" si="19"/>
        <v>1.5611692312118503E-2</v>
      </c>
      <c r="W28" s="2"/>
      <c r="X28" s="6">
        <f t="shared" si="20"/>
        <v>-2365.88</v>
      </c>
      <c r="Y28" s="2"/>
      <c r="Z28" s="7">
        <f t="shared" si="21"/>
        <v>-1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173.88</v>
      </c>
      <c r="I29" s="2"/>
      <c r="J29" s="7">
        <f t="shared" si="15"/>
        <v>1.2721862536865816E-2</v>
      </c>
      <c r="K29" s="2"/>
      <c r="L29" s="6">
        <f t="shared" si="16"/>
        <v>-173.88</v>
      </c>
      <c r="M29" s="2"/>
      <c r="N29" s="7">
        <f t="shared" si="17"/>
        <v>-1</v>
      </c>
      <c r="O29" s="11"/>
      <c r="P29" s="6"/>
      <c r="Q29" s="2"/>
      <c r="R29" s="7">
        <f t="shared" si="18"/>
        <v>0</v>
      </c>
      <c r="S29" s="2"/>
      <c r="T29" s="6">
        <v>1374.05</v>
      </c>
      <c r="U29" s="2"/>
      <c r="V29" s="7">
        <f t="shared" si="19"/>
        <v>9.0669204784124425E-3</v>
      </c>
      <c r="W29" s="2"/>
      <c r="X29" s="6">
        <f t="shared" si="20"/>
        <v>-1374.05</v>
      </c>
      <c r="Y29" s="2"/>
      <c r="Z29" s="7">
        <f t="shared" si="21"/>
        <v>-1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208.3</v>
      </c>
      <c r="I30" s="2"/>
      <c r="J30" s="7">
        <f t="shared" si="15"/>
        <v>1.5240188442771738E-2</v>
      </c>
      <c r="K30" s="2"/>
      <c r="L30" s="6">
        <f t="shared" si="16"/>
        <v>-208.3</v>
      </c>
      <c r="M30" s="2"/>
      <c r="N30" s="7">
        <f t="shared" si="17"/>
        <v>-1</v>
      </c>
      <c r="O30" s="11"/>
      <c r="P30" s="6"/>
      <c r="Q30" s="2"/>
      <c r="R30" s="7">
        <f t="shared" si="18"/>
        <v>0</v>
      </c>
      <c r="S30" s="2"/>
      <c r="T30" s="6">
        <v>1684.08</v>
      </c>
      <c r="U30" s="2"/>
      <c r="V30" s="7">
        <f t="shared" si="19"/>
        <v>1.1112710191976146E-2</v>
      </c>
      <c r="W30" s="2"/>
      <c r="X30" s="6">
        <f t="shared" si="20"/>
        <v>-1684.08</v>
      </c>
      <c r="Y30" s="2"/>
      <c r="Z30" s="7">
        <f t="shared" si="21"/>
        <v>-1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174.16</v>
      </c>
      <c r="I31" s="2"/>
      <c r="J31" s="7">
        <f t="shared" si="15"/>
        <v>1.2742348627907468E-2</v>
      </c>
      <c r="K31" s="2"/>
      <c r="L31" s="6">
        <f t="shared" si="16"/>
        <v>-174.16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1257.97</v>
      </c>
      <c r="U31" s="2"/>
      <c r="V31" s="7">
        <f t="shared" si="19"/>
        <v>8.3009453471332914E-3</v>
      </c>
      <c r="W31" s="2"/>
      <c r="X31" s="6">
        <f t="shared" si="20"/>
        <v>-1257.97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9911.6</v>
      </c>
      <c r="I32" s="1"/>
      <c r="J32" s="5">
        <f t="shared" ref="J32:J37" si="23">IF(H$12=0,0,H32/H$12)</f>
        <v>0.72517835703013134</v>
      </c>
      <c r="K32" s="1"/>
      <c r="L32" s="1">
        <f t="shared" ref="L32:L37" si="24">+D32-H32</f>
        <v>-9911.6</v>
      </c>
      <c r="M32" s="1"/>
      <c r="N32" s="5">
        <f t="shared" ref="N32:N37" si="25">IF(H32=0,0,L32/H32)</f>
        <v>-1</v>
      </c>
      <c r="O32" s="13"/>
      <c r="P32" s="1">
        <f>SUM(OSRRefP22_1x_0)</f>
        <v>0</v>
      </c>
      <c r="Q32" s="1"/>
      <c r="R32" s="5">
        <f t="shared" ref="R32:R37" si="26">IF(P$12=0,0,P32/P$12)</f>
        <v>0</v>
      </c>
      <c r="S32" s="1"/>
      <c r="T32" s="1">
        <f>SUM(OSRRefT22_1x_0)</f>
        <v>86164.36</v>
      </c>
      <c r="U32" s="1"/>
      <c r="V32" s="5">
        <f t="shared" ref="V32:V37" si="27">IF(T$12=0,0,T32/T$12)</f>
        <v>0.56857130395058542</v>
      </c>
      <c r="W32" s="1"/>
      <c r="X32" s="1">
        <f t="shared" ref="X32:X37" si="28">+P32-T32</f>
        <v>-86164.36</v>
      </c>
      <c r="Y32" s="1"/>
      <c r="Z32" s="5">
        <f t="shared" ref="Z32:Z37" si="29">IF(T32=0,0,X32/T32)</f>
        <v>-1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5096.97</v>
      </c>
      <c r="I33" s="2"/>
      <c r="J33" s="7">
        <f t="shared" si="23"/>
        <v>0.37291782663060136</v>
      </c>
      <c r="K33" s="2"/>
      <c r="L33" s="6">
        <f t="shared" si="24"/>
        <v>-5096.97</v>
      </c>
      <c r="M33" s="2"/>
      <c r="N33" s="7">
        <f t="shared" si="25"/>
        <v>-1</v>
      </c>
      <c r="O33" s="11"/>
      <c r="P33" s="6"/>
      <c r="Q33" s="2"/>
      <c r="R33" s="7">
        <f t="shared" si="26"/>
        <v>0</v>
      </c>
      <c r="S33" s="2"/>
      <c r="T33" s="6">
        <v>32074.28</v>
      </c>
      <c r="U33" s="2"/>
      <c r="V33" s="7">
        <f t="shared" si="27"/>
        <v>0.21164800856033958</v>
      </c>
      <c r="W33" s="2"/>
      <c r="X33" s="6">
        <f t="shared" si="28"/>
        <v>-32074.28</v>
      </c>
      <c r="Y33" s="2"/>
      <c r="Z33" s="7">
        <f t="shared" si="29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1989.13</v>
      </c>
      <c r="I34" s="2"/>
      <c r="J34" s="7">
        <f t="shared" si="23"/>
        <v>0.1455339224060036</v>
      </c>
      <c r="K34" s="2"/>
      <c r="L34" s="6">
        <f t="shared" si="24"/>
        <v>-1989.13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27499.08</v>
      </c>
      <c r="U34" s="2"/>
      <c r="V34" s="7">
        <f t="shared" si="27"/>
        <v>0.18145771375823444</v>
      </c>
      <c r="W34" s="2"/>
      <c r="X34" s="6">
        <f t="shared" si="28"/>
        <v>-27499.08</v>
      </c>
      <c r="Y34" s="2"/>
      <c r="Z34" s="7">
        <f t="shared" si="29"/>
        <v>-1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2"/>
        <v>0</v>
      </c>
      <c r="G35" s="2"/>
      <c r="H35" s="6">
        <v>68.25</v>
      </c>
      <c r="I35" s="2"/>
      <c r="J35" s="7">
        <f t="shared" si="23"/>
        <v>4.9934846914026455E-3</v>
      </c>
      <c r="K35" s="2"/>
      <c r="L35" s="6">
        <f t="shared" si="24"/>
        <v>-68.25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178.75</v>
      </c>
      <c r="U35" s="2"/>
      <c r="V35" s="7">
        <f t="shared" si="27"/>
        <v>1.1795145995533089E-3</v>
      </c>
      <c r="W35" s="2"/>
      <c r="X35" s="6">
        <f t="shared" si="28"/>
        <v>-178.75</v>
      </c>
      <c r="Y35" s="2"/>
      <c r="Z35" s="7">
        <f t="shared" si="29"/>
        <v>-1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2692.25</v>
      </c>
      <c r="I36" s="2"/>
      <c r="J36" s="7">
        <f t="shared" si="23"/>
        <v>0.19697742359602596</v>
      </c>
      <c r="K36" s="2"/>
      <c r="L36" s="6">
        <f t="shared" si="24"/>
        <v>-2692.25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24715.25</v>
      </c>
      <c r="U36" s="2"/>
      <c r="V36" s="7">
        <f t="shared" si="27"/>
        <v>0.16308810185516037</v>
      </c>
      <c r="W36" s="2"/>
      <c r="X36" s="6">
        <f t="shared" si="28"/>
        <v>-24715.25</v>
      </c>
      <c r="Y36" s="2"/>
      <c r="Z36" s="7">
        <f t="shared" si="29"/>
        <v>-1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>
        <v>65</v>
      </c>
      <c r="I37" s="2"/>
      <c r="J37" s="7">
        <f t="shared" si="23"/>
        <v>4.7556997060977579E-3</v>
      </c>
      <c r="K37" s="2"/>
      <c r="L37" s="6">
        <f t="shared" si="24"/>
        <v>-65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1697</v>
      </c>
      <c r="U37" s="2"/>
      <c r="V37" s="7">
        <f t="shared" si="27"/>
        <v>1.1197965177297707E-2</v>
      </c>
      <c r="W37" s="2"/>
      <c r="X37" s="6">
        <f t="shared" si="28"/>
        <v>-1697</v>
      </c>
      <c r="Y37" s="2"/>
      <c r="Z37" s="7">
        <f t="shared" si="29"/>
        <v>-1</v>
      </c>
    </row>
    <row r="38" spans="1:26" s="26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5" si="30">IF(D$12=0,0,D38/D$12)</f>
        <v>0</v>
      </c>
      <c r="G38" s="1"/>
      <c r="H38" s="1">
        <f>SUM(OSRRefH22_2x_0)</f>
        <v>692</v>
      </c>
      <c r="I38" s="1"/>
      <c r="J38" s="5">
        <f t="shared" ref="J38:J55" si="31">IF(H$12=0,0,H38/H$12)</f>
        <v>5.0629910717225356E-2</v>
      </c>
      <c r="K38" s="1"/>
      <c r="L38" s="1">
        <f t="shared" ref="L38:L55" si="32">+D38-H38</f>
        <v>-692</v>
      </c>
      <c r="M38" s="1"/>
      <c r="N38" s="5">
        <f t="shared" ref="N38:N55" si="33">IF(H38=0,0,L38/H38)</f>
        <v>-1</v>
      </c>
      <c r="O38" s="13"/>
      <c r="P38" s="1">
        <f>SUM(OSRRefP22_2x_0)</f>
        <v>0</v>
      </c>
      <c r="Q38" s="1"/>
      <c r="R38" s="5">
        <f t="shared" ref="R38:R55" si="34">IF(P$12=0,0,P38/P$12)</f>
        <v>0</v>
      </c>
      <c r="S38" s="1"/>
      <c r="T38" s="1">
        <f>SUM(OSRRefT22_2x_0)</f>
        <v>3116.71</v>
      </c>
      <c r="U38" s="1"/>
      <c r="V38" s="5">
        <f t="shared" ref="V38:V55" si="35">IF(T$12=0,0,T38/T$12)</f>
        <v>2.0566181524888354E-2</v>
      </c>
      <c r="W38" s="1"/>
      <c r="X38" s="1">
        <f t="shared" ref="X38:X55" si="36">+P38-T38</f>
        <v>-3116.71</v>
      </c>
      <c r="Y38" s="1"/>
      <c r="Z38" s="5">
        <f t="shared" ref="Z38:Z55" si="37">IF(T38=0,0,X38/T38)</f>
        <v>-1</v>
      </c>
    </row>
    <row r="39" spans="1:26" s="24" customFormat="1" hidden="1" outlineLevel="2" x14ac:dyDescent="0.25">
      <c r="A39" s="25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692</v>
      </c>
      <c r="I39" s="2"/>
      <c r="J39" s="7">
        <f t="shared" si="31"/>
        <v>5.0629910717225356E-2</v>
      </c>
      <c r="K39" s="2"/>
      <c r="L39" s="6">
        <f t="shared" si="32"/>
        <v>-692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3116.71</v>
      </c>
      <c r="U39" s="2"/>
      <c r="V39" s="7">
        <f t="shared" si="35"/>
        <v>2.0566181524888354E-2</v>
      </c>
      <c r="W39" s="2"/>
      <c r="X39" s="6">
        <f t="shared" si="36"/>
        <v>-3116.71</v>
      </c>
      <c r="Y39" s="2"/>
      <c r="Z39" s="7">
        <f t="shared" si="37"/>
        <v>-1</v>
      </c>
    </row>
    <row r="40" spans="1:26" s="26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-11.55</v>
      </c>
      <c r="I40" s="1"/>
      <c r="J40" s="5">
        <f t="shared" si="31"/>
        <v>-8.4505125546814012E-4</v>
      </c>
      <c r="K40" s="1"/>
      <c r="L40" s="1">
        <f t="shared" si="32"/>
        <v>11.55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-20.98</v>
      </c>
      <c r="U40" s="1"/>
      <c r="V40" s="5">
        <f t="shared" si="35"/>
        <v>-1.3844037090141774E-4</v>
      </c>
      <c r="W40" s="1"/>
      <c r="X40" s="1">
        <f t="shared" si="36"/>
        <v>20.98</v>
      </c>
      <c r="Y40" s="1"/>
      <c r="Z40" s="5">
        <f t="shared" si="37"/>
        <v>-1</v>
      </c>
    </row>
    <row r="41" spans="1:26" s="24" customFormat="1" hidden="1" outlineLevel="2" x14ac:dyDescent="0.25">
      <c r="A41" s="25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-11.55</v>
      </c>
      <c r="I41" s="2"/>
      <c r="J41" s="7">
        <f t="shared" si="31"/>
        <v>-8.4505125546814012E-4</v>
      </c>
      <c r="K41" s="2"/>
      <c r="L41" s="6">
        <f t="shared" si="32"/>
        <v>11.55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-20.98</v>
      </c>
      <c r="U41" s="2"/>
      <c r="V41" s="7">
        <f t="shared" si="35"/>
        <v>-1.3844037090141774E-4</v>
      </c>
      <c r="W41" s="2"/>
      <c r="X41" s="6">
        <f t="shared" si="36"/>
        <v>20.98</v>
      </c>
      <c r="Y41" s="2"/>
      <c r="Z41" s="7">
        <f t="shared" si="37"/>
        <v>-1</v>
      </c>
    </row>
    <row r="42" spans="1:26" s="26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437</v>
      </c>
      <c r="I42" s="1"/>
      <c r="J42" s="5">
        <f t="shared" si="31"/>
        <v>3.1972934947149541E-2</v>
      </c>
      <c r="K42" s="1"/>
      <c r="L42" s="1">
        <f t="shared" si="32"/>
        <v>-437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5759.62</v>
      </c>
      <c r="U42" s="1"/>
      <c r="V42" s="5">
        <f t="shared" si="35"/>
        <v>3.8005907009114569E-2</v>
      </c>
      <c r="W42" s="1"/>
      <c r="X42" s="1">
        <f t="shared" si="36"/>
        <v>-5759.62</v>
      </c>
      <c r="Y42" s="1"/>
      <c r="Z42" s="5">
        <f t="shared" si="37"/>
        <v>-1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437</v>
      </c>
      <c r="I43" s="2"/>
      <c r="J43" s="7">
        <f t="shared" si="31"/>
        <v>3.1972934947149541E-2</v>
      </c>
      <c r="K43" s="2"/>
      <c r="L43" s="6">
        <f t="shared" si="32"/>
        <v>-437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5759.62</v>
      </c>
      <c r="U43" s="2"/>
      <c r="V43" s="7">
        <f t="shared" si="35"/>
        <v>3.8005907009114569E-2</v>
      </c>
      <c r="W43" s="2"/>
      <c r="X43" s="6">
        <f t="shared" si="36"/>
        <v>-5759.62</v>
      </c>
      <c r="Y43" s="2"/>
      <c r="Z43" s="7">
        <f t="shared" si="37"/>
        <v>-1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119.55</v>
      </c>
      <c r="E44" s="1"/>
      <c r="F44" s="5">
        <f t="shared" si="30"/>
        <v>0</v>
      </c>
      <c r="G44" s="1"/>
      <c r="H44" s="1">
        <f>SUM(OSRRefH22_5x_0)</f>
        <v>2775.32</v>
      </c>
      <c r="I44" s="1"/>
      <c r="J44" s="5">
        <f t="shared" si="31"/>
        <v>0.20305520782041891</v>
      </c>
      <c r="K44" s="1"/>
      <c r="L44" s="1">
        <f t="shared" si="32"/>
        <v>-2655.77</v>
      </c>
      <c r="M44" s="1"/>
      <c r="N44" s="5">
        <f t="shared" si="33"/>
        <v>-0.95692388625455793</v>
      </c>
      <c r="O44" s="13"/>
      <c r="P44" s="1">
        <f>SUM(OSRRefP22_5x_0)</f>
        <v>836.85</v>
      </c>
      <c r="Q44" s="1"/>
      <c r="R44" s="5">
        <f t="shared" si="34"/>
        <v>0</v>
      </c>
      <c r="S44" s="1"/>
      <c r="T44" s="1">
        <f>SUM(OSRRefT22_5x_0)</f>
        <v>19427.240000000002</v>
      </c>
      <c r="U44" s="1"/>
      <c r="V44" s="5">
        <f t="shared" si="35"/>
        <v>0.12819419977077498</v>
      </c>
      <c r="W44" s="1"/>
      <c r="X44" s="1">
        <f t="shared" si="36"/>
        <v>-18590.390000000003</v>
      </c>
      <c r="Y44" s="1"/>
      <c r="Z44" s="5">
        <f t="shared" si="37"/>
        <v>-0.95692388625455815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119.55</v>
      </c>
      <c r="E45" s="2"/>
      <c r="F45" s="7">
        <f t="shared" si="30"/>
        <v>0</v>
      </c>
      <c r="G45" s="2"/>
      <c r="H45" s="6">
        <v>2775.32</v>
      </c>
      <c r="I45" s="2"/>
      <c r="J45" s="7">
        <f t="shared" si="31"/>
        <v>0.20305520782041891</v>
      </c>
      <c r="K45" s="2"/>
      <c r="L45" s="6">
        <f t="shared" si="32"/>
        <v>-2655.77</v>
      </c>
      <c r="M45" s="2"/>
      <c r="N45" s="7">
        <f t="shared" si="33"/>
        <v>-0.95692388625455793</v>
      </c>
      <c r="O45" s="11"/>
      <c r="P45" s="6">
        <v>836.85</v>
      </c>
      <c r="Q45" s="2"/>
      <c r="R45" s="7">
        <f t="shared" si="34"/>
        <v>0</v>
      </c>
      <c r="S45" s="2"/>
      <c r="T45" s="6">
        <v>19427.240000000002</v>
      </c>
      <c r="U45" s="2"/>
      <c r="V45" s="7">
        <f t="shared" si="35"/>
        <v>0.12819419977077498</v>
      </c>
      <c r="W45" s="2"/>
      <c r="X45" s="6">
        <f t="shared" si="36"/>
        <v>-18590.390000000003</v>
      </c>
      <c r="Y45" s="2"/>
      <c r="Z45" s="7">
        <f t="shared" si="37"/>
        <v>-0.95692388625455815</v>
      </c>
    </row>
    <row r="46" spans="1:26" s="26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0</v>
      </c>
      <c r="I46" s="1"/>
      <c r="J46" s="5">
        <f t="shared" si="31"/>
        <v>0</v>
      </c>
      <c r="K46" s="1"/>
      <c r="L46" s="1">
        <f t="shared" si="32"/>
        <v>0</v>
      </c>
      <c r="M46" s="1"/>
      <c r="N46" s="5">
        <f t="shared" si="33"/>
        <v>0</v>
      </c>
      <c r="O46" s="13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107.51</v>
      </c>
      <c r="U46" s="1"/>
      <c r="V46" s="5">
        <f t="shared" si="35"/>
        <v>7.0942441733133567E-4</v>
      </c>
      <c r="W46" s="1"/>
      <c r="X46" s="1">
        <f t="shared" si="36"/>
        <v>-107.51</v>
      </c>
      <c r="Y46" s="1"/>
      <c r="Z46" s="5">
        <f t="shared" si="37"/>
        <v>-1</v>
      </c>
    </row>
    <row r="47" spans="1:26" s="24" customFormat="1" hidden="1" outlineLevel="2" x14ac:dyDescent="0.25">
      <c r="A47" s="25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0</v>
      </c>
      <c r="M47" s="2"/>
      <c r="N47" s="7">
        <f t="shared" si="33"/>
        <v>0</v>
      </c>
      <c r="O47" s="11"/>
      <c r="P47" s="6"/>
      <c r="Q47" s="2"/>
      <c r="R47" s="7">
        <f t="shared" si="34"/>
        <v>0</v>
      </c>
      <c r="S47" s="2"/>
      <c r="T47" s="6">
        <v>107.51</v>
      </c>
      <c r="U47" s="2"/>
      <c r="V47" s="7">
        <f t="shared" si="35"/>
        <v>7.0942441733133567E-4</v>
      </c>
      <c r="W47" s="2"/>
      <c r="X47" s="6">
        <f t="shared" si="36"/>
        <v>-107.51</v>
      </c>
      <c r="Y47" s="2"/>
      <c r="Z47" s="7">
        <f t="shared" si="37"/>
        <v>-1</v>
      </c>
    </row>
    <row r="48" spans="1:26" s="26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562.30999999999995</v>
      </c>
      <c r="I48" s="1"/>
      <c r="J48" s="5">
        <f t="shared" si="31"/>
        <v>4.1141192334397385E-2</v>
      </c>
      <c r="K48" s="1"/>
      <c r="L48" s="1">
        <f t="shared" si="32"/>
        <v>-562.30999999999995</v>
      </c>
      <c r="M48" s="1"/>
      <c r="N48" s="5">
        <f t="shared" si="33"/>
        <v>-1</v>
      </c>
      <c r="O48" s="13"/>
      <c r="P48" s="1">
        <f>SUM(OSRRefP22_7x_0)</f>
        <v>64.02</v>
      </c>
      <c r="Q48" s="1"/>
      <c r="R48" s="5">
        <f t="shared" si="34"/>
        <v>0</v>
      </c>
      <c r="S48" s="1"/>
      <c r="T48" s="1">
        <f>SUM(OSRRefT22_7x_0)</f>
        <v>1273.2</v>
      </c>
      <c r="U48" s="1"/>
      <c r="V48" s="5">
        <f t="shared" si="35"/>
        <v>8.4014432903567714E-3</v>
      </c>
      <c r="W48" s="1"/>
      <c r="X48" s="1">
        <f t="shared" si="36"/>
        <v>-1209.18</v>
      </c>
      <c r="Y48" s="1"/>
      <c r="Z48" s="5">
        <f t="shared" si="37"/>
        <v>-0.94971724787935907</v>
      </c>
    </row>
    <row r="49" spans="1:26" s="24" customFormat="1" hidden="1" outlineLevel="2" x14ac:dyDescent="0.25">
      <c r="A49" s="25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30"/>
        <v>0</v>
      </c>
      <c r="G49" s="2"/>
      <c r="H49" s="6">
        <v>562.30999999999995</v>
      </c>
      <c r="I49" s="2"/>
      <c r="J49" s="7">
        <f t="shared" si="31"/>
        <v>4.1141192334397385E-2</v>
      </c>
      <c r="K49" s="2"/>
      <c r="L49" s="6">
        <f t="shared" si="32"/>
        <v>-562.30999999999995</v>
      </c>
      <c r="M49" s="2"/>
      <c r="N49" s="7">
        <f t="shared" si="33"/>
        <v>-1</v>
      </c>
      <c r="O49" s="11"/>
      <c r="P49" s="6">
        <v>64.02</v>
      </c>
      <c r="Q49" s="2"/>
      <c r="R49" s="7">
        <f t="shared" si="34"/>
        <v>0</v>
      </c>
      <c r="S49" s="2"/>
      <c r="T49" s="6">
        <v>1273.2</v>
      </c>
      <c r="U49" s="2"/>
      <c r="V49" s="7">
        <f t="shared" si="35"/>
        <v>8.4014432903567714E-3</v>
      </c>
      <c r="W49" s="2"/>
      <c r="X49" s="6">
        <f t="shared" si="36"/>
        <v>-1209.18</v>
      </c>
      <c r="Y49" s="2"/>
      <c r="Z49" s="7">
        <f t="shared" si="37"/>
        <v>-0.94971724787935907</v>
      </c>
    </row>
    <row r="50" spans="1:26" s="26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30"/>
        <v>0</v>
      </c>
      <c r="G50" s="1"/>
      <c r="H50" s="1">
        <f>SUM(OSRRefH22_8x_0)</f>
        <v>12</v>
      </c>
      <c r="I50" s="1"/>
      <c r="J50" s="5">
        <f t="shared" si="31"/>
        <v>8.779753303565091E-4</v>
      </c>
      <c r="K50" s="1"/>
      <c r="L50" s="1">
        <f t="shared" si="32"/>
        <v>-12</v>
      </c>
      <c r="M50" s="1"/>
      <c r="N50" s="5">
        <f t="shared" si="33"/>
        <v>-1</v>
      </c>
      <c r="O50" s="13"/>
      <c r="P50" s="1">
        <f>SUM(OSRRefP22_8x_0)</f>
        <v>0</v>
      </c>
      <c r="Q50" s="1"/>
      <c r="R50" s="5">
        <f t="shared" si="34"/>
        <v>0</v>
      </c>
      <c r="S50" s="1"/>
      <c r="T50" s="1">
        <f>SUM(OSRRefT22_8x_0)</f>
        <v>761.55</v>
      </c>
      <c r="U50" s="1"/>
      <c r="V50" s="5">
        <f t="shared" si="35"/>
        <v>5.0252270953276773E-3</v>
      </c>
      <c r="W50" s="1"/>
      <c r="X50" s="1">
        <f t="shared" si="36"/>
        <v>-761.55</v>
      </c>
      <c r="Y50" s="1"/>
      <c r="Z50" s="5">
        <f t="shared" si="37"/>
        <v>-1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30"/>
        <v>0</v>
      </c>
      <c r="G51" s="2"/>
      <c r="H51" s="6">
        <v>12</v>
      </c>
      <c r="I51" s="2"/>
      <c r="J51" s="7">
        <f t="shared" si="31"/>
        <v>8.779753303565091E-4</v>
      </c>
      <c r="K51" s="2"/>
      <c r="L51" s="6">
        <f t="shared" si="32"/>
        <v>-12</v>
      </c>
      <c r="M51" s="2"/>
      <c r="N51" s="7">
        <f t="shared" si="33"/>
        <v>-1</v>
      </c>
      <c r="O51" s="11"/>
      <c r="P51" s="6"/>
      <c r="Q51" s="2"/>
      <c r="R51" s="7">
        <f t="shared" si="34"/>
        <v>0</v>
      </c>
      <c r="S51" s="2"/>
      <c r="T51" s="6">
        <v>761.55</v>
      </c>
      <c r="U51" s="2"/>
      <c r="V51" s="7">
        <f t="shared" si="35"/>
        <v>5.0252270953276773E-3</v>
      </c>
      <c r="W51" s="2"/>
      <c r="X51" s="6">
        <f t="shared" si="36"/>
        <v>-761.55</v>
      </c>
      <c r="Y51" s="2"/>
      <c r="Z51" s="7">
        <f t="shared" si="37"/>
        <v>-1</v>
      </c>
    </row>
    <row r="52" spans="1:26" s="26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0</v>
      </c>
      <c r="E52" s="1"/>
      <c r="F52" s="5">
        <f t="shared" si="30"/>
        <v>0</v>
      </c>
      <c r="G52" s="1"/>
      <c r="H52" s="1">
        <f>SUM(OSRRefH22_9x_0)</f>
        <v>0</v>
      </c>
      <c r="I52" s="1"/>
      <c r="J52" s="5">
        <f t="shared" si="31"/>
        <v>0</v>
      </c>
      <c r="K52" s="1"/>
      <c r="L52" s="1">
        <f t="shared" si="32"/>
        <v>0</v>
      </c>
      <c r="M52" s="1"/>
      <c r="N52" s="5">
        <f t="shared" si="33"/>
        <v>0</v>
      </c>
      <c r="O52" s="13"/>
      <c r="P52" s="1">
        <f>SUM(OSRRefP22_9x_0)</f>
        <v>217.18</v>
      </c>
      <c r="Q52" s="1"/>
      <c r="R52" s="5">
        <f t="shared" si="34"/>
        <v>0</v>
      </c>
      <c r="S52" s="1"/>
      <c r="T52" s="1">
        <f>SUM(OSRRefT22_9x_0)</f>
        <v>5425.2999999999993</v>
      </c>
      <c r="U52" s="1"/>
      <c r="V52" s="5">
        <f t="shared" si="35"/>
        <v>3.5799835283673094E-2</v>
      </c>
      <c r="W52" s="1"/>
      <c r="X52" s="1">
        <f t="shared" si="36"/>
        <v>-5208.119999999999</v>
      </c>
      <c r="Y52" s="1"/>
      <c r="Z52" s="5">
        <f t="shared" si="37"/>
        <v>-0.95996903397047162</v>
      </c>
    </row>
    <row r="53" spans="1:26" s="24" customFormat="1" hidden="1" outlineLevel="2" x14ac:dyDescent="0.25">
      <c r="A53" s="25"/>
      <c r="B53" s="11" t="str">
        <f>CONCATENATE("          ", "6371", " - ", "COMPUTER SOFTWARE MAINTENANCE")</f>
        <v xml:space="preserve">          6371 - COMPUTER SOFTWARE MAINTENANCE</v>
      </c>
      <c r="C53" s="11"/>
      <c r="D53" s="6"/>
      <c r="E53" s="2"/>
      <c r="F53" s="7">
        <f t="shared" si="30"/>
        <v>0</v>
      </c>
      <c r="G53" s="2"/>
      <c r="H53" s="6"/>
      <c r="I53" s="2"/>
      <c r="J53" s="7">
        <f t="shared" si="31"/>
        <v>0</v>
      </c>
      <c r="K53" s="2"/>
      <c r="L53" s="6">
        <f t="shared" si="32"/>
        <v>0</v>
      </c>
      <c r="M53" s="2"/>
      <c r="N53" s="7">
        <f t="shared" si="33"/>
        <v>0</v>
      </c>
      <c r="O53" s="11"/>
      <c r="P53" s="6"/>
      <c r="Q53" s="2"/>
      <c r="R53" s="7">
        <f t="shared" si="34"/>
        <v>0</v>
      </c>
      <c r="S53" s="2"/>
      <c r="T53" s="6">
        <v>2186.54</v>
      </c>
      <c r="U53" s="2"/>
      <c r="V53" s="7">
        <f t="shared" si="35"/>
        <v>1.4428284489551283E-2</v>
      </c>
      <c r="W53" s="2"/>
      <c r="X53" s="6">
        <f t="shared" si="36"/>
        <v>-2186.54</v>
      </c>
      <c r="Y53" s="2"/>
      <c r="Z53" s="7">
        <f t="shared" si="37"/>
        <v>-1</v>
      </c>
    </row>
    <row r="54" spans="1:26" s="24" customFormat="1" hidden="1" outlineLevel="2" x14ac:dyDescent="0.25">
      <c r="A54" s="25"/>
      <c r="B54" s="11" t="str">
        <f>CONCATENATE("          ", "6373", " - ", "MAINTENANCE CONTRACTS")</f>
        <v xml:space="preserve">          6373 - MAINTENANCE CONTRACTS</v>
      </c>
      <c r="C54" s="11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1"/>
      <c r="P54" s="6">
        <v>217.18</v>
      </c>
      <c r="Q54" s="2"/>
      <c r="R54" s="7">
        <f t="shared" si="34"/>
        <v>0</v>
      </c>
      <c r="S54" s="2"/>
      <c r="T54" s="6">
        <v>840.28</v>
      </c>
      <c r="U54" s="2"/>
      <c r="V54" s="7">
        <f t="shared" si="35"/>
        <v>5.544741413777087E-3</v>
      </c>
      <c r="W54" s="2"/>
      <c r="X54" s="6">
        <f t="shared" si="36"/>
        <v>-623.09999999999991</v>
      </c>
      <c r="Y54" s="2"/>
      <c r="Z54" s="7">
        <f t="shared" si="37"/>
        <v>-0.74153853477412279</v>
      </c>
    </row>
    <row r="55" spans="1:26" s="24" customFormat="1" hidden="1" outlineLevel="2" x14ac:dyDescent="0.25">
      <c r="A55" s="25"/>
      <c r="B55" s="11" t="str">
        <f>CONCATENATE("          ", "6375", " - ", "OUTSIDE REPAIRS &amp; MAINTENANCE")</f>
        <v xml:space="preserve">          6375 - OUTSIDE REPAIRS &amp; MAINTENANCE</v>
      </c>
      <c r="C55" s="11"/>
      <c r="D55" s="6"/>
      <c r="E55" s="2"/>
      <c r="F55" s="7">
        <f t="shared" si="30"/>
        <v>0</v>
      </c>
      <c r="G55" s="2"/>
      <c r="H55" s="6"/>
      <c r="I55" s="2"/>
      <c r="J55" s="7">
        <f t="shared" si="31"/>
        <v>0</v>
      </c>
      <c r="K55" s="2"/>
      <c r="L55" s="6">
        <f t="shared" si="32"/>
        <v>0</v>
      </c>
      <c r="M55" s="2"/>
      <c r="N55" s="7">
        <f t="shared" si="33"/>
        <v>0</v>
      </c>
      <c r="O55" s="11"/>
      <c r="P55" s="6"/>
      <c r="Q55" s="2"/>
      <c r="R55" s="7">
        <f t="shared" si="34"/>
        <v>0</v>
      </c>
      <c r="S55" s="2"/>
      <c r="T55" s="6">
        <v>2398.48</v>
      </c>
      <c r="U55" s="2"/>
      <c r="V55" s="7">
        <f t="shared" si="35"/>
        <v>1.5826809380344729E-2</v>
      </c>
      <c r="W55" s="2"/>
      <c r="X55" s="6">
        <f t="shared" si="36"/>
        <v>-2398.48</v>
      </c>
      <c r="Y55" s="2"/>
      <c r="Z55" s="7">
        <f t="shared" si="37"/>
        <v>-1</v>
      </c>
    </row>
    <row r="56" spans="1:26" s="26" customFormat="1" outlineLevel="1" collapsed="1" x14ac:dyDescent="0.25">
      <c r="A56" s="27"/>
      <c r="B56" s="13" t="str">
        <f>CONCATENATE("     ","Services                                          ")</f>
        <v xml:space="preserve">     Services                                          </v>
      </c>
      <c r="C56" s="13"/>
      <c r="D56" s="1">
        <f>SUM(OSRRefD22_10x_0)</f>
        <v>0</v>
      </c>
      <c r="E56" s="1"/>
      <c r="F56" s="5">
        <f t="shared" ref="F56:F58" si="38">IF(D$12=0,0,D56/D$12)</f>
        <v>0</v>
      </c>
      <c r="G56" s="1"/>
      <c r="H56" s="1">
        <f>SUM(OSRRefH22_10x_0)</f>
        <v>686.05</v>
      </c>
      <c r="I56" s="1"/>
      <c r="J56" s="5">
        <f t="shared" ref="J56:J58" si="39">IF(H$12=0,0,H56/H$12)</f>
        <v>5.0194581282590252E-2</v>
      </c>
      <c r="K56" s="1"/>
      <c r="L56" s="1">
        <f t="shared" ref="L56:L58" si="40">+D56-H56</f>
        <v>-686.05</v>
      </c>
      <c r="M56" s="1"/>
      <c r="N56" s="5">
        <f t="shared" ref="N56:N58" si="41">IF(H56=0,0,L56/H56)</f>
        <v>-1</v>
      </c>
      <c r="O56" s="13"/>
      <c r="P56" s="1">
        <f>SUM(OSRRefP22_10x_0)</f>
        <v>0</v>
      </c>
      <c r="Q56" s="1"/>
      <c r="R56" s="5">
        <f t="shared" ref="R56:R58" si="42">IF(P$12=0,0,P56/P$12)</f>
        <v>0</v>
      </c>
      <c r="S56" s="1"/>
      <c r="T56" s="1">
        <f>SUM(OSRRefT22_10x_0)</f>
        <v>972.97</v>
      </c>
      <c r="U56" s="1"/>
      <c r="V56" s="5">
        <f t="shared" ref="V56:V58" si="43">IF(T$12=0,0,T56/T$12)</f>
        <v>6.420320670922422E-3</v>
      </c>
      <c r="W56" s="1"/>
      <c r="X56" s="1">
        <f t="shared" ref="X56:X58" si="44">+P56-T56</f>
        <v>-972.97</v>
      </c>
      <c r="Y56" s="1"/>
      <c r="Z56" s="5">
        <f t="shared" ref="Z56:Z58" si="45">IF(T56=0,0,X56/T56)</f>
        <v>-1</v>
      </c>
    </row>
    <row r="57" spans="1:26" s="24" customFormat="1" hidden="1" outlineLevel="2" x14ac:dyDescent="0.25">
      <c r="A57" s="25"/>
      <c r="B57" s="11" t="str">
        <f>CONCATENATE("          ", "6285", " - ", "JANITORIAL SERVICES")</f>
        <v xml:space="preserve">          6285 - JANITORIAL SERVICES</v>
      </c>
      <c r="C57" s="11"/>
      <c r="D57" s="6"/>
      <c r="E57" s="2"/>
      <c r="F57" s="7">
        <f t="shared" si="38"/>
        <v>0</v>
      </c>
      <c r="G57" s="2"/>
      <c r="H57" s="6">
        <v>637</v>
      </c>
      <c r="I57" s="2"/>
      <c r="J57" s="7">
        <f t="shared" si="39"/>
        <v>4.6605857119758023E-2</v>
      </c>
      <c r="K57" s="2"/>
      <c r="L57" s="6">
        <f t="shared" si="40"/>
        <v>-637</v>
      </c>
      <c r="M57" s="2"/>
      <c r="N57" s="7">
        <f t="shared" si="41"/>
        <v>-1</v>
      </c>
      <c r="O57" s="11"/>
      <c r="P57" s="6"/>
      <c r="Q57" s="2"/>
      <c r="R57" s="7">
        <f t="shared" si="42"/>
        <v>0</v>
      </c>
      <c r="S57" s="2"/>
      <c r="T57" s="6">
        <v>637</v>
      </c>
      <c r="U57" s="2"/>
      <c r="V57" s="7">
        <f t="shared" si="43"/>
        <v>4.2033611184081549E-3</v>
      </c>
      <c r="W57" s="2"/>
      <c r="X57" s="6">
        <f t="shared" si="44"/>
        <v>-637</v>
      </c>
      <c r="Y57" s="2"/>
      <c r="Z57" s="7">
        <f t="shared" si="45"/>
        <v>-1</v>
      </c>
    </row>
    <row r="58" spans="1:26" s="24" customFormat="1" hidden="1" outlineLevel="2" x14ac:dyDescent="0.25">
      <c r="A58" s="25"/>
      <c r="B58" s="11" t="str">
        <f>CONCATENATE("          ", "6286", " - ", "LAUNDRY EXPENSE")</f>
        <v xml:space="preserve">          6286 - LAUNDRY EXPENSE</v>
      </c>
      <c r="C58" s="11"/>
      <c r="D58" s="6"/>
      <c r="E58" s="2"/>
      <c r="F58" s="7">
        <f t="shared" si="38"/>
        <v>0</v>
      </c>
      <c r="G58" s="2"/>
      <c r="H58" s="6">
        <v>49.05</v>
      </c>
      <c r="I58" s="2"/>
      <c r="J58" s="7">
        <f t="shared" si="39"/>
        <v>3.5887241628322309E-3</v>
      </c>
      <c r="K58" s="2"/>
      <c r="L58" s="6">
        <f t="shared" si="40"/>
        <v>-49.05</v>
      </c>
      <c r="M58" s="2"/>
      <c r="N58" s="7">
        <f t="shared" si="41"/>
        <v>-1</v>
      </c>
      <c r="O58" s="11"/>
      <c r="P58" s="6"/>
      <c r="Q58" s="2"/>
      <c r="R58" s="7">
        <f t="shared" si="42"/>
        <v>0</v>
      </c>
      <c r="S58" s="2"/>
      <c r="T58" s="6">
        <v>335.97</v>
      </c>
      <c r="U58" s="2"/>
      <c r="V58" s="7">
        <f t="shared" si="43"/>
        <v>2.2169595525142671E-3</v>
      </c>
      <c r="W58" s="2"/>
      <c r="X58" s="6">
        <f t="shared" si="44"/>
        <v>-335.97</v>
      </c>
      <c r="Y58" s="2"/>
      <c r="Z58" s="7">
        <f t="shared" si="45"/>
        <v>-1</v>
      </c>
    </row>
    <row r="59" spans="1:26" s="26" customFormat="1" outlineLevel="1" collapsed="1" x14ac:dyDescent="0.25">
      <c r="A59" s="27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SUM(OSRRefD22_11x_0)</f>
        <v>0</v>
      </c>
      <c r="E59" s="1"/>
      <c r="F59" s="5">
        <f t="shared" ref="F59:F64" si="46">IF(D$12=0,0,D59/D$12)</f>
        <v>0</v>
      </c>
      <c r="G59" s="1"/>
      <c r="H59" s="1">
        <f>SUM(OSRRefH22_11x_0)</f>
        <v>387.4</v>
      </c>
      <c r="I59" s="1"/>
      <c r="J59" s="5">
        <f t="shared" ref="J59:J64" si="47">IF(H$12=0,0,H59/H$12)</f>
        <v>2.8343970248342634E-2</v>
      </c>
      <c r="K59" s="1"/>
      <c r="L59" s="1">
        <f t="shared" ref="L59:L64" si="48">+D59-H59</f>
        <v>-387.4</v>
      </c>
      <c r="M59" s="1"/>
      <c r="N59" s="5">
        <f t="shared" ref="N59:N64" si="49">IF(H59=0,0,L59/H59)</f>
        <v>-1</v>
      </c>
      <c r="O59" s="13"/>
      <c r="P59" s="1">
        <f>SUM(OSRRefP22_11x_0)</f>
        <v>0</v>
      </c>
      <c r="Q59" s="1"/>
      <c r="R59" s="5">
        <f t="shared" ref="R59:R64" si="50">IF(P$12=0,0,P59/P$12)</f>
        <v>0</v>
      </c>
      <c r="S59" s="1"/>
      <c r="T59" s="1">
        <f>SUM(OSRRefT22_11x_0)</f>
        <v>5851.15</v>
      </c>
      <c r="U59" s="1"/>
      <c r="V59" s="5">
        <f t="shared" ref="V59:V64" si="51">IF(T$12=0,0,T59/T$12)</f>
        <v>3.8609884470916601E-2</v>
      </c>
      <c r="W59" s="1"/>
      <c r="X59" s="1">
        <f t="shared" ref="X59:X64" si="52">+P59-T59</f>
        <v>-5851.15</v>
      </c>
      <c r="Y59" s="1"/>
      <c r="Z59" s="5">
        <f t="shared" ref="Z59:Z64" si="53">IF(T59=0,0,X59/T59)</f>
        <v>-1</v>
      </c>
    </row>
    <row r="60" spans="1:26" s="24" customFormat="1" hidden="1" outlineLevel="2" x14ac:dyDescent="0.25">
      <c r="A60" s="25"/>
      <c r="B60" s="11" t="str">
        <f>CONCATENATE("          ", "6239", " - ", "KITCHEN SUPPLIES")</f>
        <v xml:space="preserve">          6239 - KITCHEN SUPPLIES</v>
      </c>
      <c r="C60" s="11"/>
      <c r="D60" s="6"/>
      <c r="E60" s="2"/>
      <c r="F60" s="7">
        <f t="shared" si="46"/>
        <v>0</v>
      </c>
      <c r="G60" s="2"/>
      <c r="H60" s="6"/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1"/>
      <c r="P60" s="6"/>
      <c r="Q60" s="2"/>
      <c r="R60" s="7">
        <f t="shared" si="50"/>
        <v>0</v>
      </c>
      <c r="S60" s="2"/>
      <c r="T60" s="6">
        <v>2898.22</v>
      </c>
      <c r="U60" s="2"/>
      <c r="V60" s="7">
        <f t="shared" si="51"/>
        <v>1.9124435259957429E-2</v>
      </c>
      <c r="W60" s="2"/>
      <c r="X60" s="6">
        <f t="shared" si="52"/>
        <v>-2898.22</v>
      </c>
      <c r="Y60" s="2"/>
      <c r="Z60" s="7">
        <f t="shared" si="53"/>
        <v>-1</v>
      </c>
    </row>
    <row r="61" spans="1:26" s="24" customFormat="1" hidden="1" outlineLevel="2" x14ac:dyDescent="0.25">
      <c r="A61" s="25"/>
      <c r="B61" s="11" t="str">
        <f>CONCATENATE("          ", "6241", " - ", "OFFICE EXPENSE")</f>
        <v xml:space="preserve">          6241 - OFFICE EXPENSE</v>
      </c>
      <c r="C61" s="11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/>
      <c r="Q61" s="2"/>
      <c r="R61" s="7">
        <f t="shared" si="50"/>
        <v>0</v>
      </c>
      <c r="S61" s="2"/>
      <c r="T61" s="6">
        <v>649.99</v>
      </c>
      <c r="U61" s="2"/>
      <c r="V61" s="7">
        <f t="shared" si="51"/>
        <v>4.2890780115449247E-3</v>
      </c>
      <c r="W61" s="2"/>
      <c r="X61" s="6">
        <f t="shared" si="52"/>
        <v>-649.99</v>
      </c>
      <c r="Y61" s="2"/>
      <c r="Z61" s="7">
        <f t="shared" si="53"/>
        <v>-1</v>
      </c>
    </row>
    <row r="62" spans="1:26" s="24" customFormat="1" hidden="1" outlineLevel="2" x14ac:dyDescent="0.25">
      <c r="A62" s="25"/>
      <c r="B62" s="11" t="str">
        <f>CONCATENATE("          ", "6243", " - ", "PAPER SUPPLIES")</f>
        <v xml:space="preserve">          6243 - PAPER SUPPLIES</v>
      </c>
      <c r="C62" s="11"/>
      <c r="D62" s="6"/>
      <c r="E62" s="2"/>
      <c r="F62" s="7">
        <f t="shared" si="46"/>
        <v>0</v>
      </c>
      <c r="G62" s="2"/>
      <c r="H62" s="6">
        <v>387.4</v>
      </c>
      <c r="I62" s="2"/>
      <c r="J62" s="7">
        <f t="shared" si="47"/>
        <v>2.8343970248342634E-2</v>
      </c>
      <c r="K62" s="2"/>
      <c r="L62" s="6">
        <f t="shared" si="48"/>
        <v>-387.4</v>
      </c>
      <c r="M62" s="2"/>
      <c r="N62" s="7">
        <f t="shared" si="49"/>
        <v>-1</v>
      </c>
      <c r="O62" s="11"/>
      <c r="P62" s="6"/>
      <c r="Q62" s="2"/>
      <c r="R62" s="7">
        <f t="shared" si="50"/>
        <v>0</v>
      </c>
      <c r="S62" s="2"/>
      <c r="T62" s="6">
        <v>1563.27</v>
      </c>
      <c r="U62" s="2"/>
      <c r="V62" s="7">
        <f t="shared" si="51"/>
        <v>1.0315523289754972E-2</v>
      </c>
      <c r="W62" s="2"/>
      <c r="X62" s="6">
        <f t="shared" si="52"/>
        <v>-1563.27</v>
      </c>
      <c r="Y62" s="2"/>
      <c r="Z62" s="7">
        <f t="shared" si="53"/>
        <v>-1</v>
      </c>
    </row>
    <row r="63" spans="1:26" s="24" customFormat="1" hidden="1" outlineLevel="2" x14ac:dyDescent="0.25">
      <c r="A63" s="25"/>
      <c r="B63" s="11" t="str">
        <f>CONCATENATE("          ", "6247", " - ", "STORE SUPPLIES")</f>
        <v xml:space="preserve">          6247 - STORE SUPPLIES</v>
      </c>
      <c r="C63" s="11"/>
      <c r="D63" s="6"/>
      <c r="E63" s="2"/>
      <c r="F63" s="7">
        <f t="shared" si="46"/>
        <v>0</v>
      </c>
      <c r="G63" s="2"/>
      <c r="H63" s="6"/>
      <c r="I63" s="2"/>
      <c r="J63" s="7">
        <f t="shared" si="47"/>
        <v>0</v>
      </c>
      <c r="K63" s="2"/>
      <c r="L63" s="6">
        <f t="shared" si="48"/>
        <v>0</v>
      </c>
      <c r="M63" s="2"/>
      <c r="N63" s="7">
        <f t="shared" si="49"/>
        <v>0</v>
      </c>
      <c r="O63" s="11"/>
      <c r="P63" s="6"/>
      <c r="Q63" s="2"/>
      <c r="R63" s="7">
        <f t="shared" si="50"/>
        <v>0</v>
      </c>
      <c r="S63" s="2"/>
      <c r="T63" s="6">
        <v>102.64</v>
      </c>
      <c r="U63" s="2"/>
      <c r="V63" s="7">
        <f t="shared" si="51"/>
        <v>6.7728883075889024E-4</v>
      </c>
      <c r="W63" s="2"/>
      <c r="X63" s="6">
        <f t="shared" si="52"/>
        <v>-102.64</v>
      </c>
      <c r="Y63" s="2"/>
      <c r="Z63" s="7">
        <f t="shared" si="53"/>
        <v>-1</v>
      </c>
    </row>
    <row r="64" spans="1:26" s="24" customFormat="1" hidden="1" outlineLevel="2" x14ac:dyDescent="0.25">
      <c r="A64" s="25"/>
      <c r="B64" s="11" t="str">
        <f>CONCATENATE("          ", "6248", " - ", "UNIFORMS")</f>
        <v xml:space="preserve">          6248 - UNIFORMS</v>
      </c>
      <c r="C64" s="11"/>
      <c r="D64" s="6"/>
      <c r="E64" s="2"/>
      <c r="F64" s="7">
        <f t="shared" si="46"/>
        <v>0</v>
      </c>
      <c r="G64" s="2"/>
      <c r="H64" s="6"/>
      <c r="I64" s="2"/>
      <c r="J64" s="7">
        <f t="shared" si="47"/>
        <v>0</v>
      </c>
      <c r="K64" s="2"/>
      <c r="L64" s="6">
        <f t="shared" si="48"/>
        <v>0</v>
      </c>
      <c r="M64" s="2"/>
      <c r="N64" s="7">
        <f t="shared" si="49"/>
        <v>0</v>
      </c>
      <c r="O64" s="11"/>
      <c r="P64" s="6"/>
      <c r="Q64" s="2"/>
      <c r="R64" s="7">
        <f t="shared" si="50"/>
        <v>0</v>
      </c>
      <c r="S64" s="2"/>
      <c r="T64" s="6">
        <v>637.03</v>
      </c>
      <c r="U64" s="2"/>
      <c r="V64" s="7">
        <f t="shared" si="51"/>
        <v>4.2035590789003879E-3</v>
      </c>
      <c r="W64" s="2"/>
      <c r="X64" s="6">
        <f t="shared" si="52"/>
        <v>-637.03</v>
      </c>
      <c r="Y64" s="2"/>
      <c r="Z64" s="7">
        <f t="shared" si="53"/>
        <v>-1</v>
      </c>
    </row>
    <row r="65" spans="1:26" s="26" customFormat="1" outlineLevel="1" collapsed="1" x14ac:dyDescent="0.25">
      <c r="A65" s="27"/>
      <c r="B65" s="13" t="str">
        <f>CONCATENATE("     ","Telephone/Data Lines                              ")</f>
        <v xml:space="preserve">     Telephone/Data Lines                              </v>
      </c>
      <c r="C65" s="13"/>
      <c r="D65" s="1">
        <f>SUM(OSRRefD22_12x_0)</f>
        <v>0</v>
      </c>
      <c r="E65" s="1"/>
      <c r="F65" s="5">
        <f t="shared" ref="F65:F68" si="54">IF(D$12=0,0,D65/D$12)</f>
        <v>0</v>
      </c>
      <c r="G65" s="1"/>
      <c r="H65" s="1">
        <f>SUM(OSRRefH22_12x_0)</f>
        <v>86</v>
      </c>
      <c r="I65" s="1"/>
      <c r="J65" s="5">
        <f t="shared" ref="J65:J68" si="55">IF(H$12=0,0,H65/H$12)</f>
        <v>6.2921565342216488E-3</v>
      </c>
      <c r="K65" s="1"/>
      <c r="L65" s="1">
        <f t="shared" ref="L65:L68" si="56">+D65-H65</f>
        <v>-86</v>
      </c>
      <c r="M65" s="1"/>
      <c r="N65" s="5">
        <f t="shared" ref="N65:N68" si="57">IF(H65=0,0,L65/H65)</f>
        <v>-1</v>
      </c>
      <c r="O65" s="13"/>
      <c r="P65" s="1">
        <f>SUM(OSRRefP22_12x_0)</f>
        <v>85.2</v>
      </c>
      <c r="Q65" s="1"/>
      <c r="R65" s="5">
        <f t="shared" ref="R65:R68" si="58">IF(P$12=0,0,P65/P$12)</f>
        <v>0</v>
      </c>
      <c r="S65" s="1"/>
      <c r="T65" s="1">
        <f>SUM(OSRRefT22_12x_0)</f>
        <v>607.5</v>
      </c>
      <c r="U65" s="1"/>
      <c r="V65" s="5">
        <f t="shared" ref="V65:V68" si="59">IF(T$12=0,0,T65/T$12)</f>
        <v>4.0086999677126445E-3</v>
      </c>
      <c r="W65" s="1"/>
      <c r="X65" s="1">
        <f t="shared" ref="X65:X68" si="60">+P65-T65</f>
        <v>-522.29999999999995</v>
      </c>
      <c r="Y65" s="1"/>
      <c r="Z65" s="5">
        <f t="shared" ref="Z65:Z68" si="61">IF(T65=0,0,X65/T65)</f>
        <v>-0.85975308641975301</v>
      </c>
    </row>
    <row r="66" spans="1:26" s="24" customFormat="1" hidden="1" outlineLevel="2" x14ac:dyDescent="0.25">
      <c r="A66" s="25"/>
      <c r="B66" s="11" t="str">
        <f>CONCATENATE("          ", "6309", " - ", "TELEPHONE")</f>
        <v xml:space="preserve">          6309 - TELEPHONE</v>
      </c>
      <c r="C66" s="11"/>
      <c r="D66" s="6"/>
      <c r="E66" s="2"/>
      <c r="F66" s="7">
        <f t="shared" si="54"/>
        <v>0</v>
      </c>
      <c r="G66" s="2"/>
      <c r="H66" s="6">
        <v>86</v>
      </c>
      <c r="I66" s="2"/>
      <c r="J66" s="7">
        <f t="shared" si="55"/>
        <v>6.2921565342216488E-3</v>
      </c>
      <c r="K66" s="2"/>
      <c r="L66" s="6">
        <f t="shared" si="56"/>
        <v>-86</v>
      </c>
      <c r="M66" s="2"/>
      <c r="N66" s="7">
        <f t="shared" si="57"/>
        <v>-1</v>
      </c>
      <c r="O66" s="11"/>
      <c r="P66" s="6">
        <v>85.2</v>
      </c>
      <c r="Q66" s="2"/>
      <c r="R66" s="7">
        <f t="shared" si="58"/>
        <v>0</v>
      </c>
      <c r="S66" s="2"/>
      <c r="T66" s="6">
        <v>607.5</v>
      </c>
      <c r="U66" s="2"/>
      <c r="V66" s="7">
        <f t="shared" si="59"/>
        <v>4.0086999677126445E-3</v>
      </c>
      <c r="W66" s="2"/>
      <c r="X66" s="6">
        <f t="shared" si="60"/>
        <v>-522.29999999999995</v>
      </c>
      <c r="Y66" s="2"/>
      <c r="Z66" s="7">
        <f t="shared" si="61"/>
        <v>-0.85975308641975301</v>
      </c>
    </row>
    <row r="67" spans="1:26" s="26" customFormat="1" outlineLevel="1" collapsed="1" x14ac:dyDescent="0.25">
      <c r="A67" s="27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SUM(OSRRefD22_13x_0)</f>
        <v>0</v>
      </c>
      <c r="E67" s="1"/>
      <c r="F67" s="5">
        <f t="shared" si="54"/>
        <v>0</v>
      </c>
      <c r="G67" s="1"/>
      <c r="H67" s="1">
        <f>SUM(OSRRefH22_13x_0)</f>
        <v>0</v>
      </c>
      <c r="I67" s="1"/>
      <c r="J67" s="5">
        <f t="shared" si="55"/>
        <v>0</v>
      </c>
      <c r="K67" s="1"/>
      <c r="L67" s="1">
        <f t="shared" si="56"/>
        <v>0</v>
      </c>
      <c r="M67" s="1"/>
      <c r="N67" s="5">
        <f t="shared" si="57"/>
        <v>0</v>
      </c>
      <c r="O67" s="13"/>
      <c r="P67" s="1">
        <f>SUM(OSRRefP22_13x_0)</f>
        <v>0</v>
      </c>
      <c r="Q67" s="1"/>
      <c r="R67" s="5">
        <f t="shared" si="58"/>
        <v>0</v>
      </c>
      <c r="S67" s="1"/>
      <c r="T67" s="1">
        <f>SUM(OSRRefT22_13x_0)</f>
        <v>152.94999999999999</v>
      </c>
      <c r="U67" s="1"/>
      <c r="V67" s="5">
        <f t="shared" si="59"/>
        <v>1.0092685762331669E-3</v>
      </c>
      <c r="W67" s="1"/>
      <c r="X67" s="1">
        <f t="shared" si="60"/>
        <v>-152.94999999999999</v>
      </c>
      <c r="Y67" s="1"/>
      <c r="Z67" s="5">
        <f t="shared" si="61"/>
        <v>-1</v>
      </c>
    </row>
    <row r="68" spans="1:26" s="24" customFormat="1" hidden="1" outlineLevel="2" x14ac:dyDescent="0.25">
      <c r="A68" s="25"/>
      <c r="B68" s="11" t="str">
        <f>CONCATENATE("          ", "6376", " - ", "TRAINING")</f>
        <v xml:space="preserve">          6376 - TRAINING</v>
      </c>
      <c r="C68" s="11"/>
      <c r="D68" s="6"/>
      <c r="E68" s="2"/>
      <c r="F68" s="7">
        <f t="shared" si="54"/>
        <v>0</v>
      </c>
      <c r="G68" s="2"/>
      <c r="H68" s="6"/>
      <c r="I68" s="2"/>
      <c r="J68" s="7">
        <f t="shared" si="55"/>
        <v>0</v>
      </c>
      <c r="K68" s="2"/>
      <c r="L68" s="6">
        <f t="shared" si="56"/>
        <v>0</v>
      </c>
      <c r="M68" s="2"/>
      <c r="N68" s="7">
        <f t="shared" si="57"/>
        <v>0</v>
      </c>
      <c r="O68" s="11"/>
      <c r="P68" s="6"/>
      <c r="Q68" s="2"/>
      <c r="R68" s="7">
        <f t="shared" si="58"/>
        <v>0</v>
      </c>
      <c r="S68" s="2"/>
      <c r="T68" s="6">
        <v>152.94999999999999</v>
      </c>
      <c r="U68" s="2"/>
      <c r="V68" s="7">
        <f t="shared" si="59"/>
        <v>1.0092685762331669E-3</v>
      </c>
      <c r="W68" s="2"/>
      <c r="X68" s="6">
        <f t="shared" si="60"/>
        <v>-152.94999999999999</v>
      </c>
      <c r="Y68" s="2"/>
      <c r="Z68" s="7">
        <f t="shared" si="61"/>
        <v>-1</v>
      </c>
    </row>
    <row r="69" spans="1:26" s="61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9" t="s">
        <v>0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8" t="s">
        <v>3</v>
      </c>
      <c r="C72" s="28"/>
      <c r="D72" s="20">
        <f>+D20-D22+D70</f>
        <v>-119.55</v>
      </c>
      <c r="E72" s="14"/>
      <c r="F72" s="22">
        <f>IF(D$12=0,0,D72/D$12)</f>
        <v>0</v>
      </c>
      <c r="G72" s="14"/>
      <c r="H72" s="20">
        <f>+H20-H22+H70</f>
        <v>-8131.84</v>
      </c>
      <c r="I72" s="14"/>
      <c r="J72" s="22">
        <f>IF(H$12=0,0,H72/H$12)</f>
        <v>-0.59496290920052297</v>
      </c>
      <c r="K72" s="15"/>
      <c r="L72" s="20">
        <f>+D72-H72</f>
        <v>8012.29</v>
      </c>
      <c r="M72" s="15"/>
      <c r="N72" s="22">
        <f>IF(H72=0,0,L72/H72)</f>
        <v>-0.98529853022194236</v>
      </c>
      <c r="O72" s="29"/>
      <c r="P72" s="20">
        <f>+P20-P22+P70</f>
        <v>-1864.0500000000002</v>
      </c>
      <c r="Q72" s="14"/>
      <c r="R72" s="22">
        <f>IF(P$12=0,0,P72/P$12)</f>
        <v>0</v>
      </c>
      <c r="S72" s="14"/>
      <c r="T72" s="20">
        <f>+T20-T22+T70</f>
        <v>-45903.180000000051</v>
      </c>
      <c r="U72" s="14"/>
      <c r="V72" s="22">
        <f>IF(T$12=0,0,T72/T$12)</f>
        <v>-0.30290053692824342</v>
      </c>
      <c r="W72" s="15"/>
      <c r="X72" s="20">
        <f>+P72-T72</f>
        <v>44039.130000000048</v>
      </c>
      <c r="Y72" s="15"/>
      <c r="Z72" s="22">
        <f>IF(T72=0,0,X72/T72)</f>
        <v>-0.95939170227422155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/>
      <c r="E74" s="4"/>
      <c r="F74" s="12">
        <f>IF(D$12=0,0,D74/D$12)</f>
        <v>0</v>
      </c>
      <c r="G74" s="4"/>
      <c r="H74" s="4">
        <v>912.2</v>
      </c>
      <c r="I74" s="4"/>
      <c r="J74" s="12">
        <f>IF(H$12=0,0,H74/H$12)</f>
        <v>6.6740758029267308E-2</v>
      </c>
      <c r="K74" s="4"/>
      <c r="L74" s="4">
        <f>+D74-H74</f>
        <v>-912.2</v>
      </c>
      <c r="M74" s="4"/>
      <c r="N74" s="12">
        <f>IF(H74=0,0,L74/H74)</f>
        <v>-1</v>
      </c>
      <c r="O74" s="10"/>
      <c r="P74" s="4"/>
      <c r="Q74" s="4"/>
      <c r="R74" s="12">
        <f>IF(P$12=0,0,P74/P$12)</f>
        <v>0</v>
      </c>
      <c r="S74" s="4"/>
      <c r="T74" s="4">
        <v>15804.04</v>
      </c>
      <c r="U74" s="4"/>
      <c r="V74" s="12">
        <f>IF(T$12=0,0,T74/T$12)</f>
        <v>0.10428585125552155</v>
      </c>
      <c r="W74" s="4"/>
      <c r="X74" s="4">
        <f>+P74-T74</f>
        <v>-15804.04</v>
      </c>
      <c r="Y74" s="4"/>
      <c r="Z74" s="12">
        <f>IF(T74=0,0,X74/T74)</f>
        <v>-1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8" t="s">
        <v>4</v>
      </c>
      <c r="C76" s="28"/>
      <c r="D76" s="30">
        <f>+D72-D74</f>
        <v>-119.55</v>
      </c>
      <c r="E76" s="14"/>
      <c r="F76" s="36">
        <f>IF(D$12=0,0,D76/D$12)</f>
        <v>0</v>
      </c>
      <c r="G76" s="14"/>
      <c r="H76" s="30">
        <f>+H72-H74</f>
        <v>-9044.0400000000009</v>
      </c>
      <c r="I76" s="14"/>
      <c r="J76" s="36">
        <f>IF(H$12=0,0,H76/H$12)</f>
        <v>-0.66170366722979024</v>
      </c>
      <c r="K76" s="15"/>
      <c r="L76" s="30">
        <f>D76-H76</f>
        <v>8924.4900000000016</v>
      </c>
      <c r="M76" s="15"/>
      <c r="N76" s="36">
        <f>IF(H76=0,0,L76/H76)</f>
        <v>-0.98678134992768729</v>
      </c>
      <c r="O76" s="29"/>
      <c r="P76" s="30">
        <f>+P72-P74</f>
        <v>-1864.0500000000002</v>
      </c>
      <c r="Q76" s="14"/>
      <c r="R76" s="36">
        <f>IF(P$12=0,0,P76/P$12)</f>
        <v>0</v>
      </c>
      <c r="S76" s="14"/>
      <c r="T76" s="30">
        <f>+T72-T74</f>
        <v>-61707.220000000052</v>
      </c>
      <c r="U76" s="14"/>
      <c r="V76" s="36">
        <f>IF(T$12=0,0,T76/T$12)</f>
        <v>-0.40718638818376501</v>
      </c>
      <c r="W76" s="15"/>
      <c r="X76" s="30">
        <f>P76-T76</f>
        <v>59843.170000000049</v>
      </c>
      <c r="Y76" s="15"/>
      <c r="Z76" s="36">
        <f>IF(T76=0,0,X76/T76)</f>
        <v>-0.96979202757797223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5</v>
      </c>
      <c r="C79" s="28"/>
      <c r="D79" s="32">
        <f>SUM(D76:D78)</f>
        <v>-119.55</v>
      </c>
      <c r="E79" s="14"/>
      <c r="F79" s="31">
        <f>IF(D$12=0,0,D79/D$12)</f>
        <v>0</v>
      </c>
      <c r="G79" s="14"/>
      <c r="H79" s="32">
        <f>SUM(H76:H78)</f>
        <v>-9044.0400000000009</v>
      </c>
      <c r="I79" s="14"/>
      <c r="J79" s="31">
        <f>IF(H$12=0,0,H79/H$12)</f>
        <v>-0.66170366722979024</v>
      </c>
      <c r="K79" s="15"/>
      <c r="L79" s="32">
        <f>+D79-H79</f>
        <v>8924.4900000000016</v>
      </c>
      <c r="M79" s="15"/>
      <c r="N79" s="31">
        <f>IF(H79=0,0,L79/H79)</f>
        <v>-0.98678134992768729</v>
      </c>
      <c r="O79" s="29"/>
      <c r="P79" s="32">
        <f>SUM(P76:P78)</f>
        <v>-1864.0500000000002</v>
      </c>
      <c r="Q79" s="14"/>
      <c r="R79" s="31">
        <f>IF(P$12=0,0,P79/P$12)</f>
        <v>0</v>
      </c>
      <c r="S79" s="14"/>
      <c r="T79" s="32">
        <f>SUM(T76:T78)</f>
        <v>-61707.220000000052</v>
      </c>
      <c r="U79" s="14"/>
      <c r="V79" s="31">
        <f>IF(T$12=0,0,T79/T$12)</f>
        <v>-0.40718638818376501</v>
      </c>
      <c r="W79" s="15"/>
      <c r="X79" s="32">
        <f>+P79-T79</f>
        <v>59843.170000000049</v>
      </c>
      <c r="Y79" s="15"/>
      <c r="Z79" s="31">
        <f>IF(T79=0,0,X79/T79)</f>
        <v>-0.96979202757797223</v>
      </c>
    </row>
    <row r="80" spans="1:26" ht="15.75" thickTop="1" x14ac:dyDescent="0.25">
      <c r="A80" s="9"/>
      <c r="C80" s="9"/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62">
        <v>44238.496412233799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9" t="s">
        <v>313</v>
      </c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A83" s="9"/>
      <c r="B83" s="56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4" x14ac:dyDescent="0.25"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","411", " - ", "University Dining")</f>
        <v>Department 411 - University Dining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37456.579999999994</v>
      </c>
      <c r="E18" s="21"/>
      <c r="F18" s="35">
        <f t="shared" ref="F18:F28" si="0">IF(D$12=0,0,D18/D$12)</f>
        <v>0</v>
      </c>
      <c r="G18" s="21"/>
      <c r="H18" s="21">
        <f>SUM(OSRRefH22x_0)</f>
        <v>110462.60999999999</v>
      </c>
      <c r="I18" s="21"/>
      <c r="J18" s="35">
        <f t="shared" ref="J18:J28" si="1">IF(H$12=0,0,H18/H$12)</f>
        <v>0</v>
      </c>
      <c r="K18" s="4"/>
      <c r="L18" s="21">
        <f t="shared" ref="L18:L28" si="2">+D18-H18</f>
        <v>-73006.03</v>
      </c>
      <c r="M18" s="4"/>
      <c r="N18" s="35">
        <f t="shared" ref="N18:N28" si="3">IF(H18=0,0,L18/H18)</f>
        <v>-0.66091168767422759</v>
      </c>
      <c r="O18" s="10"/>
      <c r="P18" s="21">
        <f>SUM(OSRRefP22x_0)</f>
        <v>189852.84000000003</v>
      </c>
      <c r="Q18" s="21"/>
      <c r="R18" s="35">
        <f t="shared" ref="R18:R28" si="4">IF(P$12=0,0,P18/P$12)</f>
        <v>0</v>
      </c>
      <c r="S18" s="21"/>
      <c r="T18" s="21">
        <f>SUM(OSRRefT22x_0)</f>
        <v>714885.08000000007</v>
      </c>
      <c r="U18" s="21"/>
      <c r="V18" s="35">
        <f t="shared" ref="V18:V28" si="5">IF(T$12=0,0,T18/T$12)</f>
        <v>0</v>
      </c>
      <c r="W18" s="4"/>
      <c r="X18" s="21">
        <f t="shared" ref="X18:X28" si="6">+P18-T18</f>
        <v>-525032.24</v>
      </c>
      <c r="Y18" s="4"/>
      <c r="Z18" s="35">
        <f t="shared" ref="Z18:Z28" si="7">IF(T18=0,0,X18/T18)</f>
        <v>-0.73442886792377871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6174.2999999999993</v>
      </c>
      <c r="E19" s="1"/>
      <c r="F19" s="5">
        <f t="shared" si="0"/>
        <v>0</v>
      </c>
      <c r="G19" s="1"/>
      <c r="H19" s="1">
        <f>SUM(OSRRefH22_0x_0)</f>
        <v>10145.91</v>
      </c>
      <c r="I19" s="1"/>
      <c r="J19" s="5">
        <f t="shared" si="1"/>
        <v>0</v>
      </c>
      <c r="K19" s="1"/>
      <c r="L19" s="1">
        <f t="shared" si="2"/>
        <v>-3971.6100000000006</v>
      </c>
      <c r="M19" s="1"/>
      <c r="N19" s="5">
        <f t="shared" si="3"/>
        <v>-0.39144936235389438</v>
      </c>
      <c r="O19" s="13"/>
      <c r="P19" s="1">
        <f>SUM(OSRRefP22_0x_0)</f>
        <v>42373.81</v>
      </c>
      <c r="Q19" s="1"/>
      <c r="R19" s="5">
        <f t="shared" si="4"/>
        <v>0</v>
      </c>
      <c r="S19" s="1"/>
      <c r="T19" s="1">
        <f>SUM(OSRRefT22_0x_0)</f>
        <v>77566.209999999977</v>
      </c>
      <c r="U19" s="1"/>
      <c r="V19" s="5">
        <f t="shared" si="5"/>
        <v>0</v>
      </c>
      <c r="W19" s="1"/>
      <c r="X19" s="1">
        <f t="shared" si="6"/>
        <v>-35192.39999999998</v>
      </c>
      <c r="Y19" s="1"/>
      <c r="Z19" s="5">
        <f t="shared" si="7"/>
        <v>-0.45370787099176291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852.54</v>
      </c>
      <c r="E20" s="2"/>
      <c r="F20" s="7">
        <f t="shared" si="0"/>
        <v>0</v>
      </c>
      <c r="G20" s="2"/>
      <c r="H20" s="6">
        <v>1700.63</v>
      </c>
      <c r="I20" s="2"/>
      <c r="J20" s="7">
        <f t="shared" si="1"/>
        <v>0</v>
      </c>
      <c r="K20" s="2"/>
      <c r="L20" s="6">
        <f t="shared" si="2"/>
        <v>-848.09000000000015</v>
      </c>
      <c r="M20" s="2"/>
      <c r="N20" s="7">
        <f t="shared" si="3"/>
        <v>-0.49869166132550885</v>
      </c>
      <c r="O20" s="11"/>
      <c r="P20" s="6">
        <v>6188.63</v>
      </c>
      <c r="Q20" s="2"/>
      <c r="R20" s="7">
        <f t="shared" si="4"/>
        <v>0</v>
      </c>
      <c r="S20" s="2"/>
      <c r="T20" s="6">
        <v>15867.729999999998</v>
      </c>
      <c r="U20" s="2"/>
      <c r="V20" s="7">
        <f t="shared" si="5"/>
        <v>0</v>
      </c>
      <c r="W20" s="2"/>
      <c r="X20" s="6">
        <f t="shared" si="6"/>
        <v>-9679.0999999999985</v>
      </c>
      <c r="Y20" s="2"/>
      <c r="Z20" s="7">
        <f t="shared" si="7"/>
        <v>-0.60998643158158095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-21.55</v>
      </c>
      <c r="E21" s="2"/>
      <c r="F21" s="7">
        <f t="shared" si="0"/>
        <v>0</v>
      </c>
      <c r="G21" s="2"/>
      <c r="H21" s="6">
        <v>772.42</v>
      </c>
      <c r="I21" s="2"/>
      <c r="J21" s="7">
        <f t="shared" si="1"/>
        <v>0</v>
      </c>
      <c r="K21" s="2"/>
      <c r="L21" s="6">
        <f t="shared" si="2"/>
        <v>-793.96999999999991</v>
      </c>
      <c r="M21" s="2"/>
      <c r="N21" s="7">
        <f t="shared" si="3"/>
        <v>-1.0278993293803889</v>
      </c>
      <c r="O21" s="11"/>
      <c r="P21" s="6">
        <v>403.52</v>
      </c>
      <c r="Q21" s="2"/>
      <c r="R21" s="7">
        <f t="shared" si="4"/>
        <v>0</v>
      </c>
      <c r="S21" s="2"/>
      <c r="T21" s="6">
        <v>5568.4</v>
      </c>
      <c r="U21" s="2"/>
      <c r="V21" s="7">
        <f t="shared" si="5"/>
        <v>0</v>
      </c>
      <c r="W21" s="2"/>
      <c r="X21" s="6">
        <f t="shared" si="6"/>
        <v>-5164.8799999999992</v>
      </c>
      <c r="Y21" s="2"/>
      <c r="Z21" s="7">
        <f t="shared" si="7"/>
        <v>-0.92753394152718904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1920.87</v>
      </c>
      <c r="E22" s="2"/>
      <c r="F22" s="7">
        <f t="shared" si="0"/>
        <v>0</v>
      </c>
      <c r="G22" s="2"/>
      <c r="H22" s="6">
        <v>3028.71</v>
      </c>
      <c r="I22" s="2"/>
      <c r="J22" s="7">
        <f t="shared" si="1"/>
        <v>0</v>
      </c>
      <c r="K22" s="2"/>
      <c r="L22" s="6">
        <f t="shared" si="2"/>
        <v>-1107.8400000000001</v>
      </c>
      <c r="M22" s="2"/>
      <c r="N22" s="7">
        <f t="shared" si="3"/>
        <v>-0.36577949027803919</v>
      </c>
      <c r="O22" s="11"/>
      <c r="P22" s="6">
        <v>12491.34</v>
      </c>
      <c r="Q22" s="2"/>
      <c r="R22" s="7">
        <f t="shared" si="4"/>
        <v>0</v>
      </c>
      <c r="S22" s="2"/>
      <c r="T22" s="6">
        <v>24957.99</v>
      </c>
      <c r="U22" s="2"/>
      <c r="V22" s="7">
        <f t="shared" si="5"/>
        <v>0</v>
      </c>
      <c r="W22" s="2"/>
      <c r="X22" s="6">
        <f t="shared" si="6"/>
        <v>-12466.650000000001</v>
      </c>
      <c r="Y22" s="2"/>
      <c r="Z22" s="7">
        <f t="shared" si="7"/>
        <v>-0.4995053688217681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57.76</v>
      </c>
      <c r="E23" s="2"/>
      <c r="F23" s="7">
        <f t="shared" si="0"/>
        <v>0</v>
      </c>
      <c r="G23" s="2"/>
      <c r="H23" s="6">
        <v>62.94</v>
      </c>
      <c r="I23" s="2"/>
      <c r="J23" s="7">
        <f t="shared" si="1"/>
        <v>0</v>
      </c>
      <c r="K23" s="2"/>
      <c r="L23" s="6">
        <f t="shared" si="2"/>
        <v>-5.18</v>
      </c>
      <c r="M23" s="2"/>
      <c r="N23" s="7">
        <f t="shared" si="3"/>
        <v>-8.2300603749602796E-2</v>
      </c>
      <c r="O23" s="11"/>
      <c r="P23" s="6">
        <v>253.03</v>
      </c>
      <c r="Q23" s="2"/>
      <c r="R23" s="7">
        <f t="shared" si="4"/>
        <v>0</v>
      </c>
      <c r="S23" s="2"/>
      <c r="T23" s="6">
        <v>547.53</v>
      </c>
      <c r="U23" s="2"/>
      <c r="V23" s="7">
        <f t="shared" si="5"/>
        <v>0</v>
      </c>
      <c r="W23" s="2"/>
      <c r="X23" s="6">
        <f t="shared" si="6"/>
        <v>-294.5</v>
      </c>
      <c r="Y23" s="2"/>
      <c r="Z23" s="7">
        <f t="shared" si="7"/>
        <v>-0.53787007104633544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1831.58</v>
      </c>
      <c r="E24" s="2"/>
      <c r="F24" s="7">
        <f t="shared" si="0"/>
        <v>0</v>
      </c>
      <c r="G24" s="2"/>
      <c r="H24" s="6">
        <v>1863.26</v>
      </c>
      <c r="I24" s="2"/>
      <c r="J24" s="7">
        <f t="shared" si="1"/>
        <v>0</v>
      </c>
      <c r="K24" s="2"/>
      <c r="L24" s="6">
        <f t="shared" si="2"/>
        <v>-31.680000000000064</v>
      </c>
      <c r="M24" s="2"/>
      <c r="N24" s="7">
        <f t="shared" si="3"/>
        <v>-1.7002458057383329E-2</v>
      </c>
      <c r="O24" s="11"/>
      <c r="P24" s="6">
        <v>10818.79</v>
      </c>
      <c r="Q24" s="2"/>
      <c r="R24" s="7">
        <f t="shared" si="4"/>
        <v>0</v>
      </c>
      <c r="S24" s="2"/>
      <c r="T24" s="6">
        <v>10323.620000000001</v>
      </c>
      <c r="U24" s="2"/>
      <c r="V24" s="7">
        <f t="shared" si="5"/>
        <v>0</v>
      </c>
      <c r="W24" s="2"/>
      <c r="X24" s="6">
        <f t="shared" si="6"/>
        <v>495.17000000000007</v>
      </c>
      <c r="Y24" s="2"/>
      <c r="Z24" s="7">
        <f t="shared" si="7"/>
        <v>4.7964764297794768E-2</v>
      </c>
    </row>
    <row r="25" spans="1:26" s="24" customFormat="1" hidden="1" outlineLevel="2" x14ac:dyDescent="0.25">
      <c r="A25" s="25"/>
      <c r="B25" s="11" t="str">
        <f>CONCATENATE("          ", "6117", " - ", "RETIREMENT STAFF HOURLY")</f>
        <v xml:space="preserve">          6117 - RETIREMENT STAFF HOURLY</v>
      </c>
      <c r="C25" s="11"/>
      <c r="D25" s="6"/>
      <c r="E25" s="2"/>
      <c r="F25" s="7">
        <f t="shared" si="0"/>
        <v>0</v>
      </c>
      <c r="G25" s="2"/>
      <c r="H25" s="6">
        <v>84</v>
      </c>
      <c r="I25" s="2"/>
      <c r="J25" s="7">
        <f t="shared" si="1"/>
        <v>0</v>
      </c>
      <c r="K25" s="2"/>
      <c r="L25" s="6">
        <f t="shared" si="2"/>
        <v>-84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448</v>
      </c>
      <c r="U25" s="2"/>
      <c r="V25" s="7">
        <f t="shared" si="5"/>
        <v>0</v>
      </c>
      <c r="W25" s="2"/>
      <c r="X25" s="6">
        <f t="shared" si="6"/>
        <v>-448</v>
      </c>
      <c r="Y25" s="2"/>
      <c r="Z25" s="7">
        <f t="shared" si="7"/>
        <v>-1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1022.52</v>
      </c>
      <c r="E26" s="2"/>
      <c r="F26" s="7">
        <f t="shared" si="0"/>
        <v>0</v>
      </c>
      <c r="G26" s="2"/>
      <c r="H26" s="6">
        <v>1432.54</v>
      </c>
      <c r="I26" s="2"/>
      <c r="J26" s="7">
        <f t="shared" si="1"/>
        <v>0</v>
      </c>
      <c r="K26" s="2"/>
      <c r="L26" s="6">
        <f t="shared" si="2"/>
        <v>-410.02</v>
      </c>
      <c r="M26" s="2"/>
      <c r="N26" s="7">
        <f t="shared" si="3"/>
        <v>-0.2862188839404135</v>
      </c>
      <c r="O26" s="11"/>
      <c r="P26" s="6">
        <v>7861.04</v>
      </c>
      <c r="Q26" s="2"/>
      <c r="R26" s="7">
        <f t="shared" si="4"/>
        <v>0</v>
      </c>
      <c r="S26" s="2"/>
      <c r="T26" s="6">
        <v>10549.47</v>
      </c>
      <c r="U26" s="2"/>
      <c r="V26" s="7">
        <f t="shared" si="5"/>
        <v>0</v>
      </c>
      <c r="W26" s="2"/>
      <c r="X26" s="6">
        <f t="shared" si="6"/>
        <v>-2688.4299999999994</v>
      </c>
      <c r="Y26" s="2"/>
      <c r="Z26" s="7">
        <f t="shared" si="7"/>
        <v>-0.25484029055488089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510.58</v>
      </c>
      <c r="E27" s="2"/>
      <c r="F27" s="7">
        <f t="shared" si="0"/>
        <v>0</v>
      </c>
      <c r="G27" s="2"/>
      <c r="H27" s="6">
        <v>732.14</v>
      </c>
      <c r="I27" s="2"/>
      <c r="J27" s="7">
        <f t="shared" si="1"/>
        <v>0</v>
      </c>
      <c r="K27" s="2"/>
      <c r="L27" s="6">
        <f t="shared" si="2"/>
        <v>-221.56</v>
      </c>
      <c r="M27" s="2"/>
      <c r="N27" s="7">
        <f t="shared" si="3"/>
        <v>-0.30261971754036116</v>
      </c>
      <c r="O27" s="11"/>
      <c r="P27" s="6">
        <v>3925.29</v>
      </c>
      <c r="Q27" s="2"/>
      <c r="R27" s="7">
        <f t="shared" si="4"/>
        <v>0</v>
      </c>
      <c r="S27" s="2"/>
      <c r="T27" s="6">
        <v>6634.54</v>
      </c>
      <c r="U27" s="2"/>
      <c r="V27" s="7">
        <f t="shared" si="5"/>
        <v>0</v>
      </c>
      <c r="W27" s="2"/>
      <c r="X27" s="6">
        <f t="shared" si="6"/>
        <v>-2709.25</v>
      </c>
      <c r="Y27" s="2"/>
      <c r="Z27" s="7">
        <f t="shared" si="7"/>
        <v>-0.40835536450153287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>
        <v>469.27</v>
      </c>
      <c r="I28" s="2"/>
      <c r="J28" s="7">
        <f t="shared" si="1"/>
        <v>0</v>
      </c>
      <c r="K28" s="2"/>
      <c r="L28" s="6">
        <f t="shared" si="2"/>
        <v>-469.27</v>
      </c>
      <c r="M28" s="2"/>
      <c r="N28" s="7">
        <f t="shared" si="3"/>
        <v>-1</v>
      </c>
      <c r="O28" s="11"/>
      <c r="P28" s="6">
        <v>432.17</v>
      </c>
      <c r="Q28" s="2"/>
      <c r="R28" s="7">
        <f t="shared" si="4"/>
        <v>0</v>
      </c>
      <c r="S28" s="2"/>
      <c r="T28" s="6">
        <v>2668.93</v>
      </c>
      <c r="U28" s="2"/>
      <c r="V28" s="7">
        <f t="shared" si="5"/>
        <v>0</v>
      </c>
      <c r="W28" s="2"/>
      <c r="X28" s="6">
        <f t="shared" si="6"/>
        <v>-2236.7599999999998</v>
      </c>
      <c r="Y28" s="2"/>
      <c r="Z28" s="7">
        <f t="shared" si="7"/>
        <v>-0.83807368495989021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13911.28</v>
      </c>
      <c r="E29" s="1"/>
      <c r="F29" s="5">
        <f t="shared" ref="F29:F35" si="8">IF(D$12=0,0,D29/D$12)</f>
        <v>0</v>
      </c>
      <c r="G29" s="1"/>
      <c r="H29" s="1">
        <f>SUM(OSRRefH22_1x_0)</f>
        <v>28853.05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-14941.769999999999</v>
      </c>
      <c r="M29" s="1"/>
      <c r="N29" s="5">
        <f t="shared" ref="N29:N35" si="11">IF(H29=0,0,L29/H29)</f>
        <v>-0.51785755751991558</v>
      </c>
      <c r="O29" s="13"/>
      <c r="P29" s="1">
        <f>SUM(OSRRefP22_1x_0)</f>
        <v>78976.079999999987</v>
      </c>
      <c r="Q29" s="1"/>
      <c r="R29" s="5">
        <f t="shared" ref="R29:R35" si="12">IF(P$12=0,0,P29/P$12)</f>
        <v>0</v>
      </c>
      <c r="S29" s="1"/>
      <c r="T29" s="1">
        <f>SUM(OSRRefT22_1x_0)</f>
        <v>193017.95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-114041.87000000002</v>
      </c>
      <c r="Y29" s="1"/>
      <c r="Z29" s="5">
        <f t="shared" ref="Z29:Z35" si="15">IF(T29=0,0,X29/T29)</f>
        <v>-0.59083556736562592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>
        <v>13911.28</v>
      </c>
      <c r="E30" s="2"/>
      <c r="F30" s="7">
        <f t="shared" si="8"/>
        <v>0</v>
      </c>
      <c r="G30" s="2"/>
      <c r="H30" s="6">
        <v>9694.7999999999993</v>
      </c>
      <c r="I30" s="2"/>
      <c r="J30" s="7">
        <f t="shared" si="9"/>
        <v>0</v>
      </c>
      <c r="K30" s="2"/>
      <c r="L30" s="6">
        <f t="shared" si="10"/>
        <v>4216.4800000000014</v>
      </c>
      <c r="M30" s="2"/>
      <c r="N30" s="7">
        <f t="shared" si="11"/>
        <v>0.43492181375582806</v>
      </c>
      <c r="O30" s="11"/>
      <c r="P30" s="6">
        <v>76591.079999999987</v>
      </c>
      <c r="Q30" s="2"/>
      <c r="R30" s="7">
        <f t="shared" si="12"/>
        <v>0</v>
      </c>
      <c r="S30" s="2"/>
      <c r="T30" s="6">
        <v>58171.14</v>
      </c>
      <c r="U30" s="2"/>
      <c r="V30" s="7">
        <f t="shared" si="13"/>
        <v>0</v>
      </c>
      <c r="W30" s="2"/>
      <c r="X30" s="6">
        <f t="shared" si="14"/>
        <v>18419.939999999988</v>
      </c>
      <c r="Y30" s="2"/>
      <c r="Z30" s="7">
        <f t="shared" si="15"/>
        <v>0.31665083407339084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5230.32</v>
      </c>
      <c r="I31" s="2"/>
      <c r="J31" s="7">
        <f t="shared" si="9"/>
        <v>0</v>
      </c>
      <c r="K31" s="2"/>
      <c r="L31" s="6">
        <f t="shared" si="10"/>
        <v>-5230.32</v>
      </c>
      <c r="M31" s="2"/>
      <c r="N31" s="7">
        <f t="shared" si="11"/>
        <v>-1</v>
      </c>
      <c r="O31" s="11"/>
      <c r="P31" s="6">
        <v>2080</v>
      </c>
      <c r="Q31" s="2"/>
      <c r="R31" s="7">
        <f t="shared" si="12"/>
        <v>0</v>
      </c>
      <c r="S31" s="2"/>
      <c r="T31" s="6">
        <v>31692.969999999998</v>
      </c>
      <c r="U31" s="2"/>
      <c r="V31" s="7">
        <f t="shared" si="13"/>
        <v>0</v>
      </c>
      <c r="W31" s="2"/>
      <c r="X31" s="6">
        <f t="shared" si="14"/>
        <v>-29612.969999999998</v>
      </c>
      <c r="Y31" s="2"/>
      <c r="Z31" s="7">
        <f t="shared" si="15"/>
        <v>-0.93437030357205397</v>
      </c>
    </row>
    <row r="32" spans="1:26" s="24" customFormat="1" hidden="1" outlineLevel="2" x14ac:dyDescent="0.25">
      <c r="A32" s="25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2184</v>
      </c>
      <c r="I32" s="2"/>
      <c r="J32" s="7">
        <f t="shared" si="9"/>
        <v>0</v>
      </c>
      <c r="K32" s="2"/>
      <c r="L32" s="6">
        <f t="shared" si="10"/>
        <v>-2184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15911.84</v>
      </c>
      <c r="U32" s="2"/>
      <c r="V32" s="7">
        <f t="shared" si="13"/>
        <v>0</v>
      </c>
      <c r="W32" s="2"/>
      <c r="X32" s="6">
        <f t="shared" si="14"/>
        <v>-15911.84</v>
      </c>
      <c r="Y32" s="2"/>
      <c r="Z32" s="7">
        <f t="shared" si="15"/>
        <v>-1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6420.37</v>
      </c>
      <c r="I33" s="2"/>
      <c r="J33" s="7">
        <f t="shared" si="9"/>
        <v>0</v>
      </c>
      <c r="K33" s="2"/>
      <c r="L33" s="6">
        <f t="shared" si="10"/>
        <v>-6420.37</v>
      </c>
      <c r="M33" s="2"/>
      <c r="N33" s="7">
        <f t="shared" si="11"/>
        <v>-1</v>
      </c>
      <c r="O33" s="11"/>
      <c r="P33" s="6">
        <v>305</v>
      </c>
      <c r="Q33" s="2"/>
      <c r="R33" s="7">
        <f t="shared" si="12"/>
        <v>0</v>
      </c>
      <c r="S33" s="2"/>
      <c r="T33" s="6">
        <v>70067.12</v>
      </c>
      <c r="U33" s="2"/>
      <c r="V33" s="7">
        <f t="shared" si="13"/>
        <v>0</v>
      </c>
      <c r="W33" s="2"/>
      <c r="X33" s="6">
        <f t="shared" si="14"/>
        <v>-69762.12</v>
      </c>
      <c r="Y33" s="2"/>
      <c r="Z33" s="7">
        <f t="shared" si="15"/>
        <v>-0.99564703101825791</v>
      </c>
    </row>
    <row r="34" spans="1:26" s="24" customFormat="1" hidden="1" outlineLevel="2" x14ac:dyDescent="0.25">
      <c r="A34" s="25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1236.8800000000001</v>
      </c>
      <c r="U34" s="2"/>
      <c r="V34" s="7">
        <f t="shared" si="13"/>
        <v>0</v>
      </c>
      <c r="W34" s="2"/>
      <c r="X34" s="6">
        <f t="shared" si="14"/>
        <v>-1236.8800000000001</v>
      </c>
      <c r="Y34" s="2"/>
      <c r="Z34" s="7">
        <f t="shared" si="15"/>
        <v>-1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5323.56</v>
      </c>
      <c r="I35" s="2"/>
      <c r="J35" s="7">
        <f t="shared" si="9"/>
        <v>0</v>
      </c>
      <c r="K35" s="2"/>
      <c r="L35" s="6">
        <f t="shared" si="10"/>
        <v>-5323.56</v>
      </c>
      <c r="M35" s="2"/>
      <c r="N35" s="7">
        <f t="shared" si="11"/>
        <v>-1</v>
      </c>
      <c r="O35" s="11"/>
      <c r="P35" s="6"/>
      <c r="Q35" s="2"/>
      <c r="R35" s="7">
        <f t="shared" si="12"/>
        <v>0</v>
      </c>
      <c r="S35" s="2"/>
      <c r="T35" s="6">
        <v>15938</v>
      </c>
      <c r="U35" s="2"/>
      <c r="V35" s="7">
        <f t="shared" si="13"/>
        <v>0</v>
      </c>
      <c r="W35" s="2"/>
      <c r="X35" s="6">
        <f t="shared" si="14"/>
        <v>-15938</v>
      </c>
      <c r="Y35" s="2"/>
      <c r="Z35" s="7">
        <f t="shared" si="15"/>
        <v>-1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3" si="16">IF(D$12=0,0,D36/D$12)</f>
        <v>0</v>
      </c>
      <c r="G36" s="1"/>
      <c r="H36" s="1">
        <f>SUM(OSRRefH22_2x_0)</f>
        <v>210.61</v>
      </c>
      <c r="I36" s="1"/>
      <c r="J36" s="5">
        <f t="shared" ref="J36:J43" si="17">IF(H$12=0,0,H36/H$12)</f>
        <v>0</v>
      </c>
      <c r="K36" s="1"/>
      <c r="L36" s="1">
        <f t="shared" ref="L36:L43" si="18">+D36-H36</f>
        <v>-210.61</v>
      </c>
      <c r="M36" s="1"/>
      <c r="N36" s="5">
        <f t="shared" ref="N36:N43" si="19">IF(H36=0,0,L36/H36)</f>
        <v>-1</v>
      </c>
      <c r="O36" s="13"/>
      <c r="P36" s="1">
        <f>SUM(OSRRefP22_2x_0)</f>
        <v>0</v>
      </c>
      <c r="Q36" s="1"/>
      <c r="R36" s="5">
        <f t="shared" ref="R36:R43" si="20">IF(P$12=0,0,P36/P$12)</f>
        <v>0</v>
      </c>
      <c r="S36" s="1"/>
      <c r="T36" s="1">
        <f>SUM(OSRRefT22_2x_0)</f>
        <v>3328.01</v>
      </c>
      <c r="U36" s="1"/>
      <c r="V36" s="5">
        <f t="shared" ref="V36:V43" si="21">IF(T$12=0,0,T36/T$12)</f>
        <v>0</v>
      </c>
      <c r="W36" s="1"/>
      <c r="X36" s="1">
        <f t="shared" ref="X36:X43" si="22">+P36-T36</f>
        <v>-3328.01</v>
      </c>
      <c r="Y36" s="1"/>
      <c r="Z36" s="5">
        <f t="shared" ref="Z36:Z43" si="23">IF(T36=0,0,X36/T36)</f>
        <v>-1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>
        <v>210.61</v>
      </c>
      <c r="I37" s="2"/>
      <c r="J37" s="7">
        <f t="shared" si="17"/>
        <v>0</v>
      </c>
      <c r="K37" s="2"/>
      <c r="L37" s="6">
        <f t="shared" si="18"/>
        <v>-210.61</v>
      </c>
      <c r="M37" s="2"/>
      <c r="N37" s="7">
        <f t="shared" si="19"/>
        <v>-1</v>
      </c>
      <c r="O37" s="11"/>
      <c r="P37" s="6"/>
      <c r="Q37" s="2"/>
      <c r="R37" s="7">
        <f t="shared" si="20"/>
        <v>0</v>
      </c>
      <c r="S37" s="2"/>
      <c r="T37" s="6">
        <v>3328.01</v>
      </c>
      <c r="U37" s="2"/>
      <c r="V37" s="7">
        <f t="shared" si="21"/>
        <v>0</v>
      </c>
      <c r="W37" s="2"/>
      <c r="X37" s="6">
        <f t="shared" si="22"/>
        <v>-3328.01</v>
      </c>
      <c r="Y37" s="2"/>
      <c r="Z37" s="7">
        <f t="shared" si="23"/>
        <v>-1</v>
      </c>
    </row>
    <row r="38" spans="1:26" s="26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492.67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492.67</v>
      </c>
      <c r="M38" s="1"/>
      <c r="N38" s="5">
        <f t="shared" si="19"/>
        <v>0</v>
      </c>
      <c r="O38" s="13"/>
      <c r="P38" s="1">
        <f>SUM(OSRRefP22_3x_0)</f>
        <v>2680.58</v>
      </c>
      <c r="Q38" s="1"/>
      <c r="R38" s="5">
        <f t="shared" si="20"/>
        <v>0</v>
      </c>
      <c r="S38" s="1"/>
      <c r="T38" s="1">
        <f>SUM(OSRRefT22_3x_0)</f>
        <v>0</v>
      </c>
      <c r="U38" s="1"/>
      <c r="V38" s="5">
        <f t="shared" si="21"/>
        <v>0</v>
      </c>
      <c r="W38" s="1"/>
      <c r="X38" s="1">
        <f t="shared" si="22"/>
        <v>2680.58</v>
      </c>
      <c r="Y38" s="1"/>
      <c r="Z38" s="5">
        <f t="shared" si="23"/>
        <v>0</v>
      </c>
    </row>
    <row r="39" spans="1:26" s="24" customFormat="1" hidden="1" outlineLevel="2" x14ac:dyDescent="0.25">
      <c r="A39" s="25"/>
      <c r="B39" s="11" t="str">
        <f>CONCATENATE("          ", "6381", " - ", "BANK/CREDIT CARD FEES")</f>
        <v xml:space="preserve">          6381 - BANK/CREDIT CARD FEES</v>
      </c>
      <c r="C39" s="11"/>
      <c r="D39" s="6">
        <v>492.67</v>
      </c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492.67</v>
      </c>
      <c r="M39" s="2"/>
      <c r="N39" s="7">
        <f t="shared" si="19"/>
        <v>0</v>
      </c>
      <c r="O39" s="11"/>
      <c r="P39" s="6">
        <v>2680.58</v>
      </c>
      <c r="Q39" s="2"/>
      <c r="R39" s="7">
        <f t="shared" si="20"/>
        <v>0</v>
      </c>
      <c r="S39" s="2"/>
      <c r="T39" s="6"/>
      <c r="U39" s="2"/>
      <c r="V39" s="7">
        <f t="shared" si="21"/>
        <v>0</v>
      </c>
      <c r="W39" s="2"/>
      <c r="X39" s="6">
        <f t="shared" si="22"/>
        <v>2680.58</v>
      </c>
      <c r="Y39" s="2"/>
      <c r="Z39" s="7">
        <f t="shared" si="23"/>
        <v>0</v>
      </c>
    </row>
    <row r="40" spans="1:26" s="26" customFormat="1" outlineLevel="1" collapsed="1" x14ac:dyDescent="0.25">
      <c r="A40" s="27"/>
      <c r="B40" s="13" t="str">
        <f>CONCATENATE("     ","Depreciation                                      ")</f>
        <v xml:space="preserve">     Depreciation                                      </v>
      </c>
      <c r="C40" s="13"/>
      <c r="D40" s="1">
        <f>SUM(OSRRefD22_4x_0)</f>
        <v>6779.8600000000006</v>
      </c>
      <c r="E40" s="1"/>
      <c r="F40" s="5">
        <f t="shared" si="16"/>
        <v>0</v>
      </c>
      <c r="G40" s="1"/>
      <c r="H40" s="1">
        <f>SUM(OSRRefH22_4x_0)</f>
        <v>7262.6799999999994</v>
      </c>
      <c r="I40" s="1"/>
      <c r="J40" s="5">
        <f t="shared" si="17"/>
        <v>0</v>
      </c>
      <c r="K40" s="1"/>
      <c r="L40" s="1">
        <f t="shared" si="18"/>
        <v>-482.8199999999988</v>
      </c>
      <c r="M40" s="1"/>
      <c r="N40" s="5">
        <f t="shared" si="19"/>
        <v>-6.6479591555734088E-2</v>
      </c>
      <c r="O40" s="13"/>
      <c r="P40" s="1">
        <f>SUM(OSRRefP22_4x_0)</f>
        <v>48243.209999999992</v>
      </c>
      <c r="Q40" s="1"/>
      <c r="R40" s="5">
        <f t="shared" si="20"/>
        <v>0</v>
      </c>
      <c r="S40" s="1"/>
      <c r="T40" s="1">
        <f>SUM(OSRRefT22_4x_0)</f>
        <v>48633.56</v>
      </c>
      <c r="U40" s="1"/>
      <c r="V40" s="5">
        <f t="shared" si="21"/>
        <v>0</v>
      </c>
      <c r="W40" s="1"/>
      <c r="X40" s="1">
        <f t="shared" si="22"/>
        <v>-390.35000000000582</v>
      </c>
      <c r="Y40" s="1"/>
      <c r="Z40" s="5">
        <f t="shared" si="23"/>
        <v>-8.0263505283184253E-3</v>
      </c>
    </row>
    <row r="41" spans="1:26" s="24" customFormat="1" hidden="1" outlineLevel="2" x14ac:dyDescent="0.25">
      <c r="A41" s="25"/>
      <c r="B41" s="11" t="str">
        <f>CONCATENATE("          ", "6321", " - ", "BUILDING DEPRECIATION")</f>
        <v xml:space="preserve">          6321 - BUILDING DEPRECIATION</v>
      </c>
      <c r="C41" s="11"/>
      <c r="D41" s="6">
        <v>1822.68</v>
      </c>
      <c r="E41" s="2"/>
      <c r="F41" s="7">
        <f t="shared" si="16"/>
        <v>0</v>
      </c>
      <c r="G41" s="2"/>
      <c r="H41" s="6">
        <v>2266.9499999999998</v>
      </c>
      <c r="I41" s="2"/>
      <c r="J41" s="7">
        <f t="shared" si="17"/>
        <v>0</v>
      </c>
      <c r="K41" s="2"/>
      <c r="L41" s="6">
        <f t="shared" si="18"/>
        <v>-444.26999999999975</v>
      </c>
      <c r="M41" s="2"/>
      <c r="N41" s="7">
        <f t="shared" si="19"/>
        <v>-0.19597697346655188</v>
      </c>
      <c r="O41" s="11"/>
      <c r="P41" s="6">
        <v>13542.95</v>
      </c>
      <c r="Q41" s="2"/>
      <c r="R41" s="7">
        <f t="shared" si="20"/>
        <v>0</v>
      </c>
      <c r="S41" s="2"/>
      <c r="T41" s="6">
        <v>15868.649999999998</v>
      </c>
      <c r="U41" s="2"/>
      <c r="V41" s="7">
        <f t="shared" si="21"/>
        <v>0</v>
      </c>
      <c r="W41" s="2"/>
      <c r="X41" s="6">
        <f t="shared" si="22"/>
        <v>-2325.6999999999971</v>
      </c>
      <c r="Y41" s="2"/>
      <c r="Z41" s="7">
        <f t="shared" si="23"/>
        <v>-0.14655941116604104</v>
      </c>
    </row>
    <row r="42" spans="1:26" s="24" customFormat="1" hidden="1" outlineLevel="2" x14ac:dyDescent="0.25">
      <c r="A42" s="25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4957.18</v>
      </c>
      <c r="E42" s="2"/>
      <c r="F42" s="7">
        <f t="shared" si="16"/>
        <v>0</v>
      </c>
      <c r="G42" s="2"/>
      <c r="H42" s="6">
        <v>4571.4799999999996</v>
      </c>
      <c r="I42" s="2"/>
      <c r="J42" s="7">
        <f t="shared" si="17"/>
        <v>0</v>
      </c>
      <c r="K42" s="2"/>
      <c r="L42" s="6">
        <f t="shared" si="18"/>
        <v>385.70000000000073</v>
      </c>
      <c r="M42" s="2"/>
      <c r="N42" s="7">
        <f t="shared" si="19"/>
        <v>8.4370925827084609E-2</v>
      </c>
      <c r="O42" s="11"/>
      <c r="P42" s="6">
        <v>34700.259999999995</v>
      </c>
      <c r="Q42" s="2"/>
      <c r="R42" s="7">
        <f t="shared" si="20"/>
        <v>0</v>
      </c>
      <c r="S42" s="2"/>
      <c r="T42" s="6">
        <v>29795.16</v>
      </c>
      <c r="U42" s="2"/>
      <c r="V42" s="7">
        <f t="shared" si="21"/>
        <v>0</v>
      </c>
      <c r="W42" s="2"/>
      <c r="X42" s="6">
        <f t="shared" si="22"/>
        <v>4905.0999999999949</v>
      </c>
      <c r="Y42" s="2"/>
      <c r="Z42" s="7">
        <f t="shared" si="23"/>
        <v>0.1646274092839238</v>
      </c>
    </row>
    <row r="43" spans="1:26" s="24" customFormat="1" hidden="1" outlineLevel="2" x14ac:dyDescent="0.25">
      <c r="A43" s="25"/>
      <c r="B43" s="11" t="str">
        <f>CONCATENATE("          ", "6326", " - ", "VEHICLES DEPRECIATION EXPENSE")</f>
        <v xml:space="preserve">          6326 - VEHICLES DEPRECIATION EXPENSE</v>
      </c>
      <c r="C43" s="11"/>
      <c r="D43" s="6"/>
      <c r="E43" s="2"/>
      <c r="F43" s="7">
        <f t="shared" si="16"/>
        <v>0</v>
      </c>
      <c r="G43" s="2"/>
      <c r="H43" s="6">
        <v>424.25</v>
      </c>
      <c r="I43" s="2"/>
      <c r="J43" s="7">
        <f t="shared" si="17"/>
        <v>0</v>
      </c>
      <c r="K43" s="2"/>
      <c r="L43" s="6">
        <f t="shared" si="18"/>
        <v>-424.25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2969.75</v>
      </c>
      <c r="U43" s="2"/>
      <c r="V43" s="7">
        <f t="shared" si="21"/>
        <v>0</v>
      </c>
      <c r="W43" s="2"/>
      <c r="X43" s="6">
        <f t="shared" si="22"/>
        <v>-2969.75</v>
      </c>
      <c r="Y43" s="2"/>
      <c r="Z43" s="7">
        <f t="shared" si="23"/>
        <v>-1</v>
      </c>
    </row>
    <row r="44" spans="1:26" s="26" customFormat="1" outlineLevel="1" collapsed="1" x14ac:dyDescent="0.25">
      <c r="A44" s="27"/>
      <c r="B44" s="13" t="str">
        <f>CONCATENATE("     ","Donations                                         ")</f>
        <v xml:space="preserve">     Donations                                         </v>
      </c>
      <c r="C44" s="13"/>
      <c r="D44" s="1">
        <f>SUM(OSRRefD22_5x_0)</f>
        <v>0</v>
      </c>
      <c r="E44" s="1"/>
      <c r="F44" s="5">
        <f t="shared" ref="F44:F60" si="24">IF(D$12=0,0,D44/D$12)</f>
        <v>0</v>
      </c>
      <c r="G44" s="1"/>
      <c r="H44" s="1">
        <f>SUM(OSRRefH22_5x_0)</f>
        <v>0</v>
      </c>
      <c r="I44" s="1"/>
      <c r="J44" s="5">
        <f t="shared" ref="J44:J60" si="25">IF(H$12=0,0,H44/H$12)</f>
        <v>0</v>
      </c>
      <c r="K44" s="1"/>
      <c r="L44" s="1">
        <f t="shared" ref="L44:L60" si="26">+D44-H44</f>
        <v>0</v>
      </c>
      <c r="M44" s="1"/>
      <c r="N44" s="5">
        <f t="shared" ref="N44:N60" si="27">IF(H44=0,0,L44/H44)</f>
        <v>0</v>
      </c>
      <c r="O44" s="13"/>
      <c r="P44" s="1">
        <f>SUM(OSRRefP22_5x_0)</f>
        <v>0</v>
      </c>
      <c r="Q44" s="1"/>
      <c r="R44" s="5">
        <f t="shared" ref="R44:R60" si="28">IF(P$12=0,0,P44/P$12)</f>
        <v>0</v>
      </c>
      <c r="S44" s="1"/>
      <c r="T44" s="1">
        <f>SUM(OSRRefT22_5x_0)</f>
        <v>163.68</v>
      </c>
      <c r="U44" s="1"/>
      <c r="V44" s="5">
        <f t="shared" ref="V44:V60" si="29">IF(T$12=0,0,T44/T$12)</f>
        <v>0</v>
      </c>
      <c r="W44" s="1"/>
      <c r="X44" s="1">
        <f t="shared" ref="X44:X60" si="30">+P44-T44</f>
        <v>-163.68</v>
      </c>
      <c r="Y44" s="1"/>
      <c r="Z44" s="5">
        <f t="shared" ref="Z44:Z60" si="31">IF(T44=0,0,X44/T44)</f>
        <v>-1</v>
      </c>
    </row>
    <row r="45" spans="1:26" s="24" customFormat="1" hidden="1" outlineLevel="2" x14ac:dyDescent="0.25">
      <c r="A45" s="25"/>
      <c r="B45" s="11" t="str">
        <f>CONCATENATE("          ", "6399", " - ", "DONATION-ON CAMPUS")</f>
        <v xml:space="preserve">          6399 - DONATION-ON CAMPUS</v>
      </c>
      <c r="C45" s="11"/>
      <c r="D45" s="6"/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1"/>
      <c r="P45" s="6"/>
      <c r="Q45" s="2"/>
      <c r="R45" s="7">
        <f t="shared" si="28"/>
        <v>0</v>
      </c>
      <c r="S45" s="2"/>
      <c r="T45" s="6">
        <v>163.68</v>
      </c>
      <c r="U45" s="2"/>
      <c r="V45" s="7">
        <f t="shared" si="29"/>
        <v>0</v>
      </c>
      <c r="W45" s="2"/>
      <c r="X45" s="6">
        <f t="shared" si="30"/>
        <v>-163.68</v>
      </c>
      <c r="Y45" s="2"/>
      <c r="Z45" s="7">
        <f t="shared" si="31"/>
        <v>-1</v>
      </c>
    </row>
    <row r="46" spans="1:26" s="26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4"/>
        <v>0</v>
      </c>
      <c r="G46" s="1"/>
      <c r="H46" s="1">
        <f>SUM(OSRRefH22_6x_0)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3"/>
      <c r="P46" s="1">
        <f>SUM(OSRRefP22_6x_0)</f>
        <v>0</v>
      </c>
      <c r="Q46" s="1"/>
      <c r="R46" s="5">
        <f t="shared" si="28"/>
        <v>0</v>
      </c>
      <c r="S46" s="1"/>
      <c r="T46" s="1">
        <f>SUM(OSRRefT22_6x_0)</f>
        <v>366.16</v>
      </c>
      <c r="U46" s="1"/>
      <c r="V46" s="5">
        <f t="shared" si="29"/>
        <v>0</v>
      </c>
      <c r="W46" s="1"/>
      <c r="X46" s="1">
        <f t="shared" si="30"/>
        <v>-366.16</v>
      </c>
      <c r="Y46" s="1"/>
      <c r="Z46" s="5">
        <f t="shared" si="31"/>
        <v>-1</v>
      </c>
    </row>
    <row r="47" spans="1:26" s="24" customFormat="1" hidden="1" outlineLevel="2" x14ac:dyDescent="0.25">
      <c r="A47" s="25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1"/>
      <c r="P47" s="6"/>
      <c r="Q47" s="2"/>
      <c r="R47" s="7">
        <f t="shared" si="28"/>
        <v>0</v>
      </c>
      <c r="S47" s="2"/>
      <c r="T47" s="6">
        <v>366.16</v>
      </c>
      <c r="U47" s="2"/>
      <c r="V47" s="7">
        <f t="shared" si="29"/>
        <v>0</v>
      </c>
      <c r="W47" s="2"/>
      <c r="X47" s="6">
        <f t="shared" si="30"/>
        <v>-366.16</v>
      </c>
      <c r="Y47" s="2"/>
      <c r="Z47" s="7">
        <f t="shared" si="31"/>
        <v>-1</v>
      </c>
    </row>
    <row r="48" spans="1:26" s="26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91.26</v>
      </c>
      <c r="E48" s="1"/>
      <c r="F48" s="5">
        <f t="shared" si="24"/>
        <v>0</v>
      </c>
      <c r="G48" s="1"/>
      <c r="H48" s="1">
        <f>SUM(OSRRefH22_7x_0)</f>
        <v>916.05</v>
      </c>
      <c r="I48" s="1"/>
      <c r="J48" s="5">
        <f t="shared" si="25"/>
        <v>0</v>
      </c>
      <c r="K48" s="1"/>
      <c r="L48" s="1">
        <f t="shared" si="26"/>
        <v>-824.79</v>
      </c>
      <c r="M48" s="1"/>
      <c r="N48" s="5">
        <f t="shared" si="27"/>
        <v>-0.90037661699688887</v>
      </c>
      <c r="O48" s="13"/>
      <c r="P48" s="1">
        <f>SUM(OSRRefP22_7x_0)</f>
        <v>2928.23</v>
      </c>
      <c r="Q48" s="1"/>
      <c r="R48" s="5">
        <f t="shared" si="28"/>
        <v>0</v>
      </c>
      <c r="S48" s="1"/>
      <c r="T48" s="1">
        <f>SUM(OSRRefT22_7x_0)</f>
        <v>7512.24</v>
      </c>
      <c r="U48" s="1"/>
      <c r="V48" s="5">
        <f t="shared" si="29"/>
        <v>0</v>
      </c>
      <c r="W48" s="1"/>
      <c r="X48" s="1">
        <f t="shared" si="30"/>
        <v>-4584.01</v>
      </c>
      <c r="Y48" s="1"/>
      <c r="Z48" s="5">
        <f t="shared" si="31"/>
        <v>-0.61020547799324842</v>
      </c>
    </row>
    <row r="49" spans="1:26" s="24" customFormat="1" hidden="1" outlineLevel="2" x14ac:dyDescent="0.25">
      <c r="A49" s="25"/>
      <c r="B49" s="11" t="str">
        <f>CONCATENATE("          ", "6351", " - ", "EQUIPMENT RENTAL")</f>
        <v xml:space="preserve">          6351 - EQUIPMENT RENTAL</v>
      </c>
      <c r="C49" s="11"/>
      <c r="D49" s="6">
        <v>91.26</v>
      </c>
      <c r="E49" s="2"/>
      <c r="F49" s="7">
        <f t="shared" si="24"/>
        <v>0</v>
      </c>
      <c r="G49" s="2"/>
      <c r="H49" s="6">
        <v>916.05</v>
      </c>
      <c r="I49" s="2"/>
      <c r="J49" s="7">
        <f t="shared" si="25"/>
        <v>0</v>
      </c>
      <c r="K49" s="2"/>
      <c r="L49" s="6">
        <f t="shared" si="26"/>
        <v>-824.79</v>
      </c>
      <c r="M49" s="2"/>
      <c r="N49" s="7">
        <f t="shared" si="27"/>
        <v>-0.90037661699688887</v>
      </c>
      <c r="O49" s="11"/>
      <c r="P49" s="6">
        <v>2928.23</v>
      </c>
      <c r="Q49" s="2"/>
      <c r="R49" s="7">
        <f t="shared" si="28"/>
        <v>0</v>
      </c>
      <c r="S49" s="2"/>
      <c r="T49" s="6">
        <v>7512.24</v>
      </c>
      <c r="U49" s="2"/>
      <c r="V49" s="7">
        <f t="shared" si="29"/>
        <v>0</v>
      </c>
      <c r="W49" s="2"/>
      <c r="X49" s="6">
        <f t="shared" si="30"/>
        <v>-4584.01</v>
      </c>
      <c r="Y49" s="2"/>
      <c r="Z49" s="7">
        <f t="shared" si="31"/>
        <v>-0.61020547799324842</v>
      </c>
    </row>
    <row r="50" spans="1:26" s="26" customFormat="1" outlineLevel="1" collapsed="1" x14ac:dyDescent="0.25">
      <c r="A50" s="27"/>
      <c r="B50" s="13" t="str">
        <f>CONCATENATE("     ","Freight out/Postage                               ")</f>
        <v xml:space="preserve">     Freight out/Postage                               </v>
      </c>
      <c r="C50" s="13"/>
      <c r="D50" s="1">
        <f>SUM(OSRRefD22_8x_0)</f>
        <v>0</v>
      </c>
      <c r="E50" s="1"/>
      <c r="F50" s="5">
        <f t="shared" si="24"/>
        <v>0</v>
      </c>
      <c r="G50" s="1"/>
      <c r="H50" s="1">
        <f>SUM(OSRRefH22_8x_0)</f>
        <v>0</v>
      </c>
      <c r="I50" s="1"/>
      <c r="J50" s="5">
        <f t="shared" si="25"/>
        <v>0</v>
      </c>
      <c r="K50" s="1"/>
      <c r="L50" s="1">
        <f t="shared" si="26"/>
        <v>0</v>
      </c>
      <c r="M50" s="1"/>
      <c r="N50" s="5">
        <f t="shared" si="27"/>
        <v>0</v>
      </c>
      <c r="O50" s="13"/>
      <c r="P50" s="1">
        <f>SUM(OSRRefP22_8x_0)</f>
        <v>-5.41</v>
      </c>
      <c r="Q50" s="1"/>
      <c r="R50" s="5">
        <f t="shared" si="28"/>
        <v>0</v>
      </c>
      <c r="S50" s="1"/>
      <c r="T50" s="1">
        <f>SUM(OSRRefT22_8x_0)</f>
        <v>0</v>
      </c>
      <c r="U50" s="1"/>
      <c r="V50" s="5">
        <f t="shared" si="29"/>
        <v>0</v>
      </c>
      <c r="W50" s="1"/>
      <c r="X50" s="1">
        <f t="shared" si="30"/>
        <v>-5.41</v>
      </c>
      <c r="Y50" s="1"/>
      <c r="Z50" s="5">
        <f t="shared" si="31"/>
        <v>0</v>
      </c>
    </row>
    <row r="51" spans="1:26" s="24" customFormat="1" hidden="1" outlineLevel="2" x14ac:dyDescent="0.25">
      <c r="A51" s="25"/>
      <c r="B51" s="11" t="str">
        <f>CONCATENATE("          ", "6307", " - ", "POSTAGE")</f>
        <v xml:space="preserve">          6307 - POSTAGE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>
        <v>-5.41</v>
      </c>
      <c r="Q51" s="2"/>
      <c r="R51" s="7">
        <f t="shared" si="28"/>
        <v>0</v>
      </c>
      <c r="S51" s="2"/>
      <c r="T51" s="6"/>
      <c r="U51" s="2"/>
      <c r="V51" s="7">
        <f t="shared" si="29"/>
        <v>0</v>
      </c>
      <c r="W51" s="2"/>
      <c r="X51" s="6">
        <f t="shared" si="30"/>
        <v>-5.41</v>
      </c>
      <c r="Y51" s="2"/>
      <c r="Z51" s="7">
        <f t="shared" si="31"/>
        <v>0</v>
      </c>
    </row>
    <row r="52" spans="1:26" s="26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SUM(OSRRefD22_9x_0)</f>
        <v>397</v>
      </c>
      <c r="E52" s="1"/>
      <c r="F52" s="5">
        <f t="shared" si="24"/>
        <v>0</v>
      </c>
      <c r="G52" s="1"/>
      <c r="H52" s="1">
        <f>SUM(OSRRefH22_9x_0)</f>
        <v>2621.58</v>
      </c>
      <c r="I52" s="1"/>
      <c r="J52" s="5">
        <f t="shared" si="25"/>
        <v>0</v>
      </c>
      <c r="K52" s="1"/>
      <c r="L52" s="1">
        <f t="shared" si="26"/>
        <v>-2224.58</v>
      </c>
      <c r="M52" s="1"/>
      <c r="N52" s="5">
        <f t="shared" si="27"/>
        <v>-0.84856460607725115</v>
      </c>
      <c r="O52" s="13"/>
      <c r="P52" s="1">
        <f>SUM(OSRRefP22_9x_0)</f>
        <v>397</v>
      </c>
      <c r="Q52" s="1"/>
      <c r="R52" s="5">
        <f t="shared" si="28"/>
        <v>0</v>
      </c>
      <c r="S52" s="1"/>
      <c r="T52" s="1">
        <f>SUM(OSRRefT22_9x_0)</f>
        <v>22691.710000000003</v>
      </c>
      <c r="U52" s="1"/>
      <c r="V52" s="5">
        <f t="shared" si="29"/>
        <v>0</v>
      </c>
      <c r="W52" s="1"/>
      <c r="X52" s="1">
        <f t="shared" si="30"/>
        <v>-22294.710000000003</v>
      </c>
      <c r="Y52" s="1"/>
      <c r="Z52" s="5">
        <f t="shared" si="31"/>
        <v>-0.9825046239353491</v>
      </c>
    </row>
    <row r="53" spans="1:26" s="24" customFormat="1" hidden="1" outlineLevel="2" x14ac:dyDescent="0.25">
      <c r="A53" s="25"/>
      <c r="B53" s="11" t="str">
        <f>CONCATENATE("          ", "6279", " - ", "GENERAL EXPENSE")</f>
        <v xml:space="preserve">          6279 - GENERAL EXPENSE</v>
      </c>
      <c r="C53" s="11"/>
      <c r="D53" s="6">
        <v>397</v>
      </c>
      <c r="E53" s="2"/>
      <c r="F53" s="7">
        <f t="shared" si="24"/>
        <v>0</v>
      </c>
      <c r="G53" s="2"/>
      <c r="H53" s="6">
        <v>2621.58</v>
      </c>
      <c r="I53" s="2"/>
      <c r="J53" s="7">
        <f t="shared" si="25"/>
        <v>0</v>
      </c>
      <c r="K53" s="2"/>
      <c r="L53" s="6">
        <f t="shared" si="26"/>
        <v>-2224.58</v>
      </c>
      <c r="M53" s="2"/>
      <c r="N53" s="7">
        <f t="shared" si="27"/>
        <v>-0.84856460607725115</v>
      </c>
      <c r="O53" s="11"/>
      <c r="P53" s="6">
        <v>397</v>
      </c>
      <c r="Q53" s="2"/>
      <c r="R53" s="7">
        <f t="shared" si="28"/>
        <v>0</v>
      </c>
      <c r="S53" s="2"/>
      <c r="T53" s="6">
        <v>22691.710000000003</v>
      </c>
      <c r="U53" s="2"/>
      <c r="V53" s="7">
        <f t="shared" si="29"/>
        <v>0</v>
      </c>
      <c r="W53" s="2"/>
      <c r="X53" s="6">
        <f t="shared" si="30"/>
        <v>-22294.710000000003</v>
      </c>
      <c r="Y53" s="2"/>
      <c r="Z53" s="7">
        <f t="shared" si="31"/>
        <v>-0.9825046239353491</v>
      </c>
    </row>
    <row r="54" spans="1:26" s="26" customFormat="1" outlineLevel="1" collapsed="1" x14ac:dyDescent="0.25">
      <c r="A54" s="27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SUM(OSRRefD22_10x_0)</f>
        <v>3598.85</v>
      </c>
      <c r="E54" s="1"/>
      <c r="F54" s="5">
        <f t="shared" si="24"/>
        <v>0</v>
      </c>
      <c r="G54" s="1"/>
      <c r="H54" s="1">
        <f>SUM(OSRRefH22_10x_0)</f>
        <v>3598.85</v>
      </c>
      <c r="I54" s="1"/>
      <c r="J54" s="5">
        <f t="shared" si="25"/>
        <v>0</v>
      </c>
      <c r="K54" s="1"/>
      <c r="L54" s="1">
        <f t="shared" si="26"/>
        <v>0</v>
      </c>
      <c r="M54" s="1"/>
      <c r="N54" s="5">
        <f t="shared" si="27"/>
        <v>0</v>
      </c>
      <c r="O54" s="13"/>
      <c r="P54" s="1">
        <f>SUM(OSRRefP22_10x_0)</f>
        <v>31303.95</v>
      </c>
      <c r="Q54" s="1"/>
      <c r="R54" s="5">
        <f t="shared" si="28"/>
        <v>0</v>
      </c>
      <c r="S54" s="1"/>
      <c r="T54" s="1">
        <f>SUM(OSRRefT22_10x_0)</f>
        <v>25191.95</v>
      </c>
      <c r="U54" s="1"/>
      <c r="V54" s="5">
        <f t="shared" si="29"/>
        <v>0</v>
      </c>
      <c r="W54" s="1"/>
      <c r="X54" s="1">
        <f t="shared" si="30"/>
        <v>6112</v>
      </c>
      <c r="Y54" s="1"/>
      <c r="Z54" s="5">
        <f t="shared" si="31"/>
        <v>0.24261718525163792</v>
      </c>
    </row>
    <row r="55" spans="1:26" s="24" customFormat="1" hidden="1" outlineLevel="2" x14ac:dyDescent="0.25">
      <c r="A55" s="25"/>
      <c r="B55" s="11" t="str">
        <f>CONCATENATE("          ", "6314", " - ", "LIABILITY INSURANCE")</f>
        <v xml:space="preserve">          6314 - LIABILITY INSURANCE</v>
      </c>
      <c r="C55" s="11"/>
      <c r="D55" s="6">
        <v>3598.85</v>
      </c>
      <c r="E55" s="2"/>
      <c r="F55" s="7">
        <f t="shared" si="24"/>
        <v>0</v>
      </c>
      <c r="G55" s="2"/>
      <c r="H55" s="6">
        <v>3598.85</v>
      </c>
      <c r="I55" s="2"/>
      <c r="J55" s="7">
        <f t="shared" si="25"/>
        <v>0</v>
      </c>
      <c r="K55" s="2"/>
      <c r="L55" s="6">
        <f t="shared" si="26"/>
        <v>0</v>
      </c>
      <c r="M55" s="2"/>
      <c r="N55" s="7">
        <f t="shared" si="27"/>
        <v>0</v>
      </c>
      <c r="O55" s="11"/>
      <c r="P55" s="6">
        <v>31303.95</v>
      </c>
      <c r="Q55" s="2"/>
      <c r="R55" s="7">
        <f t="shared" si="28"/>
        <v>0</v>
      </c>
      <c r="S55" s="2"/>
      <c r="T55" s="6">
        <v>25191.95</v>
      </c>
      <c r="U55" s="2"/>
      <c r="V55" s="7">
        <f t="shared" si="29"/>
        <v>0</v>
      </c>
      <c r="W55" s="2"/>
      <c r="X55" s="6">
        <f t="shared" si="30"/>
        <v>6112</v>
      </c>
      <c r="Y55" s="2"/>
      <c r="Z55" s="7">
        <f t="shared" si="31"/>
        <v>0.24261718525163792</v>
      </c>
    </row>
    <row r="56" spans="1:26" s="26" customFormat="1" outlineLevel="1" collapsed="1" x14ac:dyDescent="0.25">
      <c r="A56" s="27"/>
      <c r="B56" s="13" t="str">
        <f>CONCATENATE("     ","Professional Services                             ")</f>
        <v xml:space="preserve">     Professional Services                             </v>
      </c>
      <c r="C56" s="13"/>
      <c r="D56" s="1">
        <f>SUM(OSRRefD22_11x_0)</f>
        <v>0</v>
      </c>
      <c r="E56" s="1"/>
      <c r="F56" s="5">
        <f t="shared" si="24"/>
        <v>0</v>
      </c>
      <c r="G56" s="1"/>
      <c r="H56" s="1">
        <f>SUM(OSRRefH22_11x_0)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3"/>
      <c r="P56" s="1">
        <f>SUM(OSRRefP22_11x_0)</f>
        <v>0</v>
      </c>
      <c r="Q56" s="1"/>
      <c r="R56" s="5">
        <f t="shared" si="28"/>
        <v>0</v>
      </c>
      <c r="S56" s="1"/>
      <c r="T56" s="1">
        <f>SUM(OSRRefT22_11x_0)</f>
        <v>125</v>
      </c>
      <c r="U56" s="1"/>
      <c r="V56" s="5">
        <f t="shared" si="29"/>
        <v>0</v>
      </c>
      <c r="W56" s="1"/>
      <c r="X56" s="1">
        <f t="shared" si="30"/>
        <v>-125</v>
      </c>
      <c r="Y56" s="1"/>
      <c r="Z56" s="5">
        <f t="shared" si="31"/>
        <v>-1</v>
      </c>
    </row>
    <row r="57" spans="1:26" s="24" customFormat="1" hidden="1" outlineLevel="2" x14ac:dyDescent="0.25">
      <c r="A57" s="25"/>
      <c r="B57" s="11" t="str">
        <f>CONCATENATE("          ", "6336", " - ", "PROFESSIONAL SERVICES")</f>
        <v xml:space="preserve">          6336 - PROFESSIONAL SERVICES</v>
      </c>
      <c r="C57" s="11"/>
      <c r="D57" s="6"/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0</v>
      </c>
      <c r="M57" s="2"/>
      <c r="N57" s="7">
        <f t="shared" si="27"/>
        <v>0</v>
      </c>
      <c r="O57" s="11"/>
      <c r="P57" s="6"/>
      <c r="Q57" s="2"/>
      <c r="R57" s="7">
        <f t="shared" si="28"/>
        <v>0</v>
      </c>
      <c r="S57" s="2"/>
      <c r="T57" s="6">
        <v>125</v>
      </c>
      <c r="U57" s="2"/>
      <c r="V57" s="7">
        <f t="shared" si="29"/>
        <v>0</v>
      </c>
      <c r="W57" s="2"/>
      <c r="X57" s="6">
        <f t="shared" si="30"/>
        <v>-125</v>
      </c>
      <c r="Y57" s="2"/>
      <c r="Z57" s="7">
        <f t="shared" si="31"/>
        <v>-1</v>
      </c>
    </row>
    <row r="58" spans="1:26" s="26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SUM(OSRRefD22_12x_0)</f>
        <v>38.1</v>
      </c>
      <c r="E58" s="1"/>
      <c r="F58" s="5">
        <f t="shared" si="24"/>
        <v>0</v>
      </c>
      <c r="G58" s="1"/>
      <c r="H58" s="1">
        <f>SUM(OSRRefH22_12x_0)</f>
        <v>22064.329999999998</v>
      </c>
      <c r="I58" s="1"/>
      <c r="J58" s="5">
        <f t="shared" si="25"/>
        <v>0</v>
      </c>
      <c r="K58" s="1"/>
      <c r="L58" s="1">
        <f t="shared" si="26"/>
        <v>-22026.23</v>
      </c>
      <c r="M58" s="1"/>
      <c r="N58" s="5">
        <f t="shared" si="27"/>
        <v>-0.99827323104757781</v>
      </c>
      <c r="O58" s="13"/>
      <c r="P58" s="1">
        <f>SUM(OSRRefP22_12x_0)</f>
        <v>2945.2299999999996</v>
      </c>
      <c r="Q58" s="1"/>
      <c r="R58" s="5">
        <f t="shared" si="28"/>
        <v>0</v>
      </c>
      <c r="S58" s="1"/>
      <c r="T58" s="1">
        <f>SUM(OSRRefT22_12x_0)</f>
        <v>85720.47</v>
      </c>
      <c r="U58" s="1"/>
      <c r="V58" s="5">
        <f t="shared" si="29"/>
        <v>0</v>
      </c>
      <c r="W58" s="1"/>
      <c r="X58" s="1">
        <f t="shared" si="30"/>
        <v>-82775.240000000005</v>
      </c>
      <c r="Y58" s="1"/>
      <c r="Z58" s="5">
        <f t="shared" si="31"/>
        <v>-0.96564146230182835</v>
      </c>
    </row>
    <row r="59" spans="1:26" s="24" customFormat="1" hidden="1" outlineLevel="2" x14ac:dyDescent="0.25">
      <c r="A59" s="25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24"/>
        <v>0</v>
      </c>
      <c r="G59" s="2"/>
      <c r="H59" s="6">
        <v>5000</v>
      </c>
      <c r="I59" s="2"/>
      <c r="J59" s="7">
        <f t="shared" si="25"/>
        <v>0</v>
      </c>
      <c r="K59" s="2"/>
      <c r="L59" s="6">
        <f t="shared" si="26"/>
        <v>-5000</v>
      </c>
      <c r="M59" s="2"/>
      <c r="N59" s="7">
        <f t="shared" si="27"/>
        <v>-1</v>
      </c>
      <c r="O59" s="11"/>
      <c r="P59" s="6">
        <v>2131.1999999999998</v>
      </c>
      <c r="Q59" s="2"/>
      <c r="R59" s="7">
        <f t="shared" si="28"/>
        <v>0</v>
      </c>
      <c r="S59" s="2"/>
      <c r="T59" s="6">
        <v>43499.58</v>
      </c>
      <c r="U59" s="2"/>
      <c r="V59" s="7">
        <f t="shared" si="29"/>
        <v>0</v>
      </c>
      <c r="W59" s="2"/>
      <c r="X59" s="6">
        <f t="shared" si="30"/>
        <v>-41368.380000000005</v>
      </c>
      <c r="Y59" s="2"/>
      <c r="Z59" s="7">
        <f t="shared" si="31"/>
        <v>-0.95100642351029607</v>
      </c>
    </row>
    <row r="60" spans="1:26" s="24" customFormat="1" hidden="1" outlineLevel="2" x14ac:dyDescent="0.25">
      <c r="A60" s="25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38.1</v>
      </c>
      <c r="E60" s="2"/>
      <c r="F60" s="7">
        <f t="shared" si="24"/>
        <v>0</v>
      </c>
      <c r="G60" s="2"/>
      <c r="H60" s="6">
        <v>17064.329999999998</v>
      </c>
      <c r="I60" s="2"/>
      <c r="J60" s="7">
        <f t="shared" si="25"/>
        <v>0</v>
      </c>
      <c r="K60" s="2"/>
      <c r="L60" s="6">
        <f t="shared" si="26"/>
        <v>-17026.23</v>
      </c>
      <c r="M60" s="2"/>
      <c r="N60" s="7">
        <f t="shared" si="27"/>
        <v>-0.9977672724331984</v>
      </c>
      <c r="O60" s="11"/>
      <c r="P60" s="6">
        <v>814.03</v>
      </c>
      <c r="Q60" s="2"/>
      <c r="R60" s="7">
        <f t="shared" si="28"/>
        <v>0</v>
      </c>
      <c r="S60" s="2"/>
      <c r="T60" s="6">
        <v>42220.89</v>
      </c>
      <c r="U60" s="2"/>
      <c r="V60" s="7">
        <f t="shared" si="29"/>
        <v>0</v>
      </c>
      <c r="W60" s="2"/>
      <c r="X60" s="6">
        <f t="shared" si="30"/>
        <v>-41406.86</v>
      </c>
      <c r="Y60" s="2"/>
      <c r="Z60" s="7">
        <f t="shared" si="31"/>
        <v>-0.98071973376212584</v>
      </c>
    </row>
    <row r="61" spans="1:26" s="26" customFormat="1" outlineLevel="1" collapsed="1" x14ac:dyDescent="0.25">
      <c r="A61" s="27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SUM(OSRRefD22_13x_0)</f>
        <v>4880.26</v>
      </c>
      <c r="E61" s="1"/>
      <c r="F61" s="5">
        <f t="shared" ref="F61:F66" si="32">IF(D$12=0,0,D61/D$12)</f>
        <v>0</v>
      </c>
      <c r="G61" s="1"/>
      <c r="H61" s="1">
        <f>SUM(OSRRefH22_13x_0)</f>
        <v>15575.48</v>
      </c>
      <c r="I61" s="1"/>
      <c r="J61" s="5">
        <f t="shared" ref="J61:J66" si="33">IF(H$12=0,0,H61/H$12)</f>
        <v>0</v>
      </c>
      <c r="K61" s="1"/>
      <c r="L61" s="1">
        <f t="shared" ref="L61:L66" si="34">+D61-H61</f>
        <v>-10695.22</v>
      </c>
      <c r="M61" s="1"/>
      <c r="N61" s="5">
        <f t="shared" ref="N61:N66" si="35">IF(H61=0,0,L61/H61)</f>
        <v>-0.68667033054519022</v>
      </c>
      <c r="O61" s="13"/>
      <c r="P61" s="1">
        <f>SUM(OSRRefP22_13x_0)</f>
        <v>20147.3</v>
      </c>
      <c r="Q61" s="1"/>
      <c r="R61" s="5">
        <f t="shared" ref="R61:R66" si="36">IF(P$12=0,0,P61/P$12)</f>
        <v>0</v>
      </c>
      <c r="S61" s="1"/>
      <c r="T61" s="1">
        <f>SUM(OSRRefT22_13x_0)</f>
        <v>99045.51999999999</v>
      </c>
      <c r="U61" s="1"/>
      <c r="V61" s="5">
        <f t="shared" ref="V61:V66" si="37">IF(T$12=0,0,T61/T$12)</f>
        <v>0</v>
      </c>
      <c r="W61" s="1"/>
      <c r="X61" s="1">
        <f t="shared" ref="X61:X66" si="38">+P61-T61</f>
        <v>-78898.219999999987</v>
      </c>
      <c r="Y61" s="1"/>
      <c r="Z61" s="5">
        <f t="shared" ref="Z61:Z66" si="39">IF(T61=0,0,X61/T61)</f>
        <v>-0.79658544879162629</v>
      </c>
    </row>
    <row r="62" spans="1:26" s="24" customFormat="1" hidden="1" outlineLevel="2" x14ac:dyDescent="0.25">
      <c r="A62" s="25"/>
      <c r="B62" s="11" t="str">
        <f>CONCATENATE("          ", "6282", " - ", "JANITORIAL/EXTERMINATOR EXPENS")</f>
        <v xml:space="preserve">          6282 - JANITORIAL/EXTERMINATOR EXPENS</v>
      </c>
      <c r="C62" s="11"/>
      <c r="D62" s="6">
        <v>626.26</v>
      </c>
      <c r="E62" s="2"/>
      <c r="F62" s="7">
        <f t="shared" si="32"/>
        <v>0</v>
      </c>
      <c r="G62" s="2"/>
      <c r="H62" s="6">
        <v>626.26</v>
      </c>
      <c r="I62" s="2"/>
      <c r="J62" s="7">
        <f t="shared" si="33"/>
        <v>0</v>
      </c>
      <c r="K62" s="2"/>
      <c r="L62" s="6">
        <f t="shared" si="34"/>
        <v>0</v>
      </c>
      <c r="M62" s="2"/>
      <c r="N62" s="7">
        <f t="shared" si="35"/>
        <v>0</v>
      </c>
      <c r="O62" s="11"/>
      <c r="P62" s="6">
        <v>3131.3</v>
      </c>
      <c r="Q62" s="2"/>
      <c r="R62" s="7">
        <f t="shared" si="36"/>
        <v>0</v>
      </c>
      <c r="S62" s="2"/>
      <c r="T62" s="6">
        <v>5010.08</v>
      </c>
      <c r="U62" s="2"/>
      <c r="V62" s="7">
        <f t="shared" si="37"/>
        <v>0</v>
      </c>
      <c r="W62" s="2"/>
      <c r="X62" s="6">
        <f t="shared" si="38"/>
        <v>-1878.7799999999997</v>
      </c>
      <c r="Y62" s="2"/>
      <c r="Z62" s="7">
        <f t="shared" si="39"/>
        <v>-0.37499999999999994</v>
      </c>
    </row>
    <row r="63" spans="1:26" s="24" customFormat="1" hidden="1" outlineLevel="2" x14ac:dyDescent="0.25">
      <c r="A63" s="25"/>
      <c r="B63" s="11" t="str">
        <f>CONCATENATE("          ", "6283", " - ", "PLANT SERVICE")</f>
        <v xml:space="preserve">          6283 - PLANT SERVICE</v>
      </c>
      <c r="C63" s="11"/>
      <c r="D63" s="6"/>
      <c r="E63" s="2"/>
      <c r="F63" s="7">
        <f t="shared" si="32"/>
        <v>0</v>
      </c>
      <c r="G63" s="2"/>
      <c r="H63" s="6"/>
      <c r="I63" s="2"/>
      <c r="J63" s="7">
        <f t="shared" si="33"/>
        <v>0</v>
      </c>
      <c r="K63" s="2"/>
      <c r="L63" s="6">
        <f t="shared" si="34"/>
        <v>0</v>
      </c>
      <c r="M63" s="2"/>
      <c r="N63" s="7">
        <f t="shared" si="35"/>
        <v>0</v>
      </c>
      <c r="O63" s="11"/>
      <c r="P63" s="6"/>
      <c r="Q63" s="2"/>
      <c r="R63" s="7">
        <f t="shared" si="36"/>
        <v>0</v>
      </c>
      <c r="S63" s="2"/>
      <c r="T63" s="6">
        <v>142.12</v>
      </c>
      <c r="U63" s="2"/>
      <c r="V63" s="7">
        <f t="shared" si="37"/>
        <v>0</v>
      </c>
      <c r="W63" s="2"/>
      <c r="X63" s="6">
        <f t="shared" si="38"/>
        <v>-142.12</v>
      </c>
      <c r="Y63" s="2"/>
      <c r="Z63" s="7">
        <f t="shared" si="39"/>
        <v>-1</v>
      </c>
    </row>
    <row r="64" spans="1:26" s="24" customFormat="1" hidden="1" outlineLevel="2" x14ac:dyDescent="0.25">
      <c r="A64" s="25"/>
      <c r="B64" s="11" t="str">
        <f>CONCATENATE("          ", "6284", " - ", "TRASH REMOVAL EXPENSE")</f>
        <v xml:space="preserve">          6284 - TRASH REMOVAL EXPENSE</v>
      </c>
      <c r="C64" s="11"/>
      <c r="D64" s="6">
        <v>4254</v>
      </c>
      <c r="E64" s="2"/>
      <c r="F64" s="7">
        <f t="shared" si="32"/>
        <v>0</v>
      </c>
      <c r="G64" s="2"/>
      <c r="H64" s="6">
        <v>4254</v>
      </c>
      <c r="I64" s="2"/>
      <c r="J64" s="7">
        <f t="shared" si="33"/>
        <v>0</v>
      </c>
      <c r="K64" s="2"/>
      <c r="L64" s="6">
        <f t="shared" si="34"/>
        <v>0</v>
      </c>
      <c r="M64" s="2"/>
      <c r="N64" s="7">
        <f t="shared" si="35"/>
        <v>0</v>
      </c>
      <c r="O64" s="11"/>
      <c r="P64" s="6">
        <v>17016</v>
      </c>
      <c r="Q64" s="2"/>
      <c r="R64" s="7">
        <f t="shared" si="36"/>
        <v>0</v>
      </c>
      <c r="S64" s="2"/>
      <c r="T64" s="6">
        <v>21995</v>
      </c>
      <c r="U64" s="2"/>
      <c r="V64" s="7">
        <f t="shared" si="37"/>
        <v>0</v>
      </c>
      <c r="W64" s="2"/>
      <c r="X64" s="6">
        <f t="shared" si="38"/>
        <v>-4979</v>
      </c>
      <c r="Y64" s="2"/>
      <c r="Z64" s="7">
        <f t="shared" si="39"/>
        <v>-0.2263696294612412</v>
      </c>
    </row>
    <row r="65" spans="1:26" s="24" customFormat="1" hidden="1" outlineLevel="2" x14ac:dyDescent="0.25">
      <c r="A65" s="25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32"/>
        <v>0</v>
      </c>
      <c r="G65" s="2"/>
      <c r="H65" s="6">
        <v>10551.47</v>
      </c>
      <c r="I65" s="2"/>
      <c r="J65" s="7">
        <f t="shared" si="33"/>
        <v>0</v>
      </c>
      <c r="K65" s="2"/>
      <c r="L65" s="6">
        <f t="shared" si="34"/>
        <v>-10551.47</v>
      </c>
      <c r="M65" s="2"/>
      <c r="N65" s="7">
        <f t="shared" si="35"/>
        <v>-1</v>
      </c>
      <c r="O65" s="11"/>
      <c r="P65" s="6"/>
      <c r="Q65" s="2"/>
      <c r="R65" s="7">
        <f t="shared" si="36"/>
        <v>0</v>
      </c>
      <c r="S65" s="2"/>
      <c r="T65" s="6">
        <v>71302.53</v>
      </c>
      <c r="U65" s="2"/>
      <c r="V65" s="7">
        <f t="shared" si="37"/>
        <v>0</v>
      </c>
      <c r="W65" s="2"/>
      <c r="X65" s="6">
        <f t="shared" si="38"/>
        <v>-71302.53</v>
      </c>
      <c r="Y65" s="2"/>
      <c r="Z65" s="7">
        <f t="shared" si="39"/>
        <v>-1</v>
      </c>
    </row>
    <row r="66" spans="1:26" s="24" customFormat="1" hidden="1" outlineLevel="2" x14ac:dyDescent="0.25">
      <c r="A66" s="25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32"/>
        <v>0</v>
      </c>
      <c r="G66" s="2"/>
      <c r="H66" s="6">
        <v>143.75</v>
      </c>
      <c r="I66" s="2"/>
      <c r="J66" s="7">
        <f t="shared" si="33"/>
        <v>0</v>
      </c>
      <c r="K66" s="2"/>
      <c r="L66" s="6">
        <f t="shared" si="34"/>
        <v>-143.75</v>
      </c>
      <c r="M66" s="2"/>
      <c r="N66" s="7">
        <f t="shared" si="35"/>
        <v>-1</v>
      </c>
      <c r="O66" s="11"/>
      <c r="P66" s="6"/>
      <c r="Q66" s="2"/>
      <c r="R66" s="7">
        <f t="shared" si="36"/>
        <v>0</v>
      </c>
      <c r="S66" s="2"/>
      <c r="T66" s="6">
        <v>595.79</v>
      </c>
      <c r="U66" s="2"/>
      <c r="V66" s="7">
        <f t="shared" si="37"/>
        <v>0</v>
      </c>
      <c r="W66" s="2"/>
      <c r="X66" s="6">
        <f t="shared" si="38"/>
        <v>-595.79</v>
      </c>
      <c r="Y66" s="2"/>
      <c r="Z66" s="7">
        <f t="shared" si="39"/>
        <v>-1</v>
      </c>
    </row>
    <row r="67" spans="1:26" s="26" customFormat="1" outlineLevel="1" collapsed="1" x14ac:dyDescent="0.25">
      <c r="A67" s="27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SUM(OSRRefD22_14x_0)</f>
        <v>0</v>
      </c>
      <c r="E67" s="1"/>
      <c r="F67" s="5">
        <f t="shared" ref="F67:F76" si="40">IF(D$12=0,0,D67/D$12)</f>
        <v>0</v>
      </c>
      <c r="G67" s="1"/>
      <c r="H67" s="1">
        <f>SUM(OSRRefH22_14x_0)</f>
        <v>0</v>
      </c>
      <c r="I67" s="1"/>
      <c r="J67" s="5">
        <f t="shared" ref="J67:J76" si="41">IF(H$12=0,0,H67/H$12)</f>
        <v>0</v>
      </c>
      <c r="K67" s="1"/>
      <c r="L67" s="1">
        <f t="shared" ref="L67:L76" si="42">+D67-H67</f>
        <v>0</v>
      </c>
      <c r="M67" s="1"/>
      <c r="N67" s="5">
        <f t="shared" ref="N67:N76" si="43">IF(H67=0,0,L67/H67)</f>
        <v>0</v>
      </c>
      <c r="O67" s="13"/>
      <c r="P67" s="1">
        <f>SUM(OSRRefP22_14x_0)</f>
        <v>0</v>
      </c>
      <c r="Q67" s="1"/>
      <c r="R67" s="5">
        <f t="shared" ref="R67:R76" si="44">IF(P$12=0,0,P67/P$12)</f>
        <v>0</v>
      </c>
      <c r="S67" s="1"/>
      <c r="T67" s="1">
        <f>SUM(OSRRefT22_14x_0)</f>
        <v>795</v>
      </c>
      <c r="U67" s="1"/>
      <c r="V67" s="5">
        <f t="shared" ref="V67:V76" si="45">IF(T$12=0,0,T67/T$12)</f>
        <v>0</v>
      </c>
      <c r="W67" s="1"/>
      <c r="X67" s="1">
        <f t="shared" ref="X67:X76" si="46">+P67-T67</f>
        <v>-795</v>
      </c>
      <c r="Y67" s="1"/>
      <c r="Z67" s="5">
        <f t="shared" ref="Z67:Z76" si="47">IF(T67=0,0,X67/T67)</f>
        <v>-1</v>
      </c>
    </row>
    <row r="68" spans="1:26" s="24" customFormat="1" hidden="1" outlineLevel="2" x14ac:dyDescent="0.25">
      <c r="A68" s="25"/>
      <c r="B68" s="11" t="str">
        <f>CONCATENATE("          ", "6258", " - ", "MEMBERSHIP DUES")</f>
        <v xml:space="preserve">          6258 - MEMBERSHIP DUES</v>
      </c>
      <c r="C68" s="11"/>
      <c r="D68" s="6"/>
      <c r="E68" s="2"/>
      <c r="F68" s="7">
        <f t="shared" si="40"/>
        <v>0</v>
      </c>
      <c r="G68" s="2"/>
      <c r="H68" s="6"/>
      <c r="I68" s="2"/>
      <c r="J68" s="7">
        <f t="shared" si="41"/>
        <v>0</v>
      </c>
      <c r="K68" s="2"/>
      <c r="L68" s="6">
        <f t="shared" si="42"/>
        <v>0</v>
      </c>
      <c r="M68" s="2"/>
      <c r="N68" s="7">
        <f t="shared" si="43"/>
        <v>0</v>
      </c>
      <c r="O68" s="11"/>
      <c r="P68" s="6"/>
      <c r="Q68" s="2"/>
      <c r="R68" s="7">
        <f t="shared" si="44"/>
        <v>0</v>
      </c>
      <c r="S68" s="2"/>
      <c r="T68" s="6">
        <v>795</v>
      </c>
      <c r="U68" s="2"/>
      <c r="V68" s="7">
        <f t="shared" si="45"/>
        <v>0</v>
      </c>
      <c r="W68" s="2"/>
      <c r="X68" s="6">
        <f t="shared" si="46"/>
        <v>-795</v>
      </c>
      <c r="Y68" s="2"/>
      <c r="Z68" s="7">
        <f t="shared" si="47"/>
        <v>-1</v>
      </c>
    </row>
    <row r="69" spans="1:26" s="26" customFormat="1" outlineLevel="1" collapsed="1" x14ac:dyDescent="0.25">
      <c r="A69" s="27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SUM(OSRRefD22_15x_0)</f>
        <v>0</v>
      </c>
      <c r="E69" s="1"/>
      <c r="F69" s="5">
        <f t="shared" si="40"/>
        <v>0</v>
      </c>
      <c r="G69" s="1"/>
      <c r="H69" s="1">
        <f>SUM(OSRRefH22_15x_0)</f>
        <v>5597.5599999999986</v>
      </c>
      <c r="I69" s="1"/>
      <c r="J69" s="5">
        <f t="shared" si="41"/>
        <v>0</v>
      </c>
      <c r="K69" s="1"/>
      <c r="L69" s="1">
        <f t="shared" si="42"/>
        <v>-5597.5599999999986</v>
      </c>
      <c r="M69" s="1"/>
      <c r="N69" s="5">
        <f t="shared" si="43"/>
        <v>-1</v>
      </c>
      <c r="O69" s="13"/>
      <c r="P69" s="1">
        <f>SUM(OSRRefP22_15x_0)</f>
        <v>-29072.879999999997</v>
      </c>
      <c r="Q69" s="1"/>
      <c r="R69" s="5">
        <f t="shared" si="44"/>
        <v>0</v>
      </c>
      <c r="S69" s="1"/>
      <c r="T69" s="1">
        <f>SUM(OSRRefT22_15x_0)</f>
        <v>51269.640000000007</v>
      </c>
      <c r="U69" s="1"/>
      <c r="V69" s="5">
        <f t="shared" si="45"/>
        <v>0</v>
      </c>
      <c r="W69" s="1"/>
      <c r="X69" s="1">
        <f t="shared" si="46"/>
        <v>-80342.52</v>
      </c>
      <c r="Y69" s="1"/>
      <c r="Z69" s="5">
        <f t="shared" si="47"/>
        <v>-1.5670583994738405</v>
      </c>
    </row>
    <row r="70" spans="1:26" s="24" customFormat="1" hidden="1" outlineLevel="2" x14ac:dyDescent="0.25">
      <c r="A70" s="25"/>
      <c r="B70" s="11" t="str">
        <f>CONCATENATE("          ", "6234", " - ", "EXPENDABLE SUPPLIES &amp; EQUIPMEN")</f>
        <v xml:space="preserve">          6234 - EXPENDABLE SUPPLIES &amp; EQUIPMEN</v>
      </c>
      <c r="C70" s="11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/>
      <c r="Q70" s="2"/>
      <c r="R70" s="7">
        <f t="shared" si="44"/>
        <v>0</v>
      </c>
      <c r="S70" s="2"/>
      <c r="T70" s="6">
        <v>8091.25</v>
      </c>
      <c r="U70" s="2"/>
      <c r="V70" s="7">
        <f t="shared" si="45"/>
        <v>0</v>
      </c>
      <c r="W70" s="2"/>
      <c r="X70" s="6">
        <f t="shared" si="46"/>
        <v>-8091.25</v>
      </c>
      <c r="Y70" s="2"/>
      <c r="Z70" s="7">
        <f t="shared" si="47"/>
        <v>-1</v>
      </c>
    </row>
    <row r="71" spans="1:26" s="24" customFormat="1" hidden="1" outlineLevel="2" x14ac:dyDescent="0.25">
      <c r="A71" s="25"/>
      <c r="B71" s="11" t="str">
        <f>CONCATENATE("          ", "6235", " - ", "COVID-19 EXPENSES")</f>
        <v xml:space="preserve">          6235 - COVID-19 EXPENSES</v>
      </c>
      <c r="C71" s="11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1"/>
      <c r="P71" s="6">
        <v>127.89</v>
      </c>
      <c r="Q71" s="2"/>
      <c r="R71" s="7">
        <f t="shared" si="44"/>
        <v>0</v>
      </c>
      <c r="S71" s="2"/>
      <c r="T71" s="6"/>
      <c r="U71" s="2"/>
      <c r="V71" s="7">
        <f t="shared" si="45"/>
        <v>0</v>
      </c>
      <c r="W71" s="2"/>
      <c r="X71" s="6">
        <f t="shared" si="46"/>
        <v>127.89</v>
      </c>
      <c r="Y71" s="2"/>
      <c r="Z71" s="7">
        <f t="shared" si="47"/>
        <v>0</v>
      </c>
    </row>
    <row r="72" spans="1:26" s="24" customFormat="1" hidden="1" outlineLevel="2" x14ac:dyDescent="0.25">
      <c r="A72" s="25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40"/>
        <v>0</v>
      </c>
      <c r="G72" s="2"/>
      <c r="H72" s="6">
        <v>4198.7299999999996</v>
      </c>
      <c r="I72" s="2"/>
      <c r="J72" s="7">
        <f t="shared" si="41"/>
        <v>0</v>
      </c>
      <c r="K72" s="2"/>
      <c r="L72" s="6">
        <f t="shared" si="42"/>
        <v>-4198.7299999999996</v>
      </c>
      <c r="M72" s="2"/>
      <c r="N72" s="7">
        <f t="shared" si="43"/>
        <v>-1</v>
      </c>
      <c r="O72" s="11"/>
      <c r="P72" s="6"/>
      <c r="Q72" s="2"/>
      <c r="R72" s="7">
        <f t="shared" si="44"/>
        <v>0</v>
      </c>
      <c r="S72" s="2"/>
      <c r="T72" s="6">
        <v>26479.350000000002</v>
      </c>
      <c r="U72" s="2"/>
      <c r="V72" s="7">
        <f t="shared" si="45"/>
        <v>0</v>
      </c>
      <c r="W72" s="2"/>
      <c r="X72" s="6">
        <f t="shared" si="46"/>
        <v>-26479.350000000002</v>
      </c>
      <c r="Y72" s="2"/>
      <c r="Z72" s="7">
        <f t="shared" si="47"/>
        <v>-1</v>
      </c>
    </row>
    <row r="73" spans="1:26" s="24" customFormat="1" hidden="1" outlineLevel="2" x14ac:dyDescent="0.25">
      <c r="A73" s="25"/>
      <c r="B73" s="11" t="str">
        <f>CONCATENATE("          ", "6239", " - ", "KITCHEN SUPPLIES")</f>
        <v xml:space="preserve">          6239 - KITCHEN SUPPLIES</v>
      </c>
      <c r="C73" s="11"/>
      <c r="D73" s="6"/>
      <c r="E73" s="2"/>
      <c r="F73" s="7">
        <f t="shared" si="40"/>
        <v>0</v>
      </c>
      <c r="G73" s="2"/>
      <c r="H73" s="6">
        <v>1335.61</v>
      </c>
      <c r="I73" s="2"/>
      <c r="J73" s="7">
        <f t="shared" si="41"/>
        <v>0</v>
      </c>
      <c r="K73" s="2"/>
      <c r="L73" s="6">
        <f t="shared" si="42"/>
        <v>-1335.61</v>
      </c>
      <c r="M73" s="2"/>
      <c r="N73" s="7">
        <f t="shared" si="43"/>
        <v>-1</v>
      </c>
      <c r="O73" s="11"/>
      <c r="P73" s="6"/>
      <c r="Q73" s="2"/>
      <c r="R73" s="7">
        <f t="shared" si="44"/>
        <v>0</v>
      </c>
      <c r="S73" s="2"/>
      <c r="T73" s="6">
        <v>15338.670000000002</v>
      </c>
      <c r="U73" s="2"/>
      <c r="V73" s="7">
        <f t="shared" si="45"/>
        <v>0</v>
      </c>
      <c r="W73" s="2"/>
      <c r="X73" s="6">
        <f t="shared" si="46"/>
        <v>-15338.670000000002</v>
      </c>
      <c r="Y73" s="2"/>
      <c r="Z73" s="7">
        <f t="shared" si="47"/>
        <v>-1</v>
      </c>
    </row>
    <row r="74" spans="1:26" s="24" customFormat="1" hidden="1" outlineLevel="2" x14ac:dyDescent="0.25">
      <c r="A74" s="25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40"/>
        <v>0</v>
      </c>
      <c r="G74" s="2"/>
      <c r="H74" s="6">
        <v>47.23</v>
      </c>
      <c r="I74" s="2"/>
      <c r="J74" s="7">
        <f t="shared" si="41"/>
        <v>0</v>
      </c>
      <c r="K74" s="2"/>
      <c r="L74" s="6">
        <f t="shared" si="42"/>
        <v>-47.23</v>
      </c>
      <c r="M74" s="2"/>
      <c r="N74" s="7">
        <f t="shared" si="43"/>
        <v>-1</v>
      </c>
      <c r="O74" s="11"/>
      <c r="P74" s="6">
        <v>-29200.769999999997</v>
      </c>
      <c r="Q74" s="2"/>
      <c r="R74" s="7">
        <f t="shared" si="44"/>
        <v>0</v>
      </c>
      <c r="S74" s="2"/>
      <c r="T74" s="6">
        <v>1045.48</v>
      </c>
      <c r="U74" s="2"/>
      <c r="V74" s="7">
        <f t="shared" si="45"/>
        <v>0</v>
      </c>
      <c r="W74" s="2"/>
      <c r="X74" s="6">
        <f t="shared" si="46"/>
        <v>-30246.249999999996</v>
      </c>
      <c r="Y74" s="2"/>
      <c r="Z74" s="7">
        <f t="shared" si="47"/>
        <v>-28.93049125760416</v>
      </c>
    </row>
    <row r="75" spans="1:26" s="24" customFormat="1" hidden="1" outlineLevel="2" x14ac:dyDescent="0.25">
      <c r="A75" s="25"/>
      <c r="B75" s="11" t="str">
        <f>CONCATENATE("          ", "6245", " - ", "PRINTING")</f>
        <v xml:space="preserve">          6245 - PRINTING</v>
      </c>
      <c r="C75" s="11"/>
      <c r="D75" s="6"/>
      <c r="E75" s="2"/>
      <c r="F75" s="7">
        <f t="shared" si="40"/>
        <v>0</v>
      </c>
      <c r="G75" s="2"/>
      <c r="H75" s="6">
        <v>15.99</v>
      </c>
      <c r="I75" s="2"/>
      <c r="J75" s="7">
        <f t="shared" si="41"/>
        <v>0</v>
      </c>
      <c r="K75" s="2"/>
      <c r="L75" s="6">
        <f t="shared" si="42"/>
        <v>-15.99</v>
      </c>
      <c r="M75" s="2"/>
      <c r="N75" s="7">
        <f t="shared" si="43"/>
        <v>-1</v>
      </c>
      <c r="O75" s="11"/>
      <c r="P75" s="6"/>
      <c r="Q75" s="2"/>
      <c r="R75" s="7">
        <f t="shared" si="44"/>
        <v>0</v>
      </c>
      <c r="S75" s="2"/>
      <c r="T75" s="6">
        <v>15.99</v>
      </c>
      <c r="U75" s="2"/>
      <c r="V75" s="7">
        <f t="shared" si="45"/>
        <v>0</v>
      </c>
      <c r="W75" s="2"/>
      <c r="X75" s="6">
        <f t="shared" si="46"/>
        <v>-15.99</v>
      </c>
      <c r="Y75" s="2"/>
      <c r="Z75" s="7">
        <f t="shared" si="47"/>
        <v>-1</v>
      </c>
    </row>
    <row r="76" spans="1:26" s="24" customFormat="1" hidden="1" outlineLevel="2" x14ac:dyDescent="0.25">
      <c r="A76" s="25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40"/>
        <v>0</v>
      </c>
      <c r="G76" s="2"/>
      <c r="H76" s="6"/>
      <c r="I76" s="2"/>
      <c r="J76" s="7">
        <f t="shared" si="41"/>
        <v>0</v>
      </c>
      <c r="K76" s="2"/>
      <c r="L76" s="6">
        <f t="shared" si="42"/>
        <v>0</v>
      </c>
      <c r="M76" s="2"/>
      <c r="N76" s="7">
        <f t="shared" si="43"/>
        <v>0</v>
      </c>
      <c r="O76" s="11"/>
      <c r="P76" s="6"/>
      <c r="Q76" s="2"/>
      <c r="R76" s="7">
        <f t="shared" si="44"/>
        <v>0</v>
      </c>
      <c r="S76" s="2"/>
      <c r="T76" s="6">
        <v>298.89999999999998</v>
      </c>
      <c r="U76" s="2"/>
      <c r="V76" s="7">
        <f t="shared" si="45"/>
        <v>0</v>
      </c>
      <c r="W76" s="2"/>
      <c r="X76" s="6">
        <f t="shared" si="46"/>
        <v>-298.89999999999998</v>
      </c>
      <c r="Y76" s="2"/>
      <c r="Z76" s="7">
        <f t="shared" si="47"/>
        <v>-1</v>
      </c>
    </row>
    <row r="77" spans="1:26" s="26" customFormat="1" outlineLevel="1" collapsed="1" x14ac:dyDescent="0.25">
      <c r="A77" s="27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SUM(OSRRefD22_16x_0)</f>
        <v>93</v>
      </c>
      <c r="E77" s="1"/>
      <c r="F77" s="5">
        <f t="shared" ref="F77:F84" si="48">IF(D$12=0,0,D77/D$12)</f>
        <v>0</v>
      </c>
      <c r="G77" s="1"/>
      <c r="H77" s="1">
        <f>SUM(OSRRefH22_16x_0)</f>
        <v>567.98</v>
      </c>
      <c r="I77" s="1"/>
      <c r="J77" s="5">
        <f t="shared" ref="J77:J84" si="49">IF(H$12=0,0,H77/H$12)</f>
        <v>0</v>
      </c>
      <c r="K77" s="1"/>
      <c r="L77" s="1">
        <f t="shared" ref="L77:L84" si="50">+D77-H77</f>
        <v>-474.98</v>
      </c>
      <c r="M77" s="1"/>
      <c r="N77" s="5">
        <f t="shared" ref="N77:N84" si="51">IF(H77=0,0,L77/H77)</f>
        <v>-0.83626184020564109</v>
      </c>
      <c r="O77" s="13"/>
      <c r="P77" s="1">
        <f>SUM(OSRRefP22_16x_0)</f>
        <v>1479.53</v>
      </c>
      <c r="Q77" s="1"/>
      <c r="R77" s="5">
        <f t="shared" ref="R77:R84" si="52">IF(P$12=0,0,P77/P$12)</f>
        <v>0</v>
      </c>
      <c r="S77" s="1"/>
      <c r="T77" s="1">
        <f>SUM(OSRRefT22_16x_0)</f>
        <v>2903.78</v>
      </c>
      <c r="U77" s="1"/>
      <c r="V77" s="5">
        <f t="shared" ref="V77:V84" si="53">IF(T$12=0,0,T77/T$12)</f>
        <v>0</v>
      </c>
      <c r="W77" s="1"/>
      <c r="X77" s="1">
        <f t="shared" ref="X77:X84" si="54">+P77-T77</f>
        <v>-1424.2500000000002</v>
      </c>
      <c r="Y77" s="1"/>
      <c r="Z77" s="5">
        <f t="shared" ref="Z77:Z84" si="55">IF(T77=0,0,X77/T77)</f>
        <v>-0.49048137255577218</v>
      </c>
    </row>
    <row r="78" spans="1:26" s="24" customFormat="1" hidden="1" outlineLevel="2" x14ac:dyDescent="0.25">
      <c r="A78" s="25"/>
      <c r="B78" s="11" t="str">
        <f>CONCATENATE("          ", "6309", " - ", "TELEPHONE")</f>
        <v xml:space="preserve">          6309 - TELEPHONE</v>
      </c>
      <c r="C78" s="11"/>
      <c r="D78" s="6">
        <v>93</v>
      </c>
      <c r="E78" s="2"/>
      <c r="F78" s="7">
        <f t="shared" si="48"/>
        <v>0</v>
      </c>
      <c r="G78" s="2"/>
      <c r="H78" s="6">
        <v>567.98</v>
      </c>
      <c r="I78" s="2"/>
      <c r="J78" s="7">
        <f t="shared" si="49"/>
        <v>0</v>
      </c>
      <c r="K78" s="2"/>
      <c r="L78" s="6">
        <f t="shared" si="50"/>
        <v>-474.98</v>
      </c>
      <c r="M78" s="2"/>
      <c r="N78" s="7">
        <f t="shared" si="51"/>
        <v>-0.83626184020564109</v>
      </c>
      <c r="O78" s="11"/>
      <c r="P78" s="6">
        <v>1479.53</v>
      </c>
      <c r="Q78" s="2"/>
      <c r="R78" s="7">
        <f t="shared" si="52"/>
        <v>0</v>
      </c>
      <c r="S78" s="2"/>
      <c r="T78" s="6">
        <v>2903.78</v>
      </c>
      <c r="U78" s="2"/>
      <c r="V78" s="7">
        <f t="shared" si="53"/>
        <v>0</v>
      </c>
      <c r="W78" s="2"/>
      <c r="X78" s="6">
        <f t="shared" si="54"/>
        <v>-1424.2500000000002</v>
      </c>
      <c r="Y78" s="2"/>
      <c r="Z78" s="7">
        <f t="shared" si="55"/>
        <v>-0.49048137255577218</v>
      </c>
    </row>
    <row r="79" spans="1:26" s="26" customFormat="1" outlineLevel="1" collapsed="1" x14ac:dyDescent="0.25">
      <c r="A79" s="27"/>
      <c r="B79" s="13" t="str">
        <f>CONCATENATE("     ","Training                                          ")</f>
        <v xml:space="preserve">     Training                                          </v>
      </c>
      <c r="C79" s="13"/>
      <c r="D79" s="1">
        <f>SUM(OSRRefD22_17x_0)</f>
        <v>0</v>
      </c>
      <c r="E79" s="1"/>
      <c r="F79" s="5">
        <f t="shared" si="48"/>
        <v>0</v>
      </c>
      <c r="G79" s="1"/>
      <c r="H79" s="1">
        <f>SUM(OSRRefH22_17x_0)</f>
        <v>0</v>
      </c>
      <c r="I79" s="1"/>
      <c r="J79" s="5">
        <f t="shared" si="49"/>
        <v>0</v>
      </c>
      <c r="K79" s="1"/>
      <c r="L79" s="1">
        <f t="shared" si="50"/>
        <v>0</v>
      </c>
      <c r="M79" s="1"/>
      <c r="N79" s="5">
        <f t="shared" si="51"/>
        <v>0</v>
      </c>
      <c r="O79" s="13"/>
      <c r="P79" s="1">
        <f>SUM(OSRRefP22_17x_0)</f>
        <v>0</v>
      </c>
      <c r="Q79" s="1"/>
      <c r="R79" s="5">
        <f t="shared" si="52"/>
        <v>0</v>
      </c>
      <c r="S79" s="1"/>
      <c r="T79" s="1">
        <f>SUM(OSRRefT22_17x_0)</f>
        <v>240</v>
      </c>
      <c r="U79" s="1"/>
      <c r="V79" s="5">
        <f t="shared" si="53"/>
        <v>0</v>
      </c>
      <c r="W79" s="1"/>
      <c r="X79" s="1">
        <f t="shared" si="54"/>
        <v>-240</v>
      </c>
      <c r="Y79" s="1"/>
      <c r="Z79" s="5">
        <f t="shared" si="55"/>
        <v>-1</v>
      </c>
    </row>
    <row r="80" spans="1:26" s="24" customFormat="1" hidden="1" outlineLevel="2" x14ac:dyDescent="0.25">
      <c r="A80" s="25"/>
      <c r="B80" s="11" t="str">
        <f>CONCATENATE("          ", "6376", " - ", "TRAINING")</f>
        <v xml:space="preserve">          6376 - TRAINING</v>
      </c>
      <c r="C80" s="11"/>
      <c r="D80" s="6"/>
      <c r="E80" s="2"/>
      <c r="F80" s="7">
        <f t="shared" si="48"/>
        <v>0</v>
      </c>
      <c r="G80" s="2"/>
      <c r="H80" s="6"/>
      <c r="I80" s="2"/>
      <c r="J80" s="7">
        <f t="shared" si="49"/>
        <v>0</v>
      </c>
      <c r="K80" s="2"/>
      <c r="L80" s="6">
        <f t="shared" si="50"/>
        <v>0</v>
      </c>
      <c r="M80" s="2"/>
      <c r="N80" s="7">
        <f t="shared" si="51"/>
        <v>0</v>
      </c>
      <c r="O80" s="11"/>
      <c r="P80" s="6"/>
      <c r="Q80" s="2"/>
      <c r="R80" s="7">
        <f t="shared" si="52"/>
        <v>0</v>
      </c>
      <c r="S80" s="2"/>
      <c r="T80" s="6">
        <v>240</v>
      </c>
      <c r="U80" s="2"/>
      <c r="V80" s="7">
        <f t="shared" si="53"/>
        <v>0</v>
      </c>
      <c r="W80" s="2"/>
      <c r="X80" s="6">
        <f t="shared" si="54"/>
        <v>-240</v>
      </c>
      <c r="Y80" s="2"/>
      <c r="Z80" s="7">
        <f t="shared" si="55"/>
        <v>-1</v>
      </c>
    </row>
    <row r="81" spans="1:26" s="26" customFormat="1" outlineLevel="1" collapsed="1" x14ac:dyDescent="0.25">
      <c r="A81" s="27"/>
      <c r="B81" s="13" t="str">
        <f>CONCATENATE("     ","Travel                                            ")</f>
        <v xml:space="preserve">     Travel                                            </v>
      </c>
      <c r="C81" s="13"/>
      <c r="D81" s="1">
        <f>SUM(OSRRefD22_18x_0)</f>
        <v>0</v>
      </c>
      <c r="E81" s="1"/>
      <c r="F81" s="5">
        <f t="shared" si="48"/>
        <v>0</v>
      </c>
      <c r="G81" s="1"/>
      <c r="H81" s="1">
        <f>SUM(OSRRefH22_18x_0)</f>
        <v>125.53</v>
      </c>
      <c r="I81" s="1"/>
      <c r="J81" s="5">
        <f t="shared" si="49"/>
        <v>0</v>
      </c>
      <c r="K81" s="1"/>
      <c r="L81" s="1">
        <f t="shared" si="50"/>
        <v>-125.53</v>
      </c>
      <c r="M81" s="1"/>
      <c r="N81" s="5">
        <f t="shared" si="51"/>
        <v>-1</v>
      </c>
      <c r="O81" s="13"/>
      <c r="P81" s="1">
        <f>SUM(OSRRefP22_18x_0)</f>
        <v>332.21</v>
      </c>
      <c r="Q81" s="1"/>
      <c r="R81" s="5">
        <f t="shared" si="52"/>
        <v>0</v>
      </c>
      <c r="S81" s="1"/>
      <c r="T81" s="1">
        <f>SUM(OSRRefT22_18x_0)</f>
        <v>1800.2</v>
      </c>
      <c r="U81" s="1"/>
      <c r="V81" s="5">
        <f t="shared" si="53"/>
        <v>0</v>
      </c>
      <c r="W81" s="1"/>
      <c r="X81" s="1">
        <f t="shared" si="54"/>
        <v>-1467.99</v>
      </c>
      <c r="Y81" s="1"/>
      <c r="Z81" s="5">
        <f t="shared" si="55"/>
        <v>-0.81545939340073326</v>
      </c>
    </row>
    <row r="82" spans="1:26" s="24" customFormat="1" hidden="1" outlineLevel="2" x14ac:dyDescent="0.25">
      <c r="A82" s="25"/>
      <c r="B82" s="11" t="str">
        <f>CONCATENATE("          ", "6292", " - ", "TRAVEL/CONFERENCE")</f>
        <v xml:space="preserve">          6292 - TRAVEL/CONFERENCE</v>
      </c>
      <c r="C82" s="11"/>
      <c r="D82" s="6"/>
      <c r="E82" s="2"/>
      <c r="F82" s="7">
        <f t="shared" si="48"/>
        <v>0</v>
      </c>
      <c r="G82" s="2"/>
      <c r="H82" s="6">
        <v>21.44</v>
      </c>
      <c r="I82" s="2"/>
      <c r="J82" s="7">
        <f t="shared" si="49"/>
        <v>0</v>
      </c>
      <c r="K82" s="2"/>
      <c r="L82" s="6">
        <f t="shared" si="50"/>
        <v>-21.44</v>
      </c>
      <c r="M82" s="2"/>
      <c r="N82" s="7">
        <f t="shared" si="51"/>
        <v>-1</v>
      </c>
      <c r="O82" s="11"/>
      <c r="P82" s="6"/>
      <c r="Q82" s="2"/>
      <c r="R82" s="7">
        <f t="shared" si="52"/>
        <v>0</v>
      </c>
      <c r="S82" s="2"/>
      <c r="T82" s="6">
        <v>877.89</v>
      </c>
      <c r="U82" s="2"/>
      <c r="V82" s="7">
        <f t="shared" si="53"/>
        <v>0</v>
      </c>
      <c r="W82" s="2"/>
      <c r="X82" s="6">
        <f t="shared" si="54"/>
        <v>-877.89</v>
      </c>
      <c r="Y82" s="2"/>
      <c r="Z82" s="7">
        <f t="shared" si="55"/>
        <v>-1</v>
      </c>
    </row>
    <row r="83" spans="1:26" s="24" customFormat="1" hidden="1" outlineLevel="2" x14ac:dyDescent="0.25">
      <c r="A83" s="25"/>
      <c r="B83" s="11" t="str">
        <f>CONCATENATE("          ", "6294", " - ", "TRAVEL OPERATIONAL")</f>
        <v xml:space="preserve">          6294 - TRAVEL OPERATIONAL</v>
      </c>
      <c r="C83" s="11"/>
      <c r="D83" s="6"/>
      <c r="E83" s="2"/>
      <c r="F83" s="7">
        <f t="shared" si="48"/>
        <v>0</v>
      </c>
      <c r="G83" s="2"/>
      <c r="H83" s="6"/>
      <c r="I83" s="2"/>
      <c r="J83" s="7">
        <f t="shared" si="49"/>
        <v>0</v>
      </c>
      <c r="K83" s="2"/>
      <c r="L83" s="6">
        <f t="shared" si="50"/>
        <v>0</v>
      </c>
      <c r="M83" s="2"/>
      <c r="N83" s="7">
        <f t="shared" si="51"/>
        <v>0</v>
      </c>
      <c r="O83" s="11"/>
      <c r="P83" s="6"/>
      <c r="Q83" s="2"/>
      <c r="R83" s="7">
        <f t="shared" si="52"/>
        <v>0</v>
      </c>
      <c r="S83" s="2"/>
      <c r="T83" s="6">
        <v>45.49</v>
      </c>
      <c r="U83" s="2"/>
      <c r="V83" s="7">
        <f t="shared" si="53"/>
        <v>0</v>
      </c>
      <c r="W83" s="2"/>
      <c r="X83" s="6">
        <f t="shared" si="54"/>
        <v>-45.49</v>
      </c>
      <c r="Y83" s="2"/>
      <c r="Z83" s="7">
        <f t="shared" si="55"/>
        <v>-1</v>
      </c>
    </row>
    <row r="84" spans="1:26" s="24" customFormat="1" hidden="1" outlineLevel="2" x14ac:dyDescent="0.25">
      <c r="A84" s="25"/>
      <c r="B84" s="11" t="str">
        <f>CONCATENATE("          ", "6298", " - ", "VEHICLE MILEAGE")</f>
        <v xml:space="preserve">          6298 - VEHICLE MILEAGE</v>
      </c>
      <c r="C84" s="11"/>
      <c r="D84" s="6"/>
      <c r="E84" s="2"/>
      <c r="F84" s="7">
        <f t="shared" si="48"/>
        <v>0</v>
      </c>
      <c r="G84" s="2"/>
      <c r="H84" s="6">
        <v>104.09</v>
      </c>
      <c r="I84" s="2"/>
      <c r="J84" s="7">
        <f t="shared" si="49"/>
        <v>0</v>
      </c>
      <c r="K84" s="2"/>
      <c r="L84" s="6">
        <f t="shared" si="50"/>
        <v>-104.09</v>
      </c>
      <c r="M84" s="2"/>
      <c r="N84" s="7">
        <f t="shared" si="51"/>
        <v>-1</v>
      </c>
      <c r="O84" s="11"/>
      <c r="P84" s="6">
        <v>332.21</v>
      </c>
      <c r="Q84" s="2"/>
      <c r="R84" s="7">
        <f t="shared" si="52"/>
        <v>0</v>
      </c>
      <c r="S84" s="2"/>
      <c r="T84" s="6">
        <v>876.82</v>
      </c>
      <c r="U84" s="2"/>
      <c r="V84" s="7">
        <f t="shared" si="53"/>
        <v>0</v>
      </c>
      <c r="W84" s="2"/>
      <c r="X84" s="6">
        <f t="shared" si="54"/>
        <v>-544.61000000000013</v>
      </c>
      <c r="Y84" s="2"/>
      <c r="Z84" s="7">
        <f t="shared" si="55"/>
        <v>-0.62111950001140492</v>
      </c>
    </row>
    <row r="85" spans="1:26" s="26" customFormat="1" outlineLevel="1" collapsed="1" x14ac:dyDescent="0.25">
      <c r="A85" s="27"/>
      <c r="B85" s="13" t="str">
        <f>CONCATENATE("     ","Utilities                                         ")</f>
        <v xml:space="preserve">     Utilities                                         </v>
      </c>
      <c r="C85" s="13"/>
      <c r="D85" s="1">
        <f>SUM(OSRRefD22_19x_0)</f>
        <v>1000</v>
      </c>
      <c r="E85" s="1"/>
      <c r="F85" s="5">
        <f t="shared" ref="F85:F86" si="56">IF(D$12=0,0,D85/D$12)</f>
        <v>0</v>
      </c>
      <c r="G85" s="1"/>
      <c r="H85" s="1">
        <f>SUM(OSRRefH22_19x_0)</f>
        <v>12923</v>
      </c>
      <c r="I85" s="1"/>
      <c r="J85" s="5">
        <f t="shared" ref="J85:J86" si="57">IF(H$12=0,0,H85/H$12)</f>
        <v>0</v>
      </c>
      <c r="K85" s="1"/>
      <c r="L85" s="1">
        <f t="shared" ref="L85:L86" si="58">+D85-H85</f>
        <v>-11923</v>
      </c>
      <c r="M85" s="1"/>
      <c r="N85" s="5">
        <f t="shared" ref="N85:N86" si="59">IF(H85=0,0,L85/H85)</f>
        <v>-0.92261858701539889</v>
      </c>
      <c r="O85" s="13"/>
      <c r="P85" s="1">
        <f>SUM(OSRRefP22_19x_0)</f>
        <v>-12876</v>
      </c>
      <c r="Q85" s="1"/>
      <c r="R85" s="5">
        <f t="shared" ref="R85:R86" si="60">IF(P$12=0,0,P85/P$12)</f>
        <v>0</v>
      </c>
      <c r="S85" s="1"/>
      <c r="T85" s="1">
        <f>SUM(OSRRefT22_19x_0)</f>
        <v>94514</v>
      </c>
      <c r="U85" s="1"/>
      <c r="V85" s="5">
        <f t="shared" ref="V85:V86" si="61">IF(T$12=0,0,T85/T$12)</f>
        <v>0</v>
      </c>
      <c r="W85" s="1"/>
      <c r="X85" s="1">
        <f t="shared" ref="X85:X86" si="62">+P85-T85</f>
        <v>-107390</v>
      </c>
      <c r="Y85" s="1"/>
      <c r="Z85" s="5">
        <f t="shared" ref="Z85:Z86" si="63">IF(T85=0,0,X85/T85)</f>
        <v>-1.1362337854709355</v>
      </c>
    </row>
    <row r="86" spans="1:26" s="24" customFormat="1" hidden="1" outlineLevel="2" x14ac:dyDescent="0.25">
      <c r="A86" s="25"/>
      <c r="B86" s="11" t="str">
        <f>CONCATENATE("          ", "6274", " - ", "UTILITIES")</f>
        <v xml:space="preserve">          6274 - UTILITIES</v>
      </c>
      <c r="C86" s="11"/>
      <c r="D86" s="6">
        <v>1000</v>
      </c>
      <c r="E86" s="2"/>
      <c r="F86" s="7">
        <f t="shared" si="56"/>
        <v>0</v>
      </c>
      <c r="G86" s="2"/>
      <c r="H86" s="6">
        <v>12923</v>
      </c>
      <c r="I86" s="2"/>
      <c r="J86" s="7">
        <f t="shared" si="57"/>
        <v>0</v>
      </c>
      <c r="K86" s="2"/>
      <c r="L86" s="6">
        <f t="shared" si="58"/>
        <v>-11923</v>
      </c>
      <c r="M86" s="2"/>
      <c r="N86" s="7">
        <f t="shared" si="59"/>
        <v>-0.92261858701539889</v>
      </c>
      <c r="O86" s="11"/>
      <c r="P86" s="6">
        <v>-12876</v>
      </c>
      <c r="Q86" s="2"/>
      <c r="R86" s="7">
        <f t="shared" si="60"/>
        <v>0</v>
      </c>
      <c r="S86" s="2"/>
      <c r="T86" s="6">
        <v>94514</v>
      </c>
      <c r="U86" s="2"/>
      <c r="V86" s="7">
        <f t="shared" si="61"/>
        <v>0</v>
      </c>
      <c r="W86" s="2"/>
      <c r="X86" s="6">
        <f t="shared" si="62"/>
        <v>-107390</v>
      </c>
      <c r="Y86" s="2"/>
      <c r="Z86" s="7">
        <f t="shared" si="63"/>
        <v>-1.1362337854709355</v>
      </c>
    </row>
    <row r="87" spans="1:26" s="61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25">
      <c r="A88" s="10"/>
      <c r="B88" s="29" t="s">
        <v>0</v>
      </c>
      <c r="C88" s="10"/>
      <c r="D88" s="4">
        <f>SUM(OSRRefD25x_0)</f>
        <v>189.92</v>
      </c>
      <c r="E88" s="4"/>
      <c r="F88" s="12">
        <f t="shared" ref="F88:F90" si="64">IF(D$12=0,0,D88/D$12)</f>
        <v>0</v>
      </c>
      <c r="G88" s="4"/>
      <c r="H88" s="4">
        <f>SUM(OSRRefH25x_0)</f>
        <v>12372.470000000001</v>
      </c>
      <c r="I88" s="4"/>
      <c r="J88" s="12">
        <f t="shared" ref="J88:J90" si="65">IF(H$12=0,0,H88/H$12)</f>
        <v>0</v>
      </c>
      <c r="K88" s="4"/>
      <c r="L88" s="4">
        <f t="shared" ref="L88:L90" si="66">+D88-H88</f>
        <v>-12182.550000000001</v>
      </c>
      <c r="M88" s="4"/>
      <c r="N88" s="12">
        <f t="shared" ref="N88:N90" si="67">IF(H88=0,0,L88/H88)</f>
        <v>-0.98464979102798389</v>
      </c>
      <c r="O88" s="10"/>
      <c r="P88" s="4">
        <f>SUM(OSRRefP25x_0)</f>
        <v>2432.98</v>
      </c>
      <c r="Q88" s="4"/>
      <c r="R88" s="12">
        <f t="shared" ref="R88:R90" si="68">IF(P$12=0,0,P88/P$12)</f>
        <v>0</v>
      </c>
      <c r="S88" s="4"/>
      <c r="T88" s="4">
        <f>SUM(OSRRefT25x_0)</f>
        <v>79311.429999999993</v>
      </c>
      <c r="U88" s="4"/>
      <c r="V88" s="12">
        <f t="shared" ref="V88:V90" si="69">IF(T$12=0,0,T88/T$12)</f>
        <v>0</v>
      </c>
      <c r="W88" s="4"/>
      <c r="X88" s="4">
        <f t="shared" ref="X88:X90" si="70">+P88-T88</f>
        <v>-76878.45</v>
      </c>
      <c r="Y88" s="4"/>
      <c r="Z88" s="12">
        <f t="shared" ref="Z88:Z90" si="71">IF(T88=0,0,X88/T88)</f>
        <v>-0.9693237153837726</v>
      </c>
    </row>
    <row r="89" spans="1:26" s="24" customFormat="1" hidden="1" outlineLevel="1" x14ac:dyDescent="0.25">
      <c r="A89" s="44"/>
      <c r="B89" s="11" t="str">
        <f>CONCATENATE("          ", "9150", " - ", "MISC. INCOME")</f>
        <v xml:space="preserve">          9150 - MISC. INCOME</v>
      </c>
      <c r="C89" s="11"/>
      <c r="D89" s="2">
        <f>0</f>
        <v>0</v>
      </c>
      <c r="E89" s="2"/>
      <c r="F89" s="19">
        <f t="shared" si="64"/>
        <v>0</v>
      </c>
      <c r="G89" s="2"/>
      <c r="H89" s="2">
        <f>--11333.37</f>
        <v>11333.37</v>
      </c>
      <c r="I89" s="2"/>
      <c r="J89" s="19">
        <f t="shared" si="65"/>
        <v>0</v>
      </c>
      <c r="K89" s="2"/>
      <c r="L89" s="2">
        <f t="shared" si="66"/>
        <v>-11333.37</v>
      </c>
      <c r="M89" s="2"/>
      <c r="N89" s="19">
        <f t="shared" si="67"/>
        <v>-1</v>
      </c>
      <c r="O89" s="11"/>
      <c r="P89" s="2">
        <f>--1616.63</f>
        <v>1616.63</v>
      </c>
      <c r="Q89" s="2"/>
      <c r="R89" s="19">
        <f t="shared" si="68"/>
        <v>0</v>
      </c>
      <c r="S89" s="2"/>
      <c r="T89" s="2">
        <f>--77261.4</f>
        <v>77261.399999999994</v>
      </c>
      <c r="U89" s="2"/>
      <c r="V89" s="19">
        <f t="shared" si="69"/>
        <v>0</v>
      </c>
      <c r="W89" s="2"/>
      <c r="X89" s="2">
        <f t="shared" si="70"/>
        <v>-75644.76999999999</v>
      </c>
      <c r="Y89" s="2"/>
      <c r="Z89" s="19">
        <f t="shared" si="71"/>
        <v>-0.97907583864646508</v>
      </c>
    </row>
    <row r="90" spans="1:26" s="24" customFormat="1" hidden="1" outlineLevel="1" x14ac:dyDescent="0.25">
      <c r="A90" s="44"/>
      <c r="B90" s="11" t="str">
        <f>CONCATENATE("          ", "9160", " - ", "MISC. INCOME")</f>
        <v xml:space="preserve">          9160 - MISC. INCOME</v>
      </c>
      <c r="C90" s="11"/>
      <c r="D90" s="2">
        <f>--189.92</f>
        <v>189.92</v>
      </c>
      <c r="E90" s="2"/>
      <c r="F90" s="19">
        <f t="shared" si="64"/>
        <v>0</v>
      </c>
      <c r="G90" s="2"/>
      <c r="H90" s="2">
        <f>--1039.1</f>
        <v>1039.0999999999999</v>
      </c>
      <c r="I90" s="2"/>
      <c r="J90" s="19">
        <f t="shared" si="65"/>
        <v>0</v>
      </c>
      <c r="K90" s="2"/>
      <c r="L90" s="2">
        <f t="shared" si="66"/>
        <v>-849.18</v>
      </c>
      <c r="M90" s="2"/>
      <c r="N90" s="19">
        <f t="shared" si="67"/>
        <v>-0.81722644596285254</v>
      </c>
      <c r="O90" s="11"/>
      <c r="P90" s="2">
        <f>--816.35</f>
        <v>816.35</v>
      </c>
      <c r="Q90" s="2"/>
      <c r="R90" s="19">
        <f t="shared" si="68"/>
        <v>0</v>
      </c>
      <c r="S90" s="2"/>
      <c r="T90" s="2">
        <f>--2050.03</f>
        <v>2050.0300000000002</v>
      </c>
      <c r="U90" s="2"/>
      <c r="V90" s="19">
        <f t="shared" si="69"/>
        <v>0</v>
      </c>
      <c r="W90" s="2"/>
      <c r="X90" s="2">
        <f t="shared" si="70"/>
        <v>-1233.6800000000003</v>
      </c>
      <c r="Y90" s="2"/>
      <c r="Z90" s="19">
        <f t="shared" si="71"/>
        <v>-0.60178631532221483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8" t="s">
        <v>3</v>
      </c>
      <c r="C92" s="28"/>
      <c r="D92" s="20">
        <f>+D16-D18+D88</f>
        <v>-37266.659999999996</v>
      </c>
      <c r="E92" s="14"/>
      <c r="F92" s="22">
        <f>IF(D$12=0,0,D92/D$12)</f>
        <v>0</v>
      </c>
      <c r="G92" s="14"/>
      <c r="H92" s="20">
        <f>+H16-H18+H88</f>
        <v>-98090.139999999985</v>
      </c>
      <c r="I92" s="14"/>
      <c r="J92" s="22">
        <f>IF(H$12=0,0,H92/H$12)</f>
        <v>0</v>
      </c>
      <c r="K92" s="15"/>
      <c r="L92" s="20">
        <f>+D92-H92</f>
        <v>60823.479999999989</v>
      </c>
      <c r="M92" s="15"/>
      <c r="N92" s="22">
        <f>IF(H92=0,0,L92/H92)</f>
        <v>-0.62007741043085474</v>
      </c>
      <c r="O92" s="29"/>
      <c r="P92" s="20">
        <f>+P16-P18+P88</f>
        <v>-187419.86000000002</v>
      </c>
      <c r="Q92" s="14"/>
      <c r="R92" s="22">
        <f>IF(P$12=0,0,P92/P$12)</f>
        <v>0</v>
      </c>
      <c r="S92" s="14"/>
      <c r="T92" s="20">
        <f>+T16-T18+T88</f>
        <v>-635573.65000000014</v>
      </c>
      <c r="U92" s="14"/>
      <c r="V92" s="22">
        <f>IF(T$12=0,0,T92/T$12)</f>
        <v>0</v>
      </c>
      <c r="W92" s="15"/>
      <c r="X92" s="20">
        <f>+P92-T92</f>
        <v>448153.79000000015</v>
      </c>
      <c r="Y92" s="15"/>
      <c r="Z92" s="22">
        <f>IF(T92=0,0,X92/T92)</f>
        <v>-0.70511700728939919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13</v>
      </c>
      <c r="C94" s="10"/>
      <c r="D94" s="4"/>
      <c r="E94" s="4"/>
      <c r="F94" s="12">
        <f>IF(D$12=0,0,D94/D$12)</f>
        <v>0</v>
      </c>
      <c r="G94" s="4"/>
      <c r="H94" s="4"/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/>
      <c r="Q94" s="4"/>
      <c r="R94" s="12">
        <f>IF(P$12=0,0,P94/P$12)</f>
        <v>0</v>
      </c>
      <c r="S94" s="4"/>
      <c r="T94" s="4"/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4</v>
      </c>
      <c r="C96" s="28"/>
      <c r="D96" s="30">
        <f>+D92-D94</f>
        <v>-37266.659999999996</v>
      </c>
      <c r="E96" s="14"/>
      <c r="F96" s="36">
        <f>IF(D$12=0,0,D96/D$12)</f>
        <v>0</v>
      </c>
      <c r="G96" s="14"/>
      <c r="H96" s="30">
        <f>+H92-H94</f>
        <v>-98090.139999999985</v>
      </c>
      <c r="I96" s="14"/>
      <c r="J96" s="36">
        <f>IF(H$12=0,0,H96/H$12)</f>
        <v>0</v>
      </c>
      <c r="K96" s="15"/>
      <c r="L96" s="30">
        <f>D96-H96</f>
        <v>60823.479999999989</v>
      </c>
      <c r="M96" s="15"/>
      <c r="N96" s="36">
        <f>IF(H96=0,0,L96/H96)</f>
        <v>-0.62007741043085474</v>
      </c>
      <c r="O96" s="29"/>
      <c r="P96" s="30">
        <f>+P92-P94</f>
        <v>-187419.86000000002</v>
      </c>
      <c r="Q96" s="14"/>
      <c r="R96" s="36">
        <f>IF(P$12=0,0,P96/P$12)</f>
        <v>0</v>
      </c>
      <c r="S96" s="14"/>
      <c r="T96" s="30">
        <f>+T92-T94</f>
        <v>-635573.65000000014</v>
      </c>
      <c r="U96" s="14"/>
      <c r="V96" s="36">
        <f>IF(T$12=0,0,T96/T$12)</f>
        <v>0</v>
      </c>
      <c r="W96" s="15"/>
      <c r="X96" s="30">
        <f>P96-T96</f>
        <v>448153.79000000015</v>
      </c>
      <c r="Y96" s="15"/>
      <c r="Z96" s="36">
        <f>IF(T96=0,0,X96/T96)</f>
        <v>-0.70511700728939919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5</v>
      </c>
      <c r="C99" s="28"/>
      <c r="D99" s="32">
        <f>SUM(D96:D98)</f>
        <v>-37266.659999999996</v>
      </c>
      <c r="E99" s="14"/>
      <c r="F99" s="31">
        <f>IF(D$12=0,0,D99/D$12)</f>
        <v>0</v>
      </c>
      <c r="G99" s="14"/>
      <c r="H99" s="32">
        <f>SUM(H96:H98)</f>
        <v>-98090.139999999985</v>
      </c>
      <c r="I99" s="14"/>
      <c r="J99" s="31">
        <f>IF(H$12=0,0,H99/H$12)</f>
        <v>0</v>
      </c>
      <c r="K99" s="15"/>
      <c r="L99" s="32">
        <f>+D99-H99</f>
        <v>60823.479999999989</v>
      </c>
      <c r="M99" s="15"/>
      <c r="N99" s="31">
        <f>IF(H99=0,0,L99/H99)</f>
        <v>-0.62007741043085474</v>
      </c>
      <c r="O99" s="29"/>
      <c r="P99" s="32">
        <f>SUM(P96:P98)</f>
        <v>-187419.86000000002</v>
      </c>
      <c r="Q99" s="14"/>
      <c r="R99" s="31">
        <f>IF(P$12=0,0,P99/P$12)</f>
        <v>0</v>
      </c>
      <c r="S99" s="14"/>
      <c r="T99" s="32">
        <f>SUM(T96:T98)</f>
        <v>-635573.65000000014</v>
      </c>
      <c r="U99" s="14"/>
      <c r="V99" s="31">
        <f>IF(T$12=0,0,T99/T$12)</f>
        <v>0</v>
      </c>
      <c r="W99" s="15"/>
      <c r="X99" s="32">
        <f>+P99-T99</f>
        <v>448153.79000000015</v>
      </c>
      <c r="Y99" s="15"/>
      <c r="Z99" s="31">
        <f>IF(T99=0,0,X99/T99)</f>
        <v>-0.70511700728939919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62">
        <v>44238.496444560187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9" t="s">
        <v>313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56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297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","412", " - ", "Chartroom")</f>
        <v>Department 412 - Chartroom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19774.169999999998</v>
      </c>
      <c r="I12" s="4"/>
      <c r="J12" s="12"/>
      <c r="K12" s="4"/>
      <c r="L12" s="4">
        <f t="shared" ref="L12:L14" si="0">+D12-H12</f>
        <v>-19774.169999999998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347686.35000000003</v>
      </c>
      <c r="U12" s="4"/>
      <c r="V12" s="12"/>
      <c r="W12" s="4"/>
      <c r="X12" s="4">
        <f t="shared" ref="X12:X14" si="2">+P12-T12</f>
        <v>-347686.35000000003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>
        <f>--15004.96</f>
        <v>15004.96</v>
      </c>
      <c r="I13" s="2"/>
      <c r="J13" s="19"/>
      <c r="K13" s="2"/>
      <c r="L13" s="2">
        <f t="shared" si="0"/>
        <v>-15004.96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--308630.96</f>
        <v>308630.96000000002</v>
      </c>
      <c r="U13" s="2"/>
      <c r="V13" s="19"/>
      <c r="W13" s="2"/>
      <c r="X13" s="2">
        <f t="shared" si="2"/>
        <v>-308630.96000000002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 t="shared" si="4"/>
        <v>0</v>
      </c>
      <c r="E14" s="2"/>
      <c r="F14" s="19"/>
      <c r="G14" s="2"/>
      <c r="H14" s="2">
        <f>--4769.21</f>
        <v>4769.21</v>
      </c>
      <c r="I14" s="2"/>
      <c r="J14" s="19"/>
      <c r="K14" s="2"/>
      <c r="L14" s="2">
        <f t="shared" si="0"/>
        <v>-4769.21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--39055.39</f>
        <v>39055.39</v>
      </c>
      <c r="U14" s="2"/>
      <c r="V14" s="19"/>
      <c r="W14" s="2"/>
      <c r="X14" s="2">
        <f t="shared" si="2"/>
        <v>-39055.39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21572.38</v>
      </c>
      <c r="I16" s="4"/>
      <c r="J16" s="12">
        <f t="shared" ref="J16:J17" si="7">IF(H$12=0,0,H16/H$12)</f>
        <v>1.0909373187344906</v>
      </c>
      <c r="K16" s="4"/>
      <c r="L16" s="4">
        <f t="shared" ref="L16:L17" si="8">+D16-H16</f>
        <v>-21572.38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161759.05000000002</v>
      </c>
      <c r="U16" s="4"/>
      <c r="V16" s="12">
        <f t="shared" ref="V16:V17" si="11">IF(T$12=0,0,T16/T$12)</f>
        <v>0.4652441776906111</v>
      </c>
      <c r="W16" s="4"/>
      <c r="X16" s="4">
        <f t="shared" ref="X16:X17" si="12">+P16-T16</f>
        <v>-161759.05000000002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21572.38</v>
      </c>
      <c r="I17" s="2"/>
      <c r="J17" s="19">
        <f t="shared" si="7"/>
        <v>1.0909373187344906</v>
      </c>
      <c r="K17" s="2"/>
      <c r="L17" s="2">
        <f t="shared" si="8"/>
        <v>-21572.38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161759.05000000002</v>
      </c>
      <c r="U17" s="2"/>
      <c r="V17" s="19">
        <f t="shared" si="11"/>
        <v>0.4652441776906111</v>
      </c>
      <c r="W17" s="2"/>
      <c r="X17" s="2">
        <f t="shared" si="12"/>
        <v>-161759.05000000002</v>
      </c>
      <c r="Y17" s="2"/>
      <c r="Z17" s="19">
        <f t="shared" si="13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6</v>
      </c>
      <c r="C19" s="28"/>
      <c r="D19" s="20">
        <f>D12-D16</f>
        <v>0</v>
      </c>
      <c r="E19" s="14"/>
      <c r="F19" s="22">
        <f>IF(D$12=0,0,D19/D$12)</f>
        <v>0</v>
      </c>
      <c r="G19" s="14"/>
      <c r="H19" s="20">
        <f>H12-H16</f>
        <v>-1798.2100000000028</v>
      </c>
      <c r="I19" s="14"/>
      <c r="J19" s="22">
        <f>IF(H$12=0,0,H19/H$12)</f>
        <v>-9.0937318734490652E-2</v>
      </c>
      <c r="K19" s="15"/>
      <c r="L19" s="20">
        <f>+D19-H19</f>
        <v>1798.2100000000028</v>
      </c>
      <c r="M19" s="15"/>
      <c r="N19" s="22">
        <f>IF(H19=0,0,L19/H19)</f>
        <v>-1</v>
      </c>
      <c r="O19" s="29"/>
      <c r="P19" s="20">
        <f>P12-P16</f>
        <v>0</v>
      </c>
      <c r="Q19" s="14"/>
      <c r="R19" s="22">
        <f>IF(P$12=0,0,P19/P$12)</f>
        <v>0</v>
      </c>
      <c r="S19" s="14"/>
      <c r="T19" s="20">
        <f>T12-T16</f>
        <v>185927.30000000002</v>
      </c>
      <c r="U19" s="14"/>
      <c r="V19" s="22">
        <f>IF(T$12=0,0,T19/T$12)</f>
        <v>0.5347558223093889</v>
      </c>
      <c r="W19" s="15"/>
      <c r="X19" s="20">
        <f>+P19-T19</f>
        <v>-185927.30000000002</v>
      </c>
      <c r="Y19" s="15"/>
      <c r="Z19" s="22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9</v>
      </c>
      <c r="C21" s="10"/>
      <c r="D21" s="21">
        <f>SUM(OSRRefD22x_0)</f>
        <v>613.36</v>
      </c>
      <c r="E21" s="21"/>
      <c r="F21" s="35">
        <f t="shared" ref="F21:F30" si="14">IF(D$12=0,0,D21/D$12)</f>
        <v>0</v>
      </c>
      <c r="G21" s="21"/>
      <c r="H21" s="21">
        <f>SUM(OSRRefH22x_0)</f>
        <v>25374.129999999997</v>
      </c>
      <c r="I21" s="21"/>
      <c r="J21" s="35">
        <f t="shared" ref="J21:J30" si="15">IF(H$12=0,0,H21/H$12)</f>
        <v>1.2831957042950475</v>
      </c>
      <c r="K21" s="4"/>
      <c r="L21" s="21">
        <f t="shared" ref="L21:L30" si="16">+D21-H21</f>
        <v>-24760.769999999997</v>
      </c>
      <c r="M21" s="4"/>
      <c r="N21" s="35">
        <f t="shared" ref="N21:N30" si="17">IF(H21=0,0,L21/H21)</f>
        <v>-0.97582734856328079</v>
      </c>
      <c r="O21" s="10"/>
      <c r="P21" s="21">
        <f>SUM(OSRRefP22x_0)</f>
        <v>6662.8899999999994</v>
      </c>
      <c r="Q21" s="21"/>
      <c r="R21" s="35">
        <f t="shared" ref="R21:R30" si="18">IF(P$12=0,0,P21/P$12)</f>
        <v>0</v>
      </c>
      <c r="S21" s="21"/>
      <c r="T21" s="21">
        <f>SUM(OSRRefT22x_0)</f>
        <v>283085.58999999997</v>
      </c>
      <c r="U21" s="21"/>
      <c r="V21" s="35">
        <f t="shared" ref="V21:V30" si="19">IF(T$12=0,0,T21/T$12)</f>
        <v>0.8141981702761697</v>
      </c>
      <c r="W21" s="4"/>
      <c r="X21" s="21">
        <f t="shared" ref="X21:X30" si="20">+P21-T21</f>
        <v>-276422.69999999995</v>
      </c>
      <c r="Y21" s="4"/>
      <c r="Z21" s="35">
        <f t="shared" ref="Z21:Z30" si="21">IF(T21=0,0,X21/T21)</f>
        <v>-0.97646333746624114</v>
      </c>
    </row>
    <row r="22" spans="1:26" s="26" customFormat="1" outlineLevel="1" collapsed="1" x14ac:dyDescent="0.25">
      <c r="A22" s="27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3907.45</v>
      </c>
      <c r="I22" s="1"/>
      <c r="J22" s="5">
        <f t="shared" si="15"/>
        <v>0.19760374266024819</v>
      </c>
      <c r="K22" s="1"/>
      <c r="L22" s="1">
        <f t="shared" si="16"/>
        <v>-3907.45</v>
      </c>
      <c r="M22" s="1"/>
      <c r="N22" s="5">
        <f t="shared" si="17"/>
        <v>-1</v>
      </c>
      <c r="O22" s="13"/>
      <c r="P22" s="1">
        <f>SUM(OSRRefP22_0x_0)</f>
        <v>0</v>
      </c>
      <c r="Q22" s="1"/>
      <c r="R22" s="5">
        <f t="shared" si="18"/>
        <v>0</v>
      </c>
      <c r="S22" s="1"/>
      <c r="T22" s="1">
        <f>SUM(OSRRefT22_0x_0)</f>
        <v>73093.040000000008</v>
      </c>
      <c r="U22" s="1"/>
      <c r="V22" s="5">
        <f t="shared" si="19"/>
        <v>0.21022694736218434</v>
      </c>
      <c r="W22" s="1"/>
      <c r="X22" s="1">
        <f t="shared" si="20"/>
        <v>-73093.040000000008</v>
      </c>
      <c r="Y22" s="1"/>
      <c r="Z22" s="5">
        <f t="shared" si="21"/>
        <v>-1</v>
      </c>
    </row>
    <row r="23" spans="1:26" s="24" customFormat="1" hidden="1" outlineLevel="2" x14ac:dyDescent="0.25">
      <c r="A23" s="25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4"/>
        <v>0</v>
      </c>
      <c r="G23" s="2"/>
      <c r="H23" s="6">
        <v>929.64</v>
      </c>
      <c r="I23" s="2"/>
      <c r="J23" s="7">
        <f t="shared" si="15"/>
        <v>4.7012845545476752E-2</v>
      </c>
      <c r="K23" s="2"/>
      <c r="L23" s="6">
        <f t="shared" si="16"/>
        <v>-929.64</v>
      </c>
      <c r="M23" s="2"/>
      <c r="N23" s="7">
        <f t="shared" si="17"/>
        <v>-1</v>
      </c>
      <c r="O23" s="11"/>
      <c r="P23" s="6"/>
      <c r="Q23" s="2"/>
      <c r="R23" s="7">
        <f t="shared" si="18"/>
        <v>0</v>
      </c>
      <c r="S23" s="2"/>
      <c r="T23" s="6">
        <v>11014.29</v>
      </c>
      <c r="U23" s="2"/>
      <c r="V23" s="7">
        <f t="shared" si="19"/>
        <v>3.1678810514131489E-2</v>
      </c>
      <c r="W23" s="2"/>
      <c r="X23" s="6">
        <f t="shared" si="20"/>
        <v>-11014.29</v>
      </c>
      <c r="Y23" s="2"/>
      <c r="Z23" s="7">
        <f t="shared" si="21"/>
        <v>-1</v>
      </c>
    </row>
    <row r="24" spans="1:26" s="24" customFormat="1" hidden="1" outlineLevel="2" x14ac:dyDescent="0.25">
      <c r="A24" s="25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4"/>
        <v>0</v>
      </c>
      <c r="G24" s="2"/>
      <c r="H24" s="6">
        <v>467.8</v>
      </c>
      <c r="I24" s="2"/>
      <c r="J24" s="7">
        <f t="shared" si="15"/>
        <v>2.3657124420392868E-2</v>
      </c>
      <c r="K24" s="2"/>
      <c r="L24" s="6">
        <f t="shared" si="16"/>
        <v>-467.8</v>
      </c>
      <c r="M24" s="2"/>
      <c r="N24" s="7">
        <f t="shared" si="17"/>
        <v>-1</v>
      </c>
      <c r="O24" s="11"/>
      <c r="P24" s="6"/>
      <c r="Q24" s="2"/>
      <c r="R24" s="7">
        <f t="shared" si="18"/>
        <v>0</v>
      </c>
      <c r="S24" s="2"/>
      <c r="T24" s="6">
        <v>3538.59</v>
      </c>
      <c r="U24" s="2"/>
      <c r="V24" s="7">
        <f t="shared" si="19"/>
        <v>1.0177535011081108E-2</v>
      </c>
      <c r="W24" s="2"/>
      <c r="X24" s="6">
        <f t="shared" si="20"/>
        <v>-3538.59</v>
      </c>
      <c r="Y24" s="2"/>
      <c r="Z24" s="7">
        <f t="shared" si="21"/>
        <v>-1</v>
      </c>
    </row>
    <row r="25" spans="1:26" s="24" customFormat="1" hidden="1" outlineLevel="2" x14ac:dyDescent="0.25">
      <c r="A25" s="25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4"/>
        <v>0</v>
      </c>
      <c r="G25" s="2"/>
      <c r="H25" s="6">
        <v>1037.1400000000001</v>
      </c>
      <c r="I25" s="2"/>
      <c r="J25" s="7">
        <f t="shared" si="15"/>
        <v>5.2449230486033054E-2</v>
      </c>
      <c r="K25" s="2"/>
      <c r="L25" s="6">
        <f t="shared" si="16"/>
        <v>-1037.1400000000001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32754.080000000002</v>
      </c>
      <c r="U25" s="2"/>
      <c r="V25" s="7">
        <f t="shared" si="19"/>
        <v>9.4205826602050957E-2</v>
      </c>
      <c r="W25" s="2"/>
      <c r="X25" s="6">
        <f t="shared" si="20"/>
        <v>-32754.080000000002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34.909999999999997</v>
      </c>
      <c r="I26" s="2"/>
      <c r="J26" s="7">
        <f t="shared" si="15"/>
        <v>1.7654344025564664E-3</v>
      </c>
      <c r="K26" s="2"/>
      <c r="L26" s="6">
        <f t="shared" si="16"/>
        <v>-34.909999999999997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412.63</v>
      </c>
      <c r="U26" s="2"/>
      <c r="V26" s="7">
        <f t="shared" si="19"/>
        <v>1.1867880346755056E-3</v>
      </c>
      <c r="W26" s="2"/>
      <c r="X26" s="6">
        <f t="shared" si="20"/>
        <v>-412.63</v>
      </c>
      <c r="Y26" s="2"/>
      <c r="Z26" s="7">
        <f t="shared" si="21"/>
        <v>-1</v>
      </c>
    </row>
    <row r="27" spans="1:26" s="24" customFormat="1" hidden="1" outlineLevel="2" x14ac:dyDescent="0.25">
      <c r="A27" s="25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4"/>
        <v>0</v>
      </c>
      <c r="G27" s="2"/>
      <c r="H27" s="6">
        <v>322.38</v>
      </c>
      <c r="I27" s="2"/>
      <c r="J27" s="7">
        <f t="shared" si="15"/>
        <v>1.6303086298944534E-2</v>
      </c>
      <c r="K27" s="2"/>
      <c r="L27" s="6">
        <f t="shared" si="16"/>
        <v>-322.38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5785.71</v>
      </c>
      <c r="U27" s="2"/>
      <c r="V27" s="7">
        <f t="shared" si="19"/>
        <v>1.6640601507651939E-2</v>
      </c>
      <c r="W27" s="2"/>
      <c r="X27" s="6">
        <f t="shared" si="20"/>
        <v>-5785.71</v>
      </c>
      <c r="Y27" s="2"/>
      <c r="Z27" s="7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6"/>
      <c r="E28" s="2"/>
      <c r="F28" s="7">
        <f t="shared" si="14"/>
        <v>0</v>
      </c>
      <c r="G28" s="2"/>
      <c r="H28" s="6">
        <v>411.6</v>
      </c>
      <c r="I28" s="2"/>
      <c r="J28" s="7">
        <f t="shared" si="15"/>
        <v>2.0815032944492742E-2</v>
      </c>
      <c r="K28" s="2"/>
      <c r="L28" s="6">
        <f t="shared" si="16"/>
        <v>-411.6</v>
      </c>
      <c r="M28" s="2"/>
      <c r="N28" s="7">
        <f t="shared" si="17"/>
        <v>-1</v>
      </c>
      <c r="O28" s="11"/>
      <c r="P28" s="6"/>
      <c r="Q28" s="2"/>
      <c r="R28" s="7">
        <f t="shared" si="18"/>
        <v>0</v>
      </c>
      <c r="S28" s="2"/>
      <c r="T28" s="6">
        <v>6982.48</v>
      </c>
      <c r="U28" s="2"/>
      <c r="V28" s="7">
        <f t="shared" si="19"/>
        <v>2.0082698098444183E-2</v>
      </c>
      <c r="W28" s="2"/>
      <c r="X28" s="6">
        <f t="shared" si="20"/>
        <v>-6982.48</v>
      </c>
      <c r="Y28" s="2"/>
      <c r="Z28" s="7">
        <f t="shared" si="21"/>
        <v>-1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6"/>
      <c r="E29" s="2"/>
      <c r="F29" s="7">
        <f t="shared" si="14"/>
        <v>0</v>
      </c>
      <c r="G29" s="2"/>
      <c r="H29" s="6">
        <v>423.1</v>
      </c>
      <c r="I29" s="2"/>
      <c r="J29" s="7">
        <f t="shared" si="15"/>
        <v>2.139659970557551E-2</v>
      </c>
      <c r="K29" s="2"/>
      <c r="L29" s="6">
        <f t="shared" si="16"/>
        <v>-423.1</v>
      </c>
      <c r="M29" s="2"/>
      <c r="N29" s="7">
        <f t="shared" si="17"/>
        <v>-1</v>
      </c>
      <c r="O29" s="11"/>
      <c r="P29" s="6"/>
      <c r="Q29" s="2"/>
      <c r="R29" s="7">
        <f t="shared" si="18"/>
        <v>0</v>
      </c>
      <c r="S29" s="2"/>
      <c r="T29" s="6">
        <v>9312.07</v>
      </c>
      <c r="U29" s="2"/>
      <c r="V29" s="7">
        <f t="shared" si="19"/>
        <v>2.6782961137243377E-2</v>
      </c>
      <c r="W29" s="2"/>
      <c r="X29" s="6">
        <f t="shared" si="20"/>
        <v>-9312.07</v>
      </c>
      <c r="Y29" s="2"/>
      <c r="Z29" s="7">
        <f t="shared" si="21"/>
        <v>-1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6"/>
      <c r="E30" s="2"/>
      <c r="F30" s="7">
        <f t="shared" si="14"/>
        <v>0</v>
      </c>
      <c r="G30" s="2"/>
      <c r="H30" s="6">
        <v>280.88</v>
      </c>
      <c r="I30" s="2"/>
      <c r="J30" s="7">
        <f t="shared" si="15"/>
        <v>1.4204388856776291E-2</v>
      </c>
      <c r="K30" s="2"/>
      <c r="L30" s="6">
        <f t="shared" si="16"/>
        <v>-280.88</v>
      </c>
      <c r="M30" s="2"/>
      <c r="N30" s="7">
        <f t="shared" si="17"/>
        <v>-1</v>
      </c>
      <c r="O30" s="11"/>
      <c r="P30" s="6"/>
      <c r="Q30" s="2"/>
      <c r="R30" s="7">
        <f t="shared" si="18"/>
        <v>0</v>
      </c>
      <c r="S30" s="2"/>
      <c r="T30" s="6">
        <v>3293.19</v>
      </c>
      <c r="U30" s="2"/>
      <c r="V30" s="7">
        <f t="shared" si="19"/>
        <v>9.4717264569057699E-3</v>
      </c>
      <c r="W30" s="2"/>
      <c r="X30" s="6">
        <f t="shared" si="20"/>
        <v>-3293.19</v>
      </c>
      <c r="Y30" s="2"/>
      <c r="Z30" s="7">
        <f t="shared" si="21"/>
        <v>-1</v>
      </c>
    </row>
    <row r="31" spans="1:26" s="26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0</v>
      </c>
      <c r="E31" s="1"/>
      <c r="F31" s="5">
        <f t="shared" ref="F31:F37" si="22">IF(D$12=0,0,D31/D$12)</f>
        <v>0</v>
      </c>
      <c r="G31" s="1"/>
      <c r="H31" s="1">
        <f>SUM(OSRRefH22_1x_0)</f>
        <v>17535.96</v>
      </c>
      <c r="I31" s="1"/>
      <c r="J31" s="5">
        <f t="shared" ref="J31:J37" si="23">IF(H$12=0,0,H31/H$12)</f>
        <v>0.88681143127625583</v>
      </c>
      <c r="K31" s="1"/>
      <c r="L31" s="1">
        <f t="shared" ref="L31:L37" si="24">+D31-H31</f>
        <v>-17535.96</v>
      </c>
      <c r="M31" s="1"/>
      <c r="N31" s="5">
        <f t="shared" ref="N31:N37" si="25">IF(H31=0,0,L31/H31)</f>
        <v>-1</v>
      </c>
      <c r="O31" s="13"/>
      <c r="P31" s="1">
        <f>SUM(OSRRefP22_1x_0)</f>
        <v>0</v>
      </c>
      <c r="Q31" s="1"/>
      <c r="R31" s="5">
        <f t="shared" ref="R31:R37" si="26">IF(P$12=0,0,P31/P$12)</f>
        <v>0</v>
      </c>
      <c r="S31" s="1"/>
      <c r="T31" s="1">
        <f>SUM(OSRRefT22_1x_0)</f>
        <v>167079.95000000001</v>
      </c>
      <c r="U31" s="1"/>
      <c r="V31" s="5">
        <f t="shared" ref="V31:V37" si="27">IF(T$12=0,0,T31/T$12)</f>
        <v>0.48054791337077224</v>
      </c>
      <c r="W31" s="1"/>
      <c r="X31" s="1">
        <f t="shared" ref="X31:X37" si="28">+P31-T31</f>
        <v>-167079.95000000001</v>
      </c>
      <c r="Y31" s="1"/>
      <c r="Z31" s="5">
        <f t="shared" ref="Z31:Z37" si="29">IF(T31=0,0,X31/T31)</f>
        <v>-1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22"/>
        <v>0</v>
      </c>
      <c r="G32" s="2"/>
      <c r="H32" s="6">
        <v>3692.1</v>
      </c>
      <c r="I32" s="2"/>
      <c r="J32" s="7">
        <f t="shared" si="23"/>
        <v>0.18671327292118964</v>
      </c>
      <c r="K32" s="2"/>
      <c r="L32" s="6">
        <f t="shared" si="24"/>
        <v>-3692.1</v>
      </c>
      <c r="M32" s="2"/>
      <c r="N32" s="7">
        <f t="shared" si="25"/>
        <v>-1</v>
      </c>
      <c r="O32" s="11"/>
      <c r="P32" s="6"/>
      <c r="Q32" s="2"/>
      <c r="R32" s="7">
        <f t="shared" si="26"/>
        <v>0</v>
      </c>
      <c r="S32" s="2"/>
      <c r="T32" s="6">
        <v>53976.11</v>
      </c>
      <c r="U32" s="2"/>
      <c r="V32" s="7">
        <f t="shared" si="27"/>
        <v>0.15524368442994668</v>
      </c>
      <c r="W32" s="2"/>
      <c r="X32" s="6">
        <f t="shared" si="28"/>
        <v>-53976.11</v>
      </c>
      <c r="Y32" s="2"/>
      <c r="Z32" s="7">
        <f t="shared" si="29"/>
        <v>-1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22"/>
        <v>0</v>
      </c>
      <c r="G33" s="2"/>
      <c r="H33" s="6">
        <v>5330.79</v>
      </c>
      <c r="I33" s="2"/>
      <c r="J33" s="7">
        <f t="shared" si="23"/>
        <v>0.26958350211412163</v>
      </c>
      <c r="K33" s="2"/>
      <c r="L33" s="6">
        <f t="shared" si="24"/>
        <v>-5330.79</v>
      </c>
      <c r="M33" s="2"/>
      <c r="N33" s="7">
        <f t="shared" si="25"/>
        <v>-1</v>
      </c>
      <c r="O33" s="11"/>
      <c r="P33" s="6"/>
      <c r="Q33" s="2"/>
      <c r="R33" s="7">
        <f t="shared" si="26"/>
        <v>0</v>
      </c>
      <c r="S33" s="2"/>
      <c r="T33" s="6">
        <v>36972.720000000001</v>
      </c>
      <c r="U33" s="2"/>
      <c r="V33" s="7">
        <f t="shared" si="27"/>
        <v>0.10633929114559716</v>
      </c>
      <c r="W33" s="2"/>
      <c r="X33" s="6">
        <f t="shared" si="28"/>
        <v>-36972.720000000001</v>
      </c>
      <c r="Y33" s="2"/>
      <c r="Z33" s="7">
        <f t="shared" si="29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3580.26</v>
      </c>
      <c r="I34" s="2"/>
      <c r="J34" s="7">
        <f t="shared" si="23"/>
        <v>0.18105740974210299</v>
      </c>
      <c r="K34" s="2"/>
      <c r="L34" s="6">
        <f t="shared" si="24"/>
        <v>-3580.26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36319.089999999997</v>
      </c>
      <c r="U34" s="2"/>
      <c r="V34" s="7">
        <f t="shared" si="27"/>
        <v>0.10445934964084726</v>
      </c>
      <c r="W34" s="2"/>
      <c r="X34" s="6">
        <f t="shared" si="28"/>
        <v>-36319.089999999997</v>
      </c>
      <c r="Y34" s="2"/>
      <c r="Z34" s="7">
        <f t="shared" si="29"/>
        <v>-1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1299.6300000000001</v>
      </c>
      <c r="U35" s="2"/>
      <c r="V35" s="7">
        <f t="shared" si="27"/>
        <v>3.7379379432065712E-3</v>
      </c>
      <c r="W35" s="2"/>
      <c r="X35" s="6">
        <f t="shared" si="28"/>
        <v>-1299.6300000000001</v>
      </c>
      <c r="Y35" s="2"/>
      <c r="Z35" s="7">
        <f t="shared" si="29"/>
        <v>-1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4932.8100000000004</v>
      </c>
      <c r="I36" s="2"/>
      <c r="J36" s="7">
        <f t="shared" si="23"/>
        <v>0.24945724649884171</v>
      </c>
      <c r="K36" s="2"/>
      <c r="L36" s="6">
        <f t="shared" si="24"/>
        <v>-4932.8100000000004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35107.18</v>
      </c>
      <c r="U36" s="2"/>
      <c r="V36" s="7">
        <f t="shared" si="27"/>
        <v>0.10097370805612586</v>
      </c>
      <c r="W36" s="2"/>
      <c r="X36" s="6">
        <f t="shared" si="28"/>
        <v>-35107.18</v>
      </c>
      <c r="Y36" s="2"/>
      <c r="Z36" s="7">
        <f t="shared" si="29"/>
        <v>-1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3405.22</v>
      </c>
      <c r="U37" s="2"/>
      <c r="V37" s="7">
        <f t="shared" si="27"/>
        <v>9.7939421550486509E-3</v>
      </c>
      <c r="W37" s="2"/>
      <c r="X37" s="6">
        <f t="shared" si="28"/>
        <v>-3405.22</v>
      </c>
      <c r="Y37" s="2"/>
      <c r="Z37" s="7">
        <f t="shared" si="29"/>
        <v>-1</v>
      </c>
    </row>
    <row r="38" spans="1:26" s="26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4" si="30">IF(D$12=0,0,D38/D$12)</f>
        <v>0</v>
      </c>
      <c r="G38" s="1"/>
      <c r="H38" s="1">
        <f>SUM(OSRRefH22_2x_0)</f>
        <v>66</v>
      </c>
      <c r="I38" s="1"/>
      <c r="J38" s="5">
        <f t="shared" ref="J38:J54" si="31">IF(H$12=0,0,H38/H$12)</f>
        <v>3.3376874983880489E-3</v>
      </c>
      <c r="K38" s="1"/>
      <c r="L38" s="1">
        <f t="shared" ref="L38:L54" si="32">+D38-H38</f>
        <v>-66</v>
      </c>
      <c r="M38" s="1"/>
      <c r="N38" s="5">
        <f t="shared" ref="N38:N54" si="33">IF(H38=0,0,L38/H38)</f>
        <v>-1</v>
      </c>
      <c r="O38" s="13"/>
      <c r="P38" s="1">
        <f>SUM(OSRRefP22_2x_0)</f>
        <v>0</v>
      </c>
      <c r="Q38" s="1"/>
      <c r="R38" s="5">
        <f t="shared" ref="R38:R54" si="34">IF(P$12=0,0,P38/P$12)</f>
        <v>0</v>
      </c>
      <c r="S38" s="1"/>
      <c r="T38" s="1">
        <f>SUM(OSRRefT22_2x_0)</f>
        <v>405.52</v>
      </c>
      <c r="U38" s="1"/>
      <c r="V38" s="5">
        <f t="shared" ref="V38:V54" si="35">IF(T$12=0,0,T38/T$12)</f>
        <v>1.1663385692305722E-3</v>
      </c>
      <c r="W38" s="1"/>
      <c r="X38" s="1">
        <f t="shared" ref="X38:X54" si="36">+P38-T38</f>
        <v>-405.52</v>
      </c>
      <c r="Y38" s="1"/>
      <c r="Z38" s="5">
        <f t="shared" ref="Z38:Z54" si="37">IF(T38=0,0,X38/T38)</f>
        <v>-1</v>
      </c>
    </row>
    <row r="39" spans="1:26" s="24" customFormat="1" hidden="1" outlineLevel="2" x14ac:dyDescent="0.25">
      <c r="A39" s="25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66</v>
      </c>
      <c r="I39" s="2"/>
      <c r="J39" s="7">
        <f t="shared" si="31"/>
        <v>3.3376874983880489E-3</v>
      </c>
      <c r="K39" s="2"/>
      <c r="L39" s="6">
        <f t="shared" si="32"/>
        <v>-66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405.52</v>
      </c>
      <c r="U39" s="2"/>
      <c r="V39" s="7">
        <f t="shared" si="35"/>
        <v>1.1663385692305722E-3</v>
      </c>
      <c r="W39" s="2"/>
      <c r="X39" s="6">
        <f t="shared" si="36"/>
        <v>-405.52</v>
      </c>
      <c r="Y39" s="2"/>
      <c r="Z39" s="7">
        <f t="shared" si="37"/>
        <v>-1</v>
      </c>
    </row>
    <row r="40" spans="1:26" s="26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-0.91</v>
      </c>
      <c r="I40" s="1"/>
      <c r="J40" s="5">
        <f t="shared" si="31"/>
        <v>-4.60196306595928E-5</v>
      </c>
      <c r="K40" s="1"/>
      <c r="L40" s="1">
        <f t="shared" si="32"/>
        <v>0.91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-0.68</v>
      </c>
      <c r="U40" s="1"/>
      <c r="V40" s="5">
        <f t="shared" si="35"/>
        <v>-1.9557857246912338E-6</v>
      </c>
      <c r="W40" s="1"/>
      <c r="X40" s="1">
        <f t="shared" si="36"/>
        <v>0.68</v>
      </c>
      <c r="Y40" s="1"/>
      <c r="Z40" s="5">
        <f t="shared" si="37"/>
        <v>-1</v>
      </c>
    </row>
    <row r="41" spans="1:26" s="24" customFormat="1" hidden="1" outlineLevel="2" x14ac:dyDescent="0.25">
      <c r="A41" s="25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-0.91</v>
      </c>
      <c r="I41" s="2"/>
      <c r="J41" s="7">
        <f t="shared" si="31"/>
        <v>-4.60196306595928E-5</v>
      </c>
      <c r="K41" s="2"/>
      <c r="L41" s="6">
        <f t="shared" si="32"/>
        <v>0.91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-0.68</v>
      </c>
      <c r="U41" s="2"/>
      <c r="V41" s="7">
        <f t="shared" si="35"/>
        <v>-1.9557857246912338E-6</v>
      </c>
      <c r="W41" s="2"/>
      <c r="X41" s="6">
        <f t="shared" si="36"/>
        <v>0.68</v>
      </c>
      <c r="Y41" s="2"/>
      <c r="Z41" s="7">
        <f t="shared" si="37"/>
        <v>-1</v>
      </c>
    </row>
    <row r="42" spans="1:26" s="26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339.44</v>
      </c>
      <c r="I42" s="1"/>
      <c r="J42" s="5">
        <f t="shared" si="31"/>
        <v>1.7165827946255142E-2</v>
      </c>
      <c r="K42" s="1"/>
      <c r="L42" s="1">
        <f t="shared" si="32"/>
        <v>-339.44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4899.1099999999997</v>
      </c>
      <c r="U42" s="1"/>
      <c r="V42" s="5">
        <f t="shared" si="35"/>
        <v>1.4090602061311866E-2</v>
      </c>
      <c r="W42" s="1"/>
      <c r="X42" s="1">
        <f t="shared" si="36"/>
        <v>-4899.1099999999997</v>
      </c>
      <c r="Y42" s="1"/>
      <c r="Z42" s="5">
        <f t="shared" si="37"/>
        <v>-1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339.44</v>
      </c>
      <c r="I43" s="2"/>
      <c r="J43" s="7">
        <f t="shared" si="31"/>
        <v>1.7165827946255142E-2</v>
      </c>
      <c r="K43" s="2"/>
      <c r="L43" s="6">
        <f t="shared" si="32"/>
        <v>-339.44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4899.1099999999997</v>
      </c>
      <c r="U43" s="2"/>
      <c r="V43" s="7">
        <f t="shared" si="35"/>
        <v>1.4090602061311866E-2</v>
      </c>
      <c r="W43" s="2"/>
      <c r="X43" s="6">
        <f t="shared" si="36"/>
        <v>-4899.1099999999997</v>
      </c>
      <c r="Y43" s="2"/>
      <c r="Z43" s="7">
        <f t="shared" si="37"/>
        <v>-1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577.36</v>
      </c>
      <c r="E44" s="1"/>
      <c r="F44" s="5">
        <f t="shared" si="30"/>
        <v>0</v>
      </c>
      <c r="G44" s="1"/>
      <c r="H44" s="1">
        <f>SUM(OSRRefH22_5x_0)</f>
        <v>297.99</v>
      </c>
      <c r="I44" s="1"/>
      <c r="J44" s="5">
        <f t="shared" si="31"/>
        <v>1.5069659055222041E-2</v>
      </c>
      <c r="K44" s="1"/>
      <c r="L44" s="1">
        <f t="shared" si="32"/>
        <v>279.37</v>
      </c>
      <c r="M44" s="1"/>
      <c r="N44" s="5">
        <f t="shared" si="33"/>
        <v>0.93751468170072816</v>
      </c>
      <c r="O44" s="13"/>
      <c r="P44" s="1">
        <f>SUM(OSRRefP22_5x_0)</f>
        <v>4380.51</v>
      </c>
      <c r="Q44" s="1"/>
      <c r="R44" s="5">
        <f t="shared" si="34"/>
        <v>0</v>
      </c>
      <c r="S44" s="1"/>
      <c r="T44" s="1">
        <f>SUM(OSRRefT22_5x_0)</f>
        <v>2085.9299999999998</v>
      </c>
      <c r="U44" s="1"/>
      <c r="V44" s="5">
        <f t="shared" si="35"/>
        <v>5.9994589951546835E-3</v>
      </c>
      <c r="W44" s="1"/>
      <c r="X44" s="1">
        <f t="shared" si="36"/>
        <v>2294.5800000000004</v>
      </c>
      <c r="Y44" s="1"/>
      <c r="Z44" s="5">
        <f t="shared" si="37"/>
        <v>1.1000273259409474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577.36</v>
      </c>
      <c r="E45" s="2"/>
      <c r="F45" s="7">
        <f t="shared" si="30"/>
        <v>0</v>
      </c>
      <c r="G45" s="2"/>
      <c r="H45" s="6">
        <v>297.99</v>
      </c>
      <c r="I45" s="2"/>
      <c r="J45" s="7">
        <f t="shared" si="31"/>
        <v>1.5069659055222041E-2</v>
      </c>
      <c r="K45" s="2"/>
      <c r="L45" s="6">
        <f t="shared" si="32"/>
        <v>279.37</v>
      </c>
      <c r="M45" s="2"/>
      <c r="N45" s="7">
        <f t="shared" si="33"/>
        <v>0.93751468170072816</v>
      </c>
      <c r="O45" s="11"/>
      <c r="P45" s="6">
        <v>4380.51</v>
      </c>
      <c r="Q45" s="2"/>
      <c r="R45" s="7">
        <f t="shared" si="34"/>
        <v>0</v>
      </c>
      <c r="S45" s="2"/>
      <c r="T45" s="6">
        <v>2085.9299999999998</v>
      </c>
      <c r="U45" s="2"/>
      <c r="V45" s="7">
        <f t="shared" si="35"/>
        <v>5.9994589951546835E-3</v>
      </c>
      <c r="W45" s="2"/>
      <c r="X45" s="6">
        <f t="shared" si="36"/>
        <v>2294.5800000000004</v>
      </c>
      <c r="Y45" s="2"/>
      <c r="Z45" s="7">
        <f t="shared" si="37"/>
        <v>1.1000273259409474</v>
      </c>
    </row>
    <row r="46" spans="1:26" s="26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0</v>
      </c>
      <c r="I46" s="1"/>
      <c r="J46" s="5">
        <f t="shared" si="31"/>
        <v>0</v>
      </c>
      <c r="K46" s="1"/>
      <c r="L46" s="1">
        <f t="shared" si="32"/>
        <v>0</v>
      </c>
      <c r="M46" s="1"/>
      <c r="N46" s="5">
        <f t="shared" si="33"/>
        <v>0</v>
      </c>
      <c r="O46" s="13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60</v>
      </c>
      <c r="U46" s="1"/>
      <c r="V46" s="5">
        <f t="shared" si="35"/>
        <v>1.7256932864922651E-4</v>
      </c>
      <c r="W46" s="1"/>
      <c r="X46" s="1">
        <f t="shared" si="36"/>
        <v>-60</v>
      </c>
      <c r="Y46" s="1"/>
      <c r="Z46" s="5">
        <f t="shared" si="37"/>
        <v>-1</v>
      </c>
    </row>
    <row r="47" spans="1:26" s="24" customFormat="1" hidden="1" outlineLevel="2" x14ac:dyDescent="0.25">
      <c r="A47" s="25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0</v>
      </c>
      <c r="M47" s="2"/>
      <c r="N47" s="7">
        <f t="shared" si="33"/>
        <v>0</v>
      </c>
      <c r="O47" s="11"/>
      <c r="P47" s="6"/>
      <c r="Q47" s="2"/>
      <c r="R47" s="7">
        <f t="shared" si="34"/>
        <v>0</v>
      </c>
      <c r="S47" s="2"/>
      <c r="T47" s="6">
        <v>60</v>
      </c>
      <c r="U47" s="2"/>
      <c r="V47" s="7">
        <f t="shared" si="35"/>
        <v>1.7256932864922651E-4</v>
      </c>
      <c r="W47" s="2"/>
      <c r="X47" s="6">
        <f t="shared" si="36"/>
        <v>-60</v>
      </c>
      <c r="Y47" s="2"/>
      <c r="Z47" s="7">
        <f t="shared" si="37"/>
        <v>-1</v>
      </c>
    </row>
    <row r="48" spans="1:26" s="26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142.66</v>
      </c>
      <c r="I48" s="1"/>
      <c r="J48" s="5">
        <f t="shared" si="31"/>
        <v>7.2144620987884701E-3</v>
      </c>
      <c r="K48" s="1"/>
      <c r="L48" s="1">
        <f t="shared" si="32"/>
        <v>-142.66</v>
      </c>
      <c r="M48" s="1"/>
      <c r="N48" s="5">
        <f t="shared" si="33"/>
        <v>-1</v>
      </c>
      <c r="O48" s="13"/>
      <c r="P48" s="1">
        <f>SUM(OSRRefP22_7x_0)</f>
        <v>16.239999999999998</v>
      </c>
      <c r="Q48" s="1"/>
      <c r="R48" s="5">
        <f t="shared" si="34"/>
        <v>0</v>
      </c>
      <c r="S48" s="1"/>
      <c r="T48" s="1">
        <f>SUM(OSRRefT22_7x_0)</f>
        <v>742.48</v>
      </c>
      <c r="U48" s="1"/>
      <c r="V48" s="5">
        <f t="shared" si="35"/>
        <v>2.1354879189246284E-3</v>
      </c>
      <c r="W48" s="1"/>
      <c r="X48" s="1">
        <f t="shared" si="36"/>
        <v>-726.24</v>
      </c>
      <c r="Y48" s="1"/>
      <c r="Z48" s="5">
        <f t="shared" si="37"/>
        <v>-0.97812735696584419</v>
      </c>
    </row>
    <row r="49" spans="1:26" s="24" customFormat="1" hidden="1" outlineLevel="2" x14ac:dyDescent="0.25">
      <c r="A49" s="25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30"/>
        <v>0</v>
      </c>
      <c r="G49" s="2"/>
      <c r="H49" s="6">
        <v>142.66</v>
      </c>
      <c r="I49" s="2"/>
      <c r="J49" s="7">
        <f t="shared" si="31"/>
        <v>7.2144620987884701E-3</v>
      </c>
      <c r="K49" s="2"/>
      <c r="L49" s="6">
        <f t="shared" si="32"/>
        <v>-142.66</v>
      </c>
      <c r="M49" s="2"/>
      <c r="N49" s="7">
        <f t="shared" si="33"/>
        <v>-1</v>
      </c>
      <c r="O49" s="11"/>
      <c r="P49" s="6">
        <v>16.239999999999998</v>
      </c>
      <c r="Q49" s="2"/>
      <c r="R49" s="7">
        <f t="shared" si="34"/>
        <v>0</v>
      </c>
      <c r="S49" s="2"/>
      <c r="T49" s="6">
        <v>742.48</v>
      </c>
      <c r="U49" s="2"/>
      <c r="V49" s="7">
        <f t="shared" si="35"/>
        <v>2.1354879189246284E-3</v>
      </c>
      <c r="W49" s="2"/>
      <c r="X49" s="6">
        <f t="shared" si="36"/>
        <v>-726.24</v>
      </c>
      <c r="Y49" s="2"/>
      <c r="Z49" s="7">
        <f t="shared" si="37"/>
        <v>-0.97812735696584419</v>
      </c>
    </row>
    <row r="50" spans="1:26" s="26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30"/>
        <v>0</v>
      </c>
      <c r="G50" s="1"/>
      <c r="H50" s="1">
        <f>SUM(OSRRefH22_8x_0)</f>
        <v>407</v>
      </c>
      <c r="I50" s="1"/>
      <c r="J50" s="5">
        <f t="shared" si="31"/>
        <v>2.0582406240059636E-2</v>
      </c>
      <c r="K50" s="1"/>
      <c r="L50" s="1">
        <f t="shared" si="32"/>
        <v>-407</v>
      </c>
      <c r="M50" s="1"/>
      <c r="N50" s="5">
        <f t="shared" si="33"/>
        <v>-1</v>
      </c>
      <c r="O50" s="13"/>
      <c r="P50" s="1">
        <f>SUM(OSRRefP22_8x_0)</f>
        <v>0</v>
      </c>
      <c r="Q50" s="1"/>
      <c r="R50" s="5">
        <f t="shared" si="34"/>
        <v>0</v>
      </c>
      <c r="S50" s="1"/>
      <c r="T50" s="1">
        <f>SUM(OSRRefT22_8x_0)</f>
        <v>2898.74</v>
      </c>
      <c r="U50" s="1"/>
      <c r="V50" s="5">
        <f t="shared" si="35"/>
        <v>8.3372269288109792E-3</v>
      </c>
      <c r="W50" s="1"/>
      <c r="X50" s="1">
        <f t="shared" si="36"/>
        <v>-2898.74</v>
      </c>
      <c r="Y50" s="1"/>
      <c r="Z50" s="5">
        <f t="shared" si="37"/>
        <v>-1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30"/>
        <v>0</v>
      </c>
      <c r="G51" s="2"/>
      <c r="H51" s="6">
        <v>407</v>
      </c>
      <c r="I51" s="2"/>
      <c r="J51" s="7">
        <f t="shared" si="31"/>
        <v>2.0582406240059636E-2</v>
      </c>
      <c r="K51" s="2"/>
      <c r="L51" s="6">
        <f t="shared" si="32"/>
        <v>-407</v>
      </c>
      <c r="M51" s="2"/>
      <c r="N51" s="7">
        <f t="shared" si="33"/>
        <v>-1</v>
      </c>
      <c r="O51" s="11"/>
      <c r="P51" s="6"/>
      <c r="Q51" s="2"/>
      <c r="R51" s="7">
        <f t="shared" si="34"/>
        <v>0</v>
      </c>
      <c r="S51" s="2"/>
      <c r="T51" s="6">
        <v>2898.74</v>
      </c>
      <c r="U51" s="2"/>
      <c r="V51" s="7">
        <f t="shared" si="35"/>
        <v>8.3372269288109792E-3</v>
      </c>
      <c r="W51" s="2"/>
      <c r="X51" s="6">
        <f t="shared" si="36"/>
        <v>-2898.74</v>
      </c>
      <c r="Y51" s="2"/>
      <c r="Z51" s="7">
        <f t="shared" si="37"/>
        <v>-1</v>
      </c>
    </row>
    <row r="52" spans="1:26" s="26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0</v>
      </c>
      <c r="E52" s="1"/>
      <c r="F52" s="5">
        <f t="shared" si="30"/>
        <v>0</v>
      </c>
      <c r="G52" s="1"/>
      <c r="H52" s="1">
        <f>SUM(OSRRefH22_9x_0)</f>
        <v>253.19</v>
      </c>
      <c r="I52" s="1"/>
      <c r="J52" s="5">
        <f t="shared" si="31"/>
        <v>1.2804077238134396E-2</v>
      </c>
      <c r="K52" s="1"/>
      <c r="L52" s="1">
        <f t="shared" si="32"/>
        <v>-253.19</v>
      </c>
      <c r="M52" s="1"/>
      <c r="N52" s="5">
        <f t="shared" si="33"/>
        <v>-1</v>
      </c>
      <c r="O52" s="13"/>
      <c r="P52" s="1">
        <f>SUM(OSRRefP22_9x_0)</f>
        <v>1616.5300000000002</v>
      </c>
      <c r="Q52" s="1"/>
      <c r="R52" s="5">
        <f t="shared" si="34"/>
        <v>0</v>
      </c>
      <c r="S52" s="1"/>
      <c r="T52" s="1">
        <f>SUM(OSRRefT22_9x_0)</f>
        <v>5294.83</v>
      </c>
      <c r="U52" s="1"/>
      <c r="V52" s="5">
        <f t="shared" si="35"/>
        <v>1.5228754306863067E-2</v>
      </c>
      <c r="W52" s="1"/>
      <c r="X52" s="1">
        <f t="shared" si="36"/>
        <v>-3678.2999999999997</v>
      </c>
      <c r="Y52" s="1"/>
      <c r="Z52" s="5">
        <f t="shared" si="37"/>
        <v>-0.69469652472317334</v>
      </c>
    </row>
    <row r="53" spans="1:26" s="24" customFormat="1" hidden="1" outlineLevel="2" x14ac:dyDescent="0.25">
      <c r="A53" s="25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30"/>
        <v>0</v>
      </c>
      <c r="G53" s="2"/>
      <c r="H53" s="6"/>
      <c r="I53" s="2"/>
      <c r="J53" s="7">
        <f t="shared" si="31"/>
        <v>0</v>
      </c>
      <c r="K53" s="2"/>
      <c r="L53" s="6">
        <f t="shared" si="32"/>
        <v>0</v>
      </c>
      <c r="M53" s="2"/>
      <c r="N53" s="7">
        <f t="shared" si="33"/>
        <v>0</v>
      </c>
      <c r="O53" s="11"/>
      <c r="P53" s="6">
        <v>278.39999999999998</v>
      </c>
      <c r="Q53" s="2"/>
      <c r="R53" s="7">
        <f t="shared" si="34"/>
        <v>0</v>
      </c>
      <c r="S53" s="2"/>
      <c r="T53" s="6">
        <v>1071.28</v>
      </c>
      <c r="U53" s="2"/>
      <c r="V53" s="7">
        <f t="shared" si="35"/>
        <v>3.0811678399223896E-3</v>
      </c>
      <c r="W53" s="2"/>
      <c r="X53" s="6">
        <f t="shared" si="36"/>
        <v>-792.88</v>
      </c>
      <c r="Y53" s="2"/>
      <c r="Z53" s="7">
        <f t="shared" si="37"/>
        <v>-0.7401239638563214</v>
      </c>
    </row>
    <row r="54" spans="1:26" s="24" customFormat="1" hidden="1" outlineLevel="2" x14ac:dyDescent="0.25">
      <c r="A54" s="25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30"/>
        <v>0</v>
      </c>
      <c r="G54" s="2"/>
      <c r="H54" s="6">
        <v>253.19</v>
      </c>
      <c r="I54" s="2"/>
      <c r="J54" s="7">
        <f t="shared" si="31"/>
        <v>1.2804077238134396E-2</v>
      </c>
      <c r="K54" s="2"/>
      <c r="L54" s="6">
        <f t="shared" si="32"/>
        <v>-253.19</v>
      </c>
      <c r="M54" s="2"/>
      <c r="N54" s="7">
        <f t="shared" si="33"/>
        <v>-1</v>
      </c>
      <c r="O54" s="11"/>
      <c r="P54" s="6">
        <v>1338.13</v>
      </c>
      <c r="Q54" s="2"/>
      <c r="R54" s="7">
        <f t="shared" si="34"/>
        <v>0</v>
      </c>
      <c r="S54" s="2"/>
      <c r="T54" s="6">
        <v>4223.55</v>
      </c>
      <c r="U54" s="2"/>
      <c r="V54" s="7">
        <f t="shared" si="35"/>
        <v>1.2147586466940677E-2</v>
      </c>
      <c r="W54" s="2"/>
      <c r="X54" s="6">
        <f t="shared" si="36"/>
        <v>-2885.42</v>
      </c>
      <c r="Y54" s="2"/>
      <c r="Z54" s="7">
        <f t="shared" si="37"/>
        <v>-0.68317410709000725</v>
      </c>
    </row>
    <row r="55" spans="1:26" s="26" customFormat="1" outlineLevel="1" collapsed="1" x14ac:dyDescent="0.25">
      <c r="A55" s="27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SUM(OSRRefD22_10x_0)</f>
        <v>0</v>
      </c>
      <c r="E55" s="1"/>
      <c r="F55" s="5">
        <f t="shared" ref="F55:F57" si="38">IF(D$12=0,0,D55/D$12)</f>
        <v>0</v>
      </c>
      <c r="G55" s="1"/>
      <c r="H55" s="1">
        <f>SUM(OSRRefH22_10x_0)</f>
        <v>1648.93</v>
      </c>
      <c r="I55" s="1"/>
      <c r="J55" s="5">
        <f t="shared" ref="J55:J57" si="39">IF(H$12=0,0,H55/H$12)</f>
        <v>8.3388076465409175E-2</v>
      </c>
      <c r="K55" s="1"/>
      <c r="L55" s="1">
        <f t="shared" ref="L55:L57" si="40">+D55-H55</f>
        <v>-1648.93</v>
      </c>
      <c r="M55" s="1"/>
      <c r="N55" s="5">
        <f t="shared" ref="N55:N57" si="41">IF(H55=0,0,L55/H55)</f>
        <v>-1</v>
      </c>
      <c r="O55" s="13"/>
      <c r="P55" s="1">
        <f>SUM(OSRRefP22_10x_0)</f>
        <v>320.58</v>
      </c>
      <c r="Q55" s="1"/>
      <c r="R55" s="5">
        <f t="shared" ref="R55:R57" si="42">IF(P$12=0,0,P55/P$12)</f>
        <v>0</v>
      </c>
      <c r="S55" s="1"/>
      <c r="T55" s="1">
        <f>SUM(OSRRefT22_10x_0)</f>
        <v>15582.59</v>
      </c>
      <c r="U55" s="1"/>
      <c r="V55" s="5">
        <f t="shared" ref="V55:V57" si="43">IF(T$12=0,0,T55/T$12)</f>
        <v>4.4817951581935841E-2</v>
      </c>
      <c r="W55" s="1"/>
      <c r="X55" s="1">
        <f t="shared" ref="X55:X57" si="44">+P55-T55</f>
        <v>-15262.01</v>
      </c>
      <c r="Y55" s="1"/>
      <c r="Z55" s="5">
        <f t="shared" ref="Z55:Z57" si="45">IF(T55=0,0,X55/T55)</f>
        <v>-0.97942704004918313</v>
      </c>
    </row>
    <row r="56" spans="1:26" s="24" customFormat="1" hidden="1" outlineLevel="2" x14ac:dyDescent="0.25">
      <c r="A56" s="25"/>
      <c r="B56" s="11" t="str">
        <f>CONCATENATE("          ", "6283", " - ", "PLANT SERVICE")</f>
        <v xml:space="preserve">          6283 - PLANT SERVICE</v>
      </c>
      <c r="C56" s="11"/>
      <c r="D56" s="6"/>
      <c r="E56" s="2"/>
      <c r="F56" s="7">
        <f t="shared" si="38"/>
        <v>0</v>
      </c>
      <c r="G56" s="2"/>
      <c r="H56" s="6"/>
      <c r="I56" s="2"/>
      <c r="J56" s="7">
        <f t="shared" si="39"/>
        <v>0</v>
      </c>
      <c r="K56" s="2"/>
      <c r="L56" s="6">
        <f t="shared" si="40"/>
        <v>0</v>
      </c>
      <c r="M56" s="2"/>
      <c r="N56" s="7">
        <f t="shared" si="41"/>
        <v>0</v>
      </c>
      <c r="O56" s="11"/>
      <c r="P56" s="6"/>
      <c r="Q56" s="2"/>
      <c r="R56" s="7">
        <f t="shared" si="42"/>
        <v>0</v>
      </c>
      <c r="S56" s="2"/>
      <c r="T56" s="6">
        <v>251.8</v>
      </c>
      <c r="U56" s="2"/>
      <c r="V56" s="7">
        <f t="shared" si="43"/>
        <v>7.2421594923125399E-4</v>
      </c>
      <c r="W56" s="2"/>
      <c r="X56" s="6">
        <f t="shared" si="44"/>
        <v>-251.8</v>
      </c>
      <c r="Y56" s="2"/>
      <c r="Z56" s="7">
        <f t="shared" si="45"/>
        <v>-1</v>
      </c>
    </row>
    <row r="57" spans="1:26" s="24" customFormat="1" hidden="1" outlineLevel="2" x14ac:dyDescent="0.25">
      <c r="A57" s="25"/>
      <c r="B57" s="11" t="str">
        <f>CONCATENATE("          ", "6286", " - ", "LAUNDRY EXPENSE")</f>
        <v xml:space="preserve">          6286 - LAUNDRY EXPENSE</v>
      </c>
      <c r="C57" s="11"/>
      <c r="D57" s="6"/>
      <c r="E57" s="2"/>
      <c r="F57" s="7">
        <f t="shared" si="38"/>
        <v>0</v>
      </c>
      <c r="G57" s="2"/>
      <c r="H57" s="6">
        <v>1648.93</v>
      </c>
      <c r="I57" s="2"/>
      <c r="J57" s="7">
        <f t="shared" si="39"/>
        <v>8.3388076465409175E-2</v>
      </c>
      <c r="K57" s="2"/>
      <c r="L57" s="6">
        <f t="shared" si="40"/>
        <v>-1648.93</v>
      </c>
      <c r="M57" s="2"/>
      <c r="N57" s="7">
        <f t="shared" si="41"/>
        <v>-1</v>
      </c>
      <c r="O57" s="11"/>
      <c r="P57" s="6">
        <v>320.58</v>
      </c>
      <c r="Q57" s="2"/>
      <c r="R57" s="7">
        <f t="shared" si="42"/>
        <v>0</v>
      </c>
      <c r="S57" s="2"/>
      <c r="T57" s="6">
        <v>15330.79</v>
      </c>
      <c r="U57" s="2"/>
      <c r="V57" s="7">
        <f t="shared" si="43"/>
        <v>4.4093735632704592E-2</v>
      </c>
      <c r="W57" s="2"/>
      <c r="X57" s="6">
        <f t="shared" si="44"/>
        <v>-15010.210000000001</v>
      </c>
      <c r="Y57" s="2"/>
      <c r="Z57" s="7">
        <f t="shared" si="45"/>
        <v>-0.97908914022043225</v>
      </c>
    </row>
    <row r="58" spans="1:26" s="26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SUM(OSRRefD22_11x_0)</f>
        <v>0</v>
      </c>
      <c r="E58" s="1"/>
      <c r="F58" s="5">
        <f t="shared" ref="F58:F64" si="46">IF(D$12=0,0,D58/D$12)</f>
        <v>0</v>
      </c>
      <c r="G58" s="1"/>
      <c r="H58" s="1">
        <f>SUM(OSRRefH22_11x_0)</f>
        <v>548.05999999999995</v>
      </c>
      <c r="I58" s="1"/>
      <c r="J58" s="5">
        <f t="shared" ref="J58:J64" si="47">IF(H$12=0,0,H58/H$12)</f>
        <v>2.7715954702523544E-2</v>
      </c>
      <c r="K58" s="1"/>
      <c r="L58" s="1">
        <f t="shared" ref="L58:L64" si="48">+D58-H58</f>
        <v>-548.05999999999995</v>
      </c>
      <c r="M58" s="1"/>
      <c r="N58" s="5">
        <f t="shared" ref="N58:N64" si="49">IF(H58=0,0,L58/H58)</f>
        <v>-1</v>
      </c>
      <c r="O58" s="13"/>
      <c r="P58" s="1">
        <f>SUM(OSRRefP22_11x_0)</f>
        <v>0</v>
      </c>
      <c r="Q58" s="1"/>
      <c r="R58" s="5">
        <f t="shared" ref="R58:R64" si="50">IF(P$12=0,0,P58/P$12)</f>
        <v>0</v>
      </c>
      <c r="S58" s="1"/>
      <c r="T58" s="1">
        <f>SUM(OSRRefT22_11x_0)</f>
        <v>9361.7300000000014</v>
      </c>
      <c r="U58" s="1"/>
      <c r="V58" s="5">
        <f t="shared" ref="V58:V64" si="51">IF(T$12=0,0,T58/T$12)</f>
        <v>2.6925791018255391E-2</v>
      </c>
      <c r="W58" s="1"/>
      <c r="X58" s="1">
        <f t="shared" ref="X58:X64" si="52">+P58-T58</f>
        <v>-9361.7300000000014</v>
      </c>
      <c r="Y58" s="1"/>
      <c r="Z58" s="5">
        <f t="shared" ref="Z58:Z64" si="53">IF(T58=0,0,X58/T58)</f>
        <v>-1</v>
      </c>
    </row>
    <row r="59" spans="1:26" s="24" customFormat="1" hidden="1" outlineLevel="2" x14ac:dyDescent="0.25">
      <c r="A59" s="25"/>
      <c r="B59" s="11" t="str">
        <f>CONCATENATE("          ", "6234", " - ", "EXPENDABLE SUPPLIES &amp; EQUIPMEN")</f>
        <v xml:space="preserve">          6234 - EXPENDABLE SUPPLIES &amp; EQUIPMEN</v>
      </c>
      <c r="C59" s="11"/>
      <c r="D59" s="6"/>
      <c r="E59" s="2"/>
      <c r="F59" s="7">
        <f t="shared" si="46"/>
        <v>0</v>
      </c>
      <c r="G59" s="2"/>
      <c r="H59" s="6"/>
      <c r="I59" s="2"/>
      <c r="J59" s="7">
        <f t="shared" si="47"/>
        <v>0</v>
      </c>
      <c r="K59" s="2"/>
      <c r="L59" s="6">
        <f t="shared" si="48"/>
        <v>0</v>
      </c>
      <c r="M59" s="2"/>
      <c r="N59" s="7">
        <f t="shared" si="49"/>
        <v>0</v>
      </c>
      <c r="O59" s="11"/>
      <c r="P59" s="6"/>
      <c r="Q59" s="2"/>
      <c r="R59" s="7">
        <f t="shared" si="50"/>
        <v>0</v>
      </c>
      <c r="S59" s="2"/>
      <c r="T59" s="6">
        <v>287.29000000000002</v>
      </c>
      <c r="U59" s="2"/>
      <c r="V59" s="7">
        <f t="shared" si="51"/>
        <v>8.2629070712727148E-4</v>
      </c>
      <c r="W59" s="2"/>
      <c r="X59" s="6">
        <f t="shared" si="52"/>
        <v>-287.29000000000002</v>
      </c>
      <c r="Y59" s="2"/>
      <c r="Z59" s="7">
        <f t="shared" si="53"/>
        <v>-1</v>
      </c>
    </row>
    <row r="60" spans="1:26" s="24" customFormat="1" hidden="1" outlineLevel="2" x14ac:dyDescent="0.25">
      <c r="A60" s="25"/>
      <c r="B60" s="11" t="str">
        <f>CONCATENATE("          ", "6239", " - ", "KITCHEN SUPPLIES")</f>
        <v xml:space="preserve">          6239 - KITCHEN SUPPLIES</v>
      </c>
      <c r="C60" s="11"/>
      <c r="D60" s="6"/>
      <c r="E60" s="2"/>
      <c r="F60" s="7">
        <f t="shared" si="46"/>
        <v>0</v>
      </c>
      <c r="G60" s="2"/>
      <c r="H60" s="6">
        <v>160.26</v>
      </c>
      <c r="I60" s="2"/>
      <c r="J60" s="7">
        <f t="shared" si="47"/>
        <v>8.1045120983586159E-3</v>
      </c>
      <c r="K60" s="2"/>
      <c r="L60" s="6">
        <f t="shared" si="48"/>
        <v>-160.26</v>
      </c>
      <c r="M60" s="2"/>
      <c r="N60" s="7">
        <f t="shared" si="49"/>
        <v>-1</v>
      </c>
      <c r="O60" s="11"/>
      <c r="P60" s="6"/>
      <c r="Q60" s="2"/>
      <c r="R60" s="7">
        <f t="shared" si="50"/>
        <v>0</v>
      </c>
      <c r="S60" s="2"/>
      <c r="T60" s="6">
        <v>3509.53</v>
      </c>
      <c r="U60" s="2"/>
      <c r="V60" s="7">
        <f t="shared" si="51"/>
        <v>1.0093953932905332E-2</v>
      </c>
      <c r="W60" s="2"/>
      <c r="X60" s="6">
        <f t="shared" si="52"/>
        <v>-3509.53</v>
      </c>
      <c r="Y60" s="2"/>
      <c r="Z60" s="7">
        <f t="shared" si="53"/>
        <v>-1</v>
      </c>
    </row>
    <row r="61" spans="1:26" s="24" customFormat="1" hidden="1" outlineLevel="2" x14ac:dyDescent="0.25">
      <c r="A61" s="25"/>
      <c r="B61" s="11" t="str">
        <f>CONCATENATE("          ", "6241", " - ", "OFFICE EXPENSE")</f>
        <v xml:space="preserve">          6241 - OFFICE EXPENSE</v>
      </c>
      <c r="C61" s="11"/>
      <c r="D61" s="6"/>
      <c r="E61" s="2"/>
      <c r="F61" s="7">
        <f t="shared" si="46"/>
        <v>0</v>
      </c>
      <c r="G61" s="2"/>
      <c r="H61" s="6">
        <v>6.97</v>
      </c>
      <c r="I61" s="2"/>
      <c r="J61" s="7">
        <f t="shared" si="47"/>
        <v>3.5248002823885907E-4</v>
      </c>
      <c r="K61" s="2"/>
      <c r="L61" s="6">
        <f t="shared" si="48"/>
        <v>-6.97</v>
      </c>
      <c r="M61" s="2"/>
      <c r="N61" s="7">
        <f t="shared" si="49"/>
        <v>-1</v>
      </c>
      <c r="O61" s="11"/>
      <c r="P61" s="6"/>
      <c r="Q61" s="2"/>
      <c r="R61" s="7">
        <f t="shared" si="50"/>
        <v>0</v>
      </c>
      <c r="S61" s="2"/>
      <c r="T61" s="6">
        <v>649.69000000000005</v>
      </c>
      <c r="U61" s="2"/>
      <c r="V61" s="7">
        <f t="shared" si="51"/>
        <v>1.8686094521685997E-3</v>
      </c>
      <c r="W61" s="2"/>
      <c r="X61" s="6">
        <f t="shared" si="52"/>
        <v>-649.69000000000005</v>
      </c>
      <c r="Y61" s="2"/>
      <c r="Z61" s="7">
        <f t="shared" si="53"/>
        <v>-1</v>
      </c>
    </row>
    <row r="62" spans="1:26" s="24" customFormat="1" hidden="1" outlineLevel="2" x14ac:dyDescent="0.25">
      <c r="A62" s="25"/>
      <c r="B62" s="11" t="str">
        <f>CONCATENATE("          ", "6243", " - ", "PAPER SUPPLIES")</f>
        <v xml:space="preserve">          6243 - PAPER SUPPLIES</v>
      </c>
      <c r="C62" s="11"/>
      <c r="D62" s="6"/>
      <c r="E62" s="2"/>
      <c r="F62" s="7">
        <f t="shared" si="46"/>
        <v>0</v>
      </c>
      <c r="G62" s="2"/>
      <c r="H62" s="6">
        <v>265.07</v>
      </c>
      <c r="I62" s="2"/>
      <c r="J62" s="7">
        <f t="shared" si="47"/>
        <v>1.3404860987844243E-2</v>
      </c>
      <c r="K62" s="2"/>
      <c r="L62" s="6">
        <f t="shared" si="48"/>
        <v>-265.07</v>
      </c>
      <c r="M62" s="2"/>
      <c r="N62" s="7">
        <f t="shared" si="49"/>
        <v>-1</v>
      </c>
      <c r="O62" s="11"/>
      <c r="P62" s="6"/>
      <c r="Q62" s="2"/>
      <c r="R62" s="7">
        <f t="shared" si="50"/>
        <v>0</v>
      </c>
      <c r="S62" s="2"/>
      <c r="T62" s="6">
        <v>3828.8</v>
      </c>
      <c r="U62" s="2"/>
      <c r="V62" s="7">
        <f t="shared" si="51"/>
        <v>1.1012224092202641E-2</v>
      </c>
      <c r="W62" s="2"/>
      <c r="X62" s="6">
        <f t="shared" si="52"/>
        <v>-3828.8</v>
      </c>
      <c r="Y62" s="2"/>
      <c r="Z62" s="7">
        <f t="shared" si="53"/>
        <v>-1</v>
      </c>
    </row>
    <row r="63" spans="1:26" s="24" customFormat="1" hidden="1" outlineLevel="2" x14ac:dyDescent="0.25">
      <c r="A63" s="25"/>
      <c r="B63" s="11" t="str">
        <f>CONCATENATE("          ", "6247", " - ", "STORE SUPPLIES")</f>
        <v xml:space="preserve">          6247 - STORE SUPPLIES</v>
      </c>
      <c r="C63" s="11"/>
      <c r="D63" s="6"/>
      <c r="E63" s="2"/>
      <c r="F63" s="7">
        <f t="shared" si="46"/>
        <v>0</v>
      </c>
      <c r="G63" s="2"/>
      <c r="H63" s="6"/>
      <c r="I63" s="2"/>
      <c r="J63" s="7">
        <f t="shared" si="47"/>
        <v>0</v>
      </c>
      <c r="K63" s="2"/>
      <c r="L63" s="6">
        <f t="shared" si="48"/>
        <v>0</v>
      </c>
      <c r="M63" s="2"/>
      <c r="N63" s="7">
        <f t="shared" si="49"/>
        <v>0</v>
      </c>
      <c r="O63" s="11"/>
      <c r="P63" s="6"/>
      <c r="Q63" s="2"/>
      <c r="R63" s="7">
        <f t="shared" si="50"/>
        <v>0</v>
      </c>
      <c r="S63" s="2"/>
      <c r="T63" s="6">
        <v>366.09</v>
      </c>
      <c r="U63" s="2"/>
      <c r="V63" s="7">
        <f t="shared" si="51"/>
        <v>1.0529317587532555E-3</v>
      </c>
      <c r="W63" s="2"/>
      <c r="X63" s="6">
        <f t="shared" si="52"/>
        <v>-366.09</v>
      </c>
      <c r="Y63" s="2"/>
      <c r="Z63" s="7">
        <f t="shared" si="53"/>
        <v>-1</v>
      </c>
    </row>
    <row r="64" spans="1:26" s="24" customFormat="1" hidden="1" outlineLevel="2" x14ac:dyDescent="0.25">
      <c r="A64" s="25"/>
      <c r="B64" s="11" t="str">
        <f>CONCATENATE("          ", "6248", " - ", "UNIFORMS")</f>
        <v xml:space="preserve">          6248 - UNIFORMS</v>
      </c>
      <c r="C64" s="11"/>
      <c r="D64" s="6"/>
      <c r="E64" s="2"/>
      <c r="F64" s="7">
        <f t="shared" si="46"/>
        <v>0</v>
      </c>
      <c r="G64" s="2"/>
      <c r="H64" s="6">
        <v>115.76</v>
      </c>
      <c r="I64" s="2"/>
      <c r="J64" s="7">
        <f t="shared" si="47"/>
        <v>5.8541015880818267E-3</v>
      </c>
      <c r="K64" s="2"/>
      <c r="L64" s="6">
        <f t="shared" si="48"/>
        <v>-115.76</v>
      </c>
      <c r="M64" s="2"/>
      <c r="N64" s="7">
        <f t="shared" si="49"/>
        <v>-1</v>
      </c>
      <c r="O64" s="11"/>
      <c r="P64" s="6"/>
      <c r="Q64" s="2"/>
      <c r="R64" s="7">
        <f t="shared" si="50"/>
        <v>0</v>
      </c>
      <c r="S64" s="2"/>
      <c r="T64" s="6">
        <v>720.33</v>
      </c>
      <c r="U64" s="2"/>
      <c r="V64" s="7">
        <f t="shared" si="51"/>
        <v>2.0717810750982891E-3</v>
      </c>
      <c r="W64" s="2"/>
      <c r="X64" s="6">
        <f t="shared" si="52"/>
        <v>-720.33</v>
      </c>
      <c r="Y64" s="2"/>
      <c r="Z64" s="7">
        <f t="shared" si="53"/>
        <v>-1</v>
      </c>
    </row>
    <row r="65" spans="1:26" s="26" customFormat="1" outlineLevel="1" collapsed="1" x14ac:dyDescent="0.25">
      <c r="A65" s="27"/>
      <c r="B65" s="13" t="str">
        <f>CONCATENATE("     ","Telephone/Data Lines                              ")</f>
        <v xml:space="preserve">     Telephone/Data Lines                              </v>
      </c>
      <c r="C65" s="13"/>
      <c r="D65" s="1">
        <f>SUM(OSRRefD22_12x_0)</f>
        <v>36</v>
      </c>
      <c r="E65" s="1"/>
      <c r="F65" s="5">
        <f t="shared" ref="F65:F68" si="54">IF(D$12=0,0,D65/D$12)</f>
        <v>0</v>
      </c>
      <c r="G65" s="1"/>
      <c r="H65" s="1">
        <f>SUM(OSRRefH22_12x_0)</f>
        <v>228.36</v>
      </c>
      <c r="I65" s="1"/>
      <c r="J65" s="5">
        <f t="shared" ref="J65:J68" si="55">IF(H$12=0,0,H65/H$12)</f>
        <v>1.154839874442265E-2</v>
      </c>
      <c r="K65" s="1"/>
      <c r="L65" s="1">
        <f t="shared" ref="L65:L68" si="56">+D65-H65</f>
        <v>-192.36</v>
      </c>
      <c r="M65" s="1"/>
      <c r="N65" s="5">
        <f t="shared" ref="N65:N68" si="57">IF(H65=0,0,L65/H65)</f>
        <v>-0.84235417761429321</v>
      </c>
      <c r="O65" s="13"/>
      <c r="P65" s="1">
        <f>SUM(OSRRefP22_12x_0)</f>
        <v>329.03</v>
      </c>
      <c r="Q65" s="1"/>
      <c r="R65" s="5">
        <f t="shared" ref="R65:R68" si="58">IF(P$12=0,0,P65/P$12)</f>
        <v>0</v>
      </c>
      <c r="S65" s="1"/>
      <c r="T65" s="1">
        <f>SUM(OSRRefT22_12x_0)</f>
        <v>1407.35</v>
      </c>
      <c r="U65" s="1"/>
      <c r="V65" s="5">
        <f t="shared" ref="V65:V68" si="59">IF(T$12=0,0,T65/T$12)</f>
        <v>4.0477574112414818E-3</v>
      </c>
      <c r="W65" s="1"/>
      <c r="X65" s="1">
        <f t="shared" ref="X65:X68" si="60">+P65-T65</f>
        <v>-1078.32</v>
      </c>
      <c r="Y65" s="1"/>
      <c r="Z65" s="5">
        <f t="shared" ref="Z65:Z68" si="61">IF(T65=0,0,X65/T65)</f>
        <v>-0.76620598998117029</v>
      </c>
    </row>
    <row r="66" spans="1:26" s="24" customFormat="1" hidden="1" outlineLevel="2" x14ac:dyDescent="0.25">
      <c r="A66" s="25"/>
      <c r="B66" s="11" t="str">
        <f>CONCATENATE("          ", "6309", " - ", "TELEPHONE")</f>
        <v xml:space="preserve">          6309 - TELEPHONE</v>
      </c>
      <c r="C66" s="11"/>
      <c r="D66" s="6">
        <v>36</v>
      </c>
      <c r="E66" s="2"/>
      <c r="F66" s="7">
        <f t="shared" si="54"/>
        <v>0</v>
      </c>
      <c r="G66" s="2"/>
      <c r="H66" s="6">
        <v>228.36</v>
      </c>
      <c r="I66" s="2"/>
      <c r="J66" s="7">
        <f t="shared" si="55"/>
        <v>1.154839874442265E-2</v>
      </c>
      <c r="K66" s="2"/>
      <c r="L66" s="6">
        <f t="shared" si="56"/>
        <v>-192.36</v>
      </c>
      <c r="M66" s="2"/>
      <c r="N66" s="7">
        <f t="shared" si="57"/>
        <v>-0.84235417761429321</v>
      </c>
      <c r="O66" s="11"/>
      <c r="P66" s="6">
        <v>329.03</v>
      </c>
      <c r="Q66" s="2"/>
      <c r="R66" s="7">
        <f t="shared" si="58"/>
        <v>0</v>
      </c>
      <c r="S66" s="2"/>
      <c r="T66" s="6">
        <v>1407.35</v>
      </c>
      <c r="U66" s="2"/>
      <c r="V66" s="7">
        <f t="shared" si="59"/>
        <v>4.0477574112414818E-3</v>
      </c>
      <c r="W66" s="2"/>
      <c r="X66" s="6">
        <f t="shared" si="60"/>
        <v>-1078.32</v>
      </c>
      <c r="Y66" s="2"/>
      <c r="Z66" s="7">
        <f t="shared" si="61"/>
        <v>-0.76620598998117029</v>
      </c>
    </row>
    <row r="67" spans="1:26" s="26" customFormat="1" outlineLevel="1" collapsed="1" x14ac:dyDescent="0.25">
      <c r="A67" s="27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SUM(OSRRefD22_13x_0)</f>
        <v>0</v>
      </c>
      <c r="E67" s="1"/>
      <c r="F67" s="5">
        <f t="shared" si="54"/>
        <v>0</v>
      </c>
      <c r="G67" s="1"/>
      <c r="H67" s="1">
        <f>SUM(OSRRefH22_13x_0)</f>
        <v>0</v>
      </c>
      <c r="I67" s="1"/>
      <c r="J67" s="5">
        <f t="shared" si="55"/>
        <v>0</v>
      </c>
      <c r="K67" s="1"/>
      <c r="L67" s="1">
        <f t="shared" si="56"/>
        <v>0</v>
      </c>
      <c r="M67" s="1"/>
      <c r="N67" s="5">
        <f t="shared" si="57"/>
        <v>0</v>
      </c>
      <c r="O67" s="13"/>
      <c r="P67" s="1">
        <f>SUM(OSRRefP22_13x_0)</f>
        <v>0</v>
      </c>
      <c r="Q67" s="1"/>
      <c r="R67" s="5">
        <f t="shared" si="58"/>
        <v>0</v>
      </c>
      <c r="S67" s="1"/>
      <c r="T67" s="1">
        <f>SUM(OSRRefT22_13x_0)</f>
        <v>175</v>
      </c>
      <c r="U67" s="1"/>
      <c r="V67" s="5">
        <f t="shared" si="59"/>
        <v>5.0332720856024397E-4</v>
      </c>
      <c r="W67" s="1"/>
      <c r="X67" s="1">
        <f t="shared" si="60"/>
        <v>-175</v>
      </c>
      <c r="Y67" s="1"/>
      <c r="Z67" s="5">
        <f t="shared" si="61"/>
        <v>-1</v>
      </c>
    </row>
    <row r="68" spans="1:26" s="24" customFormat="1" hidden="1" outlineLevel="2" x14ac:dyDescent="0.25">
      <c r="A68" s="25"/>
      <c r="B68" s="11" t="str">
        <f>CONCATENATE("          ", "6376", " - ", "TRAINING")</f>
        <v xml:space="preserve">          6376 - TRAINING</v>
      </c>
      <c r="C68" s="11"/>
      <c r="D68" s="6"/>
      <c r="E68" s="2"/>
      <c r="F68" s="7">
        <f t="shared" si="54"/>
        <v>0</v>
      </c>
      <c r="G68" s="2"/>
      <c r="H68" s="6"/>
      <c r="I68" s="2"/>
      <c r="J68" s="7">
        <f t="shared" si="55"/>
        <v>0</v>
      </c>
      <c r="K68" s="2"/>
      <c r="L68" s="6">
        <f t="shared" si="56"/>
        <v>0</v>
      </c>
      <c r="M68" s="2"/>
      <c r="N68" s="7">
        <f t="shared" si="57"/>
        <v>0</v>
      </c>
      <c r="O68" s="11"/>
      <c r="P68" s="6"/>
      <c r="Q68" s="2"/>
      <c r="R68" s="7">
        <f t="shared" si="58"/>
        <v>0</v>
      </c>
      <c r="S68" s="2"/>
      <c r="T68" s="6">
        <v>175</v>
      </c>
      <c r="U68" s="2"/>
      <c r="V68" s="7">
        <f t="shared" si="59"/>
        <v>5.0332720856024397E-4</v>
      </c>
      <c r="W68" s="2"/>
      <c r="X68" s="6">
        <f t="shared" si="60"/>
        <v>-175</v>
      </c>
      <c r="Y68" s="2"/>
      <c r="Z68" s="7">
        <f t="shared" si="61"/>
        <v>-1</v>
      </c>
    </row>
    <row r="69" spans="1:26" s="61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9" t="s">
        <v>0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8" t="s">
        <v>3</v>
      </c>
      <c r="C72" s="28"/>
      <c r="D72" s="20">
        <f>+D19-D21+D70</f>
        <v>-613.36</v>
      </c>
      <c r="E72" s="14"/>
      <c r="F72" s="22">
        <f>IF(D$12=0,0,D72/D$12)</f>
        <v>0</v>
      </c>
      <c r="G72" s="14"/>
      <c r="H72" s="20">
        <f>+H19-H21+H70</f>
        <v>-27172.34</v>
      </c>
      <c r="I72" s="14"/>
      <c r="J72" s="22">
        <f>IF(H$12=0,0,H72/H$12)</f>
        <v>-1.3741330230295381</v>
      </c>
      <c r="K72" s="15"/>
      <c r="L72" s="20">
        <f>+D72-H72</f>
        <v>26558.98</v>
      </c>
      <c r="M72" s="15"/>
      <c r="N72" s="22">
        <f>IF(H72=0,0,L72/H72)</f>
        <v>-0.97742704529679814</v>
      </c>
      <c r="O72" s="29"/>
      <c r="P72" s="20">
        <f>+P19-P21+P70</f>
        <v>-6662.8899999999994</v>
      </c>
      <c r="Q72" s="14"/>
      <c r="R72" s="22">
        <f>IF(P$12=0,0,P72/P$12)</f>
        <v>0</v>
      </c>
      <c r="S72" s="14"/>
      <c r="T72" s="20">
        <f>+T19-T21+T70</f>
        <v>-97158.28999999995</v>
      </c>
      <c r="U72" s="14"/>
      <c r="V72" s="22">
        <f>IF(T$12=0,0,T72/T$12)</f>
        <v>-0.2794423479667808</v>
      </c>
      <c r="W72" s="15"/>
      <c r="X72" s="20">
        <f>+P72-T72</f>
        <v>90495.399999999951</v>
      </c>
      <c r="Y72" s="15"/>
      <c r="Z72" s="22">
        <f>IF(T72=0,0,X72/T72)</f>
        <v>-0.93142232124505275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/>
      <c r="E74" s="4"/>
      <c r="F74" s="12">
        <f>IF(D$12=0,0,D74/D$12)</f>
        <v>0</v>
      </c>
      <c r="G74" s="4"/>
      <c r="H74" s="4">
        <v>841.72</v>
      </c>
      <c r="I74" s="4"/>
      <c r="J74" s="12">
        <f>IF(H$12=0,0,H74/H$12)</f>
        <v>4.2566641229442252E-2</v>
      </c>
      <c r="K74" s="4"/>
      <c r="L74" s="4">
        <f>+D74-H74</f>
        <v>-841.72</v>
      </c>
      <c r="M74" s="4"/>
      <c r="N74" s="12">
        <f>IF(H74=0,0,L74/H74)</f>
        <v>-1</v>
      </c>
      <c r="O74" s="10"/>
      <c r="P74" s="4"/>
      <c r="Q74" s="4"/>
      <c r="R74" s="12">
        <f>IF(P$12=0,0,P74/P$12)</f>
        <v>0</v>
      </c>
      <c r="S74" s="4"/>
      <c r="T74" s="4">
        <v>36258.76</v>
      </c>
      <c r="U74" s="4"/>
      <c r="V74" s="12">
        <f>IF(T$12=0,0,T74/T$12)</f>
        <v>0.10428583118089048</v>
      </c>
      <c r="W74" s="4"/>
      <c r="X74" s="4">
        <f>+P74-T74</f>
        <v>-36258.76</v>
      </c>
      <c r="Y74" s="4"/>
      <c r="Z74" s="12">
        <f>IF(T74=0,0,X74/T74)</f>
        <v>-1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8" t="s">
        <v>4</v>
      </c>
      <c r="C76" s="28"/>
      <c r="D76" s="30">
        <f>+D72-D74</f>
        <v>-613.36</v>
      </c>
      <c r="E76" s="14"/>
      <c r="F76" s="36">
        <f>IF(D$12=0,0,D76/D$12)</f>
        <v>0</v>
      </c>
      <c r="G76" s="14"/>
      <c r="H76" s="30">
        <f>+H72-H74</f>
        <v>-28014.06</v>
      </c>
      <c r="I76" s="14"/>
      <c r="J76" s="36">
        <f>IF(H$12=0,0,H76/H$12)</f>
        <v>-1.4166996642589804</v>
      </c>
      <c r="K76" s="15"/>
      <c r="L76" s="30">
        <f>D76-H76</f>
        <v>27400.7</v>
      </c>
      <c r="M76" s="15"/>
      <c r="N76" s="36">
        <f>IF(H76=0,0,L76/H76)</f>
        <v>-0.97810527999154706</v>
      </c>
      <c r="O76" s="29"/>
      <c r="P76" s="30">
        <f>+P72-P74</f>
        <v>-6662.8899999999994</v>
      </c>
      <c r="Q76" s="14"/>
      <c r="R76" s="36">
        <f>IF(P$12=0,0,P76/P$12)</f>
        <v>0</v>
      </c>
      <c r="S76" s="14"/>
      <c r="T76" s="30">
        <f>+T72-T74</f>
        <v>-133417.04999999996</v>
      </c>
      <c r="U76" s="14"/>
      <c r="V76" s="36">
        <f>IF(T$12=0,0,T76/T$12)</f>
        <v>-0.38372817914767132</v>
      </c>
      <c r="W76" s="15"/>
      <c r="X76" s="30">
        <f>P76-T76</f>
        <v>126754.15999999996</v>
      </c>
      <c r="Y76" s="15"/>
      <c r="Z76" s="36">
        <f>IF(T76=0,0,X76/T76)</f>
        <v>-0.95005968127761775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5</v>
      </c>
      <c r="C79" s="28"/>
      <c r="D79" s="32">
        <f>SUM(D76:D78)</f>
        <v>-613.36</v>
      </c>
      <c r="E79" s="14"/>
      <c r="F79" s="31">
        <f>IF(D$12=0,0,D79/D$12)</f>
        <v>0</v>
      </c>
      <c r="G79" s="14"/>
      <c r="H79" s="32">
        <f>SUM(H76:H78)</f>
        <v>-28014.06</v>
      </c>
      <c r="I79" s="14"/>
      <c r="J79" s="31">
        <f>IF(H$12=0,0,H79/H$12)</f>
        <v>-1.4166996642589804</v>
      </c>
      <c r="K79" s="15"/>
      <c r="L79" s="32">
        <f>+D79-H79</f>
        <v>27400.7</v>
      </c>
      <c r="M79" s="15"/>
      <c r="N79" s="31">
        <f>IF(H79=0,0,L79/H79)</f>
        <v>-0.97810527999154706</v>
      </c>
      <c r="O79" s="29"/>
      <c r="P79" s="32">
        <f>SUM(P76:P78)</f>
        <v>-6662.8899999999994</v>
      </c>
      <c r="Q79" s="14"/>
      <c r="R79" s="31">
        <f>IF(P$12=0,0,P79/P$12)</f>
        <v>0</v>
      </c>
      <c r="S79" s="14"/>
      <c r="T79" s="32">
        <f>SUM(T76:T78)</f>
        <v>-133417.04999999996</v>
      </c>
      <c r="U79" s="14"/>
      <c r="V79" s="31">
        <f>IF(T$12=0,0,T79/T$12)</f>
        <v>-0.38372817914767132</v>
      </c>
      <c r="W79" s="15"/>
      <c r="X79" s="32">
        <f>+P79-T79</f>
        <v>126754.15999999996</v>
      </c>
      <c r="Y79" s="15"/>
      <c r="Z79" s="31">
        <f>IF(T79=0,0,X79/T79)</f>
        <v>-0.95005968127761775</v>
      </c>
    </row>
    <row r="80" spans="1:26" ht="15.75" thickTop="1" x14ac:dyDescent="0.25">
      <c r="A80" s="9"/>
      <c r="C80" s="9"/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62">
        <v>44238.49645697917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9" t="s">
        <v>313</v>
      </c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A83" s="9"/>
      <c r="B83" s="56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4" x14ac:dyDescent="0.25"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","413", " - ", "Beach Walk")</f>
        <v>Department 413 - Beach Walk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19889.46</v>
      </c>
      <c r="I12" s="4"/>
      <c r="J12" s="12"/>
      <c r="K12" s="4"/>
      <c r="L12" s="4">
        <f t="shared" ref="L12:L14" si="0">+D12-H12</f>
        <v>-19889.46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200538.07</v>
      </c>
      <c r="U12" s="4"/>
      <c r="V12" s="12"/>
      <c r="W12" s="4"/>
      <c r="X12" s="4">
        <f t="shared" ref="X12:X14" si="2">+P12-T12</f>
        <v>-200538.07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--3607.42</f>
        <v>3607.42</v>
      </c>
      <c r="I13" s="2"/>
      <c r="J13" s="19"/>
      <c r="K13" s="2"/>
      <c r="L13" s="2">
        <f t="shared" si="0"/>
        <v>-3607.42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--46312.62</f>
        <v>46312.62</v>
      </c>
      <c r="U13" s="2"/>
      <c r="V13" s="19"/>
      <c r="W13" s="2"/>
      <c r="X13" s="2">
        <f t="shared" si="2"/>
        <v>-46312.62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--16282.04</f>
        <v>16282.04</v>
      </c>
      <c r="I14" s="2"/>
      <c r="J14" s="19"/>
      <c r="K14" s="2"/>
      <c r="L14" s="2">
        <f t="shared" si="0"/>
        <v>-16282.04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--154225.45</f>
        <v>154225.45000000001</v>
      </c>
      <c r="U14" s="2"/>
      <c r="V14" s="19"/>
      <c r="W14" s="2"/>
      <c r="X14" s="2">
        <f t="shared" si="2"/>
        <v>-154225.45000000001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7666.01</v>
      </c>
      <c r="I16" s="4"/>
      <c r="J16" s="12">
        <f t="shared" ref="J16:J18" si="7">IF(H$12=0,0,H16/H$12)</f>
        <v>0.38543077589839042</v>
      </c>
      <c r="K16" s="4"/>
      <c r="L16" s="4">
        <f t="shared" ref="L16:L18" si="8">+D16-H16</f>
        <v>-7666.01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64035.1</v>
      </c>
      <c r="U16" s="4"/>
      <c r="V16" s="12">
        <f t="shared" ref="V16:V18" si="11">IF(T$12=0,0,T16/T$12)</f>
        <v>0.31931642705048469</v>
      </c>
      <c r="W16" s="4"/>
      <c r="X16" s="4">
        <f t="shared" ref="X16:X18" si="12">+P16-T16</f>
        <v>-64035.1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12108.1</v>
      </c>
      <c r="I17" s="2"/>
      <c r="J17" s="19">
        <f t="shared" si="7"/>
        <v>0.60876966996590154</v>
      </c>
      <c r="K17" s="2"/>
      <c r="L17" s="2">
        <f t="shared" si="8"/>
        <v>-12108.1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70431.14</v>
      </c>
      <c r="U17" s="2"/>
      <c r="V17" s="19">
        <f t="shared" si="11"/>
        <v>0.35121081997049236</v>
      </c>
      <c r="W17" s="2"/>
      <c r="X17" s="2">
        <f t="shared" si="12"/>
        <v>-70431.14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-4442.09</v>
      </c>
      <c r="I18" s="2"/>
      <c r="J18" s="19">
        <f t="shared" si="7"/>
        <v>-0.22333889406751115</v>
      </c>
      <c r="K18" s="2"/>
      <c r="L18" s="2">
        <f t="shared" si="8"/>
        <v>4442.09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-6396.04</v>
      </c>
      <c r="U18" s="2"/>
      <c r="V18" s="19">
        <f t="shared" si="11"/>
        <v>-3.1894392920007654E-2</v>
      </c>
      <c r="W18" s="2"/>
      <c r="X18" s="2">
        <f t="shared" si="12"/>
        <v>6396.04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12223.449999999999</v>
      </c>
      <c r="I20" s="14"/>
      <c r="J20" s="22">
        <f>IF(H$12=0,0,H20/H$12)</f>
        <v>0.61456922410160952</v>
      </c>
      <c r="K20" s="15"/>
      <c r="L20" s="20">
        <f>+D20-H20</f>
        <v>-12223.449999999999</v>
      </c>
      <c r="M20" s="15"/>
      <c r="N20" s="22">
        <f>IF(H20=0,0,L20/H20)</f>
        <v>-1</v>
      </c>
      <c r="O20" s="29"/>
      <c r="P20" s="20">
        <f>P12-P16</f>
        <v>0</v>
      </c>
      <c r="Q20" s="14"/>
      <c r="R20" s="22">
        <f>IF(P$12=0,0,P20/P$12)</f>
        <v>0</v>
      </c>
      <c r="S20" s="14"/>
      <c r="T20" s="20">
        <f>T12-T16</f>
        <v>136502.97</v>
      </c>
      <c r="U20" s="14"/>
      <c r="V20" s="22">
        <f>IF(T$12=0,0,T20/T$12)</f>
        <v>0.6806835729495152</v>
      </c>
      <c r="W20" s="15"/>
      <c r="X20" s="20">
        <f>+P20-T20</f>
        <v>-136502.97</v>
      </c>
      <c r="Y20" s="15"/>
      <c r="Z20" s="22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58.03</v>
      </c>
      <c r="E22" s="21"/>
      <c r="F22" s="35">
        <f t="shared" ref="F22:F31" si="14">IF(D$12=0,0,D22/D$12)</f>
        <v>0</v>
      </c>
      <c r="G22" s="21"/>
      <c r="H22" s="21">
        <f>SUM(OSRRefH22x_0)</f>
        <v>16325.31</v>
      </c>
      <c r="I22" s="21"/>
      <c r="J22" s="35">
        <f t="shared" ref="J22:J31" si="15">IF(H$12=0,0,H22/H$12)</f>
        <v>0.8208020730577904</v>
      </c>
      <c r="K22" s="4"/>
      <c r="L22" s="21">
        <f t="shared" ref="L22:L31" si="16">+D22-H22</f>
        <v>-16267.279999999999</v>
      </c>
      <c r="M22" s="4"/>
      <c r="N22" s="35">
        <f t="shared" ref="N22:N31" si="17">IF(H22=0,0,L22/H22)</f>
        <v>-0.99644539674897437</v>
      </c>
      <c r="O22" s="10"/>
      <c r="P22" s="21">
        <f>SUM(OSRRefP22x_0)</f>
        <v>4905.54</v>
      </c>
      <c r="Q22" s="21"/>
      <c r="R22" s="35">
        <f t="shared" ref="R22:R31" si="18">IF(P$12=0,0,P22/P$12)</f>
        <v>0</v>
      </c>
      <c r="S22" s="21"/>
      <c r="T22" s="21">
        <f>SUM(OSRRefT22x_0)</f>
        <v>138233.01000000004</v>
      </c>
      <c r="U22" s="21"/>
      <c r="V22" s="35">
        <f t="shared" ref="V22:V31" si="19">IF(T$12=0,0,T22/T$12)</f>
        <v>0.68931056332595619</v>
      </c>
      <c r="W22" s="4"/>
      <c r="X22" s="21">
        <f t="shared" ref="X22:X31" si="20">+P22-T22</f>
        <v>-133327.47000000003</v>
      </c>
      <c r="Y22" s="4"/>
      <c r="Z22" s="35">
        <f t="shared" ref="Z22:Z31" si="21">IF(T22=0,0,X22/T22)</f>
        <v>-0.96451252851977975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3201.39</v>
      </c>
      <c r="I23" s="1"/>
      <c r="J23" s="5">
        <f t="shared" si="15"/>
        <v>0.16095912106211027</v>
      </c>
      <c r="K23" s="1"/>
      <c r="L23" s="1">
        <f t="shared" si="16"/>
        <v>-3201.39</v>
      </c>
      <c r="M23" s="1"/>
      <c r="N23" s="5">
        <f t="shared" si="17"/>
        <v>-1</v>
      </c>
      <c r="O23" s="13"/>
      <c r="P23" s="1">
        <f>SUM(OSRRefP22_0x_0)</f>
        <v>1493.43</v>
      </c>
      <c r="Q23" s="1"/>
      <c r="R23" s="5">
        <f t="shared" si="18"/>
        <v>0</v>
      </c>
      <c r="S23" s="1"/>
      <c r="T23" s="1">
        <f>SUM(OSRRefT22_0x_0)</f>
        <v>24136.29</v>
      </c>
      <c r="U23" s="1"/>
      <c r="V23" s="5">
        <f t="shared" si="19"/>
        <v>0.12035764580760151</v>
      </c>
      <c r="W23" s="1"/>
      <c r="X23" s="1">
        <f t="shared" si="20"/>
        <v>-22642.86</v>
      </c>
      <c r="Y23" s="1"/>
      <c r="Z23" s="5">
        <f t="shared" si="21"/>
        <v>-0.93812512196364894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448.99</v>
      </c>
      <c r="I24" s="2"/>
      <c r="J24" s="7">
        <f t="shared" si="15"/>
        <v>2.2574267979120603E-2</v>
      </c>
      <c r="K24" s="2"/>
      <c r="L24" s="6">
        <f t="shared" si="16"/>
        <v>-448.99</v>
      </c>
      <c r="M24" s="2"/>
      <c r="N24" s="7">
        <f t="shared" si="17"/>
        <v>-1</v>
      </c>
      <c r="O24" s="11"/>
      <c r="P24" s="6">
        <v>191.51</v>
      </c>
      <c r="Q24" s="2"/>
      <c r="R24" s="7">
        <f t="shared" si="18"/>
        <v>0</v>
      </c>
      <c r="S24" s="2"/>
      <c r="T24" s="6">
        <v>4800.33</v>
      </c>
      <c r="U24" s="2"/>
      <c r="V24" s="7">
        <f t="shared" si="19"/>
        <v>2.3937250418337025E-2</v>
      </c>
      <c r="W24" s="2"/>
      <c r="X24" s="6">
        <f t="shared" si="20"/>
        <v>-4608.82</v>
      </c>
      <c r="Y24" s="2"/>
      <c r="Z24" s="7">
        <f t="shared" si="21"/>
        <v>-0.96010482612653714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273.88</v>
      </c>
      <c r="I25" s="2"/>
      <c r="J25" s="7">
        <f t="shared" si="15"/>
        <v>1.3770107383508652E-2</v>
      </c>
      <c r="K25" s="2"/>
      <c r="L25" s="6">
        <f t="shared" si="16"/>
        <v>-273.88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2618</v>
      </c>
      <c r="U25" s="2"/>
      <c r="V25" s="7">
        <f t="shared" si="19"/>
        <v>1.3054877809485251E-2</v>
      </c>
      <c r="W25" s="2"/>
      <c r="X25" s="6">
        <f t="shared" si="20"/>
        <v>-2618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1371.71</v>
      </c>
      <c r="I26" s="2"/>
      <c r="J26" s="7">
        <f t="shared" si="15"/>
        <v>6.8966678833915052E-2</v>
      </c>
      <c r="K26" s="2"/>
      <c r="L26" s="6">
        <f t="shared" si="16"/>
        <v>-1371.71</v>
      </c>
      <c r="M26" s="2"/>
      <c r="N26" s="7">
        <f t="shared" si="17"/>
        <v>-1</v>
      </c>
      <c r="O26" s="11"/>
      <c r="P26" s="6">
        <v>718.51</v>
      </c>
      <c r="Q26" s="2"/>
      <c r="R26" s="7">
        <f t="shared" si="18"/>
        <v>0</v>
      </c>
      <c r="S26" s="2"/>
      <c r="T26" s="6">
        <v>9099.0300000000007</v>
      </c>
      <c r="U26" s="2"/>
      <c r="V26" s="7">
        <f t="shared" si="19"/>
        <v>4.5373080532788615E-2</v>
      </c>
      <c r="W26" s="2"/>
      <c r="X26" s="6">
        <f t="shared" si="20"/>
        <v>-8380.52</v>
      </c>
      <c r="Y26" s="2"/>
      <c r="Z26" s="7">
        <f t="shared" si="21"/>
        <v>-0.92103443993480627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18.350000000000001</v>
      </c>
      <c r="I27" s="2"/>
      <c r="J27" s="7">
        <f t="shared" si="15"/>
        <v>9.2259920581051486E-4</v>
      </c>
      <c r="K27" s="2"/>
      <c r="L27" s="6">
        <f t="shared" si="16"/>
        <v>-18.350000000000001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225.26</v>
      </c>
      <c r="U27" s="2"/>
      <c r="V27" s="7">
        <f t="shared" si="19"/>
        <v>1.1232779890621267E-3</v>
      </c>
      <c r="W27" s="2"/>
      <c r="X27" s="6">
        <f t="shared" si="20"/>
        <v>-225.26</v>
      </c>
      <c r="Y27" s="2"/>
      <c r="Z27" s="7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489.78</v>
      </c>
      <c r="I28" s="2"/>
      <c r="J28" s="7">
        <f t="shared" si="15"/>
        <v>2.4625102943971328E-2</v>
      </c>
      <c r="K28" s="2"/>
      <c r="L28" s="6">
        <f t="shared" si="16"/>
        <v>-489.78</v>
      </c>
      <c r="M28" s="2"/>
      <c r="N28" s="7">
        <f t="shared" si="17"/>
        <v>-1</v>
      </c>
      <c r="O28" s="11"/>
      <c r="P28" s="6">
        <v>377.03</v>
      </c>
      <c r="Q28" s="2"/>
      <c r="R28" s="7">
        <f t="shared" si="18"/>
        <v>0</v>
      </c>
      <c r="S28" s="2"/>
      <c r="T28" s="6">
        <v>2448.9</v>
      </c>
      <c r="U28" s="2"/>
      <c r="V28" s="7">
        <f t="shared" si="19"/>
        <v>1.2211646397115521E-2</v>
      </c>
      <c r="W28" s="2"/>
      <c r="X28" s="6">
        <f t="shared" si="20"/>
        <v>-2071.87</v>
      </c>
      <c r="Y28" s="2"/>
      <c r="Z28" s="7">
        <f t="shared" si="21"/>
        <v>-0.84604107966842246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269.38</v>
      </c>
      <c r="I29" s="2"/>
      <c r="J29" s="7">
        <f t="shared" si="15"/>
        <v>1.3543856897070107E-2</v>
      </c>
      <c r="K29" s="2"/>
      <c r="L29" s="6">
        <f t="shared" si="16"/>
        <v>-269.38</v>
      </c>
      <c r="M29" s="2"/>
      <c r="N29" s="7">
        <f t="shared" si="17"/>
        <v>-1</v>
      </c>
      <c r="O29" s="11"/>
      <c r="P29" s="6">
        <v>93.89</v>
      </c>
      <c r="Q29" s="2"/>
      <c r="R29" s="7">
        <f t="shared" si="18"/>
        <v>0</v>
      </c>
      <c r="S29" s="2"/>
      <c r="T29" s="6">
        <v>2104.44</v>
      </c>
      <c r="U29" s="2"/>
      <c r="V29" s="7">
        <f t="shared" si="19"/>
        <v>1.0493967554390046E-2</v>
      </c>
      <c r="W29" s="2"/>
      <c r="X29" s="6">
        <f t="shared" si="20"/>
        <v>-2010.55</v>
      </c>
      <c r="Y29" s="2"/>
      <c r="Z29" s="7">
        <f t="shared" si="21"/>
        <v>-0.95538480545893445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215.62</v>
      </c>
      <c r="I30" s="2"/>
      <c r="J30" s="7">
        <f t="shared" si="15"/>
        <v>1.0840917752417613E-2</v>
      </c>
      <c r="K30" s="2"/>
      <c r="L30" s="6">
        <f t="shared" si="16"/>
        <v>-215.62</v>
      </c>
      <c r="M30" s="2"/>
      <c r="N30" s="7">
        <f t="shared" si="17"/>
        <v>-1</v>
      </c>
      <c r="O30" s="11"/>
      <c r="P30" s="6">
        <v>112.49</v>
      </c>
      <c r="Q30" s="2"/>
      <c r="R30" s="7">
        <f t="shared" si="18"/>
        <v>0</v>
      </c>
      <c r="S30" s="2"/>
      <c r="T30" s="6">
        <v>1951.04</v>
      </c>
      <c r="U30" s="2"/>
      <c r="V30" s="7">
        <f t="shared" si="19"/>
        <v>9.7290255162024841E-3</v>
      </c>
      <c r="W30" s="2"/>
      <c r="X30" s="6">
        <f t="shared" si="20"/>
        <v>-1838.55</v>
      </c>
      <c r="Y30" s="2"/>
      <c r="Z30" s="7">
        <f t="shared" si="21"/>
        <v>-0.94234357060849594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113.68</v>
      </c>
      <c r="I31" s="2"/>
      <c r="J31" s="7">
        <f t="shared" si="15"/>
        <v>5.715590066296421E-3</v>
      </c>
      <c r="K31" s="2"/>
      <c r="L31" s="6">
        <f t="shared" si="16"/>
        <v>-113.68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889.29</v>
      </c>
      <c r="U31" s="2"/>
      <c r="V31" s="7">
        <f t="shared" si="19"/>
        <v>4.4345195902204503E-3</v>
      </c>
      <c r="W31" s="2"/>
      <c r="X31" s="6">
        <f t="shared" si="20"/>
        <v>-889.29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10063.18</v>
      </c>
      <c r="I32" s="1"/>
      <c r="J32" s="5">
        <f t="shared" ref="J32:J36" si="23">IF(H$12=0,0,H32/H$12)</f>
        <v>0.50595541558192136</v>
      </c>
      <c r="K32" s="1"/>
      <c r="L32" s="1">
        <f t="shared" ref="L32:L36" si="24">+D32-H32</f>
        <v>-10063.18</v>
      </c>
      <c r="M32" s="1"/>
      <c r="N32" s="5">
        <f t="shared" ref="N32:N36" si="25">IF(H32=0,0,L32/H32)</f>
        <v>-1</v>
      </c>
      <c r="O32" s="13"/>
      <c r="P32" s="1">
        <f>SUM(OSRRefP22_1x_0)</f>
        <v>2259.48</v>
      </c>
      <c r="Q32" s="1"/>
      <c r="R32" s="5">
        <f t="shared" ref="R32:R36" si="26">IF(P$12=0,0,P32/P$12)</f>
        <v>0</v>
      </c>
      <c r="S32" s="1"/>
      <c r="T32" s="1">
        <f>SUM(OSRRefT22_1x_0)</f>
        <v>85098.6</v>
      </c>
      <c r="U32" s="1"/>
      <c r="V32" s="5">
        <f t="shared" ref="V32:V36" si="27">IF(T$12=0,0,T32/T$12)</f>
        <v>0.42435134635533295</v>
      </c>
      <c r="W32" s="1"/>
      <c r="X32" s="1">
        <f t="shared" ref="X32:X36" si="28">+P32-T32</f>
        <v>-82839.12000000001</v>
      </c>
      <c r="Y32" s="1"/>
      <c r="Z32" s="5">
        <f t="shared" ref="Z32:Z36" si="29">IF(T32=0,0,X32/T32)</f>
        <v>-0.9734486818819581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5142.43</v>
      </c>
      <c r="I33" s="2"/>
      <c r="J33" s="7">
        <f t="shared" si="23"/>
        <v>0.25855050866137141</v>
      </c>
      <c r="K33" s="2"/>
      <c r="L33" s="6">
        <f t="shared" si="24"/>
        <v>-5142.43</v>
      </c>
      <c r="M33" s="2"/>
      <c r="N33" s="7">
        <f t="shared" si="25"/>
        <v>-1</v>
      </c>
      <c r="O33" s="11"/>
      <c r="P33" s="6">
        <v>2259.48</v>
      </c>
      <c r="Q33" s="2"/>
      <c r="R33" s="7">
        <f t="shared" si="26"/>
        <v>0</v>
      </c>
      <c r="S33" s="2"/>
      <c r="T33" s="6">
        <v>34125.08</v>
      </c>
      <c r="U33" s="2"/>
      <c r="V33" s="7">
        <f t="shared" si="27"/>
        <v>0.17016758962525172</v>
      </c>
      <c r="W33" s="2"/>
      <c r="X33" s="6">
        <f t="shared" si="28"/>
        <v>-31865.600000000002</v>
      </c>
      <c r="Y33" s="2"/>
      <c r="Z33" s="7">
        <f t="shared" si="29"/>
        <v>-0.93378828708972994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1192.5</v>
      </c>
      <c r="I34" s="2"/>
      <c r="J34" s="7">
        <f t="shared" si="23"/>
        <v>5.995637890621465E-2</v>
      </c>
      <c r="K34" s="2"/>
      <c r="L34" s="6">
        <f t="shared" si="24"/>
        <v>-1192.5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21581.96</v>
      </c>
      <c r="U34" s="2"/>
      <c r="V34" s="7">
        <f t="shared" si="27"/>
        <v>0.10762026382322318</v>
      </c>
      <c r="W34" s="2"/>
      <c r="X34" s="6">
        <f t="shared" si="28"/>
        <v>-21581.96</v>
      </c>
      <c r="Y34" s="2"/>
      <c r="Z34" s="7">
        <f t="shared" si="29"/>
        <v>-1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2"/>
        <v>0</v>
      </c>
      <c r="G35" s="2"/>
      <c r="H35" s="6">
        <v>3682.75</v>
      </c>
      <c r="I35" s="2"/>
      <c r="J35" s="7">
        <f t="shared" si="23"/>
        <v>0.18516088420701216</v>
      </c>
      <c r="K35" s="2"/>
      <c r="L35" s="6">
        <f t="shared" si="24"/>
        <v>-3682.75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26802.06</v>
      </c>
      <c r="U35" s="2"/>
      <c r="V35" s="7">
        <f t="shared" si="27"/>
        <v>0.13365073275114298</v>
      </c>
      <c r="W35" s="2"/>
      <c r="X35" s="6">
        <f t="shared" si="28"/>
        <v>-26802.06</v>
      </c>
      <c r="Y35" s="2"/>
      <c r="Z35" s="7">
        <f t="shared" si="29"/>
        <v>-1</v>
      </c>
    </row>
    <row r="36" spans="1:26" s="24" customFormat="1" hidden="1" outlineLevel="2" x14ac:dyDescent="0.25">
      <c r="A36" s="25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2"/>
        <v>0</v>
      </c>
      <c r="G36" s="2"/>
      <c r="H36" s="6">
        <v>45.5</v>
      </c>
      <c r="I36" s="2"/>
      <c r="J36" s="7">
        <f t="shared" si="23"/>
        <v>2.2876438073230749E-3</v>
      </c>
      <c r="K36" s="2"/>
      <c r="L36" s="6">
        <f t="shared" si="24"/>
        <v>-45.5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2589.5</v>
      </c>
      <c r="U36" s="2"/>
      <c r="V36" s="7">
        <f t="shared" si="27"/>
        <v>1.2912760155715072E-2</v>
      </c>
      <c r="W36" s="2"/>
      <c r="X36" s="6">
        <f t="shared" si="28"/>
        <v>-2589.5</v>
      </c>
      <c r="Y36" s="2"/>
      <c r="Z36" s="7">
        <f t="shared" si="29"/>
        <v>-1</v>
      </c>
    </row>
    <row r="37" spans="1:26" s="26" customFormat="1" outlineLevel="1" collapsed="1" x14ac:dyDescent="0.25">
      <c r="A37" s="27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50" si="30">IF(D$12=0,0,D37/D$12)</f>
        <v>0</v>
      </c>
      <c r="G37" s="1"/>
      <c r="H37" s="1">
        <f>SUM(OSRRefH22_2x_0)</f>
        <v>449.33</v>
      </c>
      <c r="I37" s="1"/>
      <c r="J37" s="5">
        <f t="shared" ref="J37:J50" si="31">IF(H$12=0,0,H37/H$12)</f>
        <v>2.259136246031818E-2</v>
      </c>
      <c r="K37" s="1"/>
      <c r="L37" s="1">
        <f t="shared" ref="L37:L50" si="32">+D37-H37</f>
        <v>-449.33</v>
      </c>
      <c r="M37" s="1"/>
      <c r="N37" s="5">
        <f t="shared" ref="N37:N50" si="33">IF(H37=0,0,L37/H37)</f>
        <v>-1</v>
      </c>
      <c r="O37" s="13"/>
      <c r="P37" s="1">
        <f>SUM(OSRRefP22_2x_0)</f>
        <v>0</v>
      </c>
      <c r="Q37" s="1"/>
      <c r="R37" s="5">
        <f t="shared" ref="R37:R50" si="34">IF(P$12=0,0,P37/P$12)</f>
        <v>0</v>
      </c>
      <c r="S37" s="1"/>
      <c r="T37" s="1">
        <f>SUM(OSRRefT22_2x_0)</f>
        <v>2264.33</v>
      </c>
      <c r="U37" s="1"/>
      <c r="V37" s="5">
        <f t="shared" ref="V37:V50" si="35">IF(T$12=0,0,T37/T$12)</f>
        <v>1.1291272524962466E-2</v>
      </c>
      <c r="W37" s="1"/>
      <c r="X37" s="1">
        <f t="shared" ref="X37:X50" si="36">+P37-T37</f>
        <v>-2264.33</v>
      </c>
      <c r="Y37" s="1"/>
      <c r="Z37" s="5">
        <f t="shared" ref="Z37:Z50" si="37">IF(T37=0,0,X37/T37)</f>
        <v>-1</v>
      </c>
    </row>
    <row r="38" spans="1:26" s="24" customFormat="1" hidden="1" outlineLevel="2" x14ac:dyDescent="0.25">
      <c r="A38" s="25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30"/>
        <v>0</v>
      </c>
      <c r="G38" s="2"/>
      <c r="H38" s="6">
        <v>449.33</v>
      </c>
      <c r="I38" s="2"/>
      <c r="J38" s="7">
        <f t="shared" si="31"/>
        <v>2.259136246031818E-2</v>
      </c>
      <c r="K38" s="2"/>
      <c r="L38" s="6">
        <f t="shared" si="32"/>
        <v>-449.33</v>
      </c>
      <c r="M38" s="2"/>
      <c r="N38" s="7">
        <f t="shared" si="33"/>
        <v>-1</v>
      </c>
      <c r="O38" s="11"/>
      <c r="P38" s="6"/>
      <c r="Q38" s="2"/>
      <c r="R38" s="7">
        <f t="shared" si="34"/>
        <v>0</v>
      </c>
      <c r="S38" s="2"/>
      <c r="T38" s="6">
        <v>2264.33</v>
      </c>
      <c r="U38" s="2"/>
      <c r="V38" s="7">
        <f t="shared" si="35"/>
        <v>1.1291272524962466E-2</v>
      </c>
      <c r="W38" s="2"/>
      <c r="X38" s="6">
        <f t="shared" si="36"/>
        <v>-2264.33</v>
      </c>
      <c r="Y38" s="2"/>
      <c r="Z38" s="7">
        <f t="shared" si="37"/>
        <v>-1</v>
      </c>
    </row>
    <row r="39" spans="1:26" s="26" customFormat="1" outlineLevel="1" collapsed="1" x14ac:dyDescent="0.25">
      <c r="A39" s="27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-11.05</v>
      </c>
      <c r="I39" s="1"/>
      <c r="J39" s="5">
        <f t="shared" si="31"/>
        <v>-5.5557063892131822E-4</v>
      </c>
      <c r="K39" s="1"/>
      <c r="L39" s="1">
        <f t="shared" si="32"/>
        <v>11.05</v>
      </c>
      <c r="M39" s="1"/>
      <c r="N39" s="5">
        <f t="shared" si="33"/>
        <v>-1</v>
      </c>
      <c r="O39" s="13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-48.52</v>
      </c>
      <c r="U39" s="1"/>
      <c r="V39" s="5">
        <f t="shared" si="35"/>
        <v>-2.4194907231330192E-4</v>
      </c>
      <c r="W39" s="1"/>
      <c r="X39" s="1">
        <f t="shared" si="36"/>
        <v>48.52</v>
      </c>
      <c r="Y39" s="1"/>
      <c r="Z39" s="5">
        <f t="shared" si="37"/>
        <v>-1</v>
      </c>
    </row>
    <row r="40" spans="1:26" s="24" customFormat="1" hidden="1" outlineLevel="2" x14ac:dyDescent="0.25">
      <c r="A40" s="25"/>
      <c r="B40" s="11" t="str">
        <f>CONCATENATE("          ", "6272", " - ", "CASH (OVER/SHORT)")</f>
        <v xml:space="preserve">          6272 - CASH (OVER/SHORT)</v>
      </c>
      <c r="C40" s="11"/>
      <c r="D40" s="6"/>
      <c r="E40" s="2"/>
      <c r="F40" s="7">
        <f t="shared" si="30"/>
        <v>0</v>
      </c>
      <c r="G40" s="2"/>
      <c r="H40" s="6">
        <v>-11.05</v>
      </c>
      <c r="I40" s="2"/>
      <c r="J40" s="7">
        <f t="shared" si="31"/>
        <v>-5.5557063892131822E-4</v>
      </c>
      <c r="K40" s="2"/>
      <c r="L40" s="6">
        <f t="shared" si="32"/>
        <v>11.05</v>
      </c>
      <c r="M40" s="2"/>
      <c r="N40" s="7">
        <f t="shared" si="33"/>
        <v>-1</v>
      </c>
      <c r="O40" s="11"/>
      <c r="P40" s="6"/>
      <c r="Q40" s="2"/>
      <c r="R40" s="7">
        <f t="shared" si="34"/>
        <v>0</v>
      </c>
      <c r="S40" s="2"/>
      <c r="T40" s="6">
        <v>-48.52</v>
      </c>
      <c r="U40" s="2"/>
      <c r="V40" s="7">
        <f t="shared" si="35"/>
        <v>-2.4194907231330192E-4</v>
      </c>
      <c r="W40" s="2"/>
      <c r="X40" s="6">
        <f t="shared" si="36"/>
        <v>48.52</v>
      </c>
      <c r="Y40" s="2"/>
      <c r="Z40" s="7">
        <f t="shared" si="37"/>
        <v>-1</v>
      </c>
    </row>
    <row r="41" spans="1:26" s="26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665.05</v>
      </c>
      <c r="I41" s="1"/>
      <c r="J41" s="5">
        <f t="shared" si="31"/>
        <v>3.3437308001323315E-2</v>
      </c>
      <c r="K41" s="1"/>
      <c r="L41" s="1">
        <f t="shared" si="32"/>
        <v>-665.05</v>
      </c>
      <c r="M41" s="1"/>
      <c r="N41" s="5">
        <f t="shared" si="33"/>
        <v>-1</v>
      </c>
      <c r="O41" s="13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7903.13</v>
      </c>
      <c r="U41" s="1"/>
      <c r="V41" s="5">
        <f t="shared" si="35"/>
        <v>3.9409624317218173E-2</v>
      </c>
      <c r="W41" s="1"/>
      <c r="X41" s="1">
        <f t="shared" si="36"/>
        <v>-7903.13</v>
      </c>
      <c r="Y41" s="1"/>
      <c r="Z41" s="5">
        <f t="shared" si="37"/>
        <v>-1</v>
      </c>
    </row>
    <row r="42" spans="1:26" s="24" customFormat="1" hidden="1" outlineLevel="2" x14ac:dyDescent="0.25">
      <c r="A42" s="25"/>
      <c r="B42" s="11" t="str">
        <f>CONCATENATE("          ", "6381", " - ", "BANK/CREDIT CARD FEES")</f>
        <v xml:space="preserve">          6381 - BANK/CREDIT CARD FEES</v>
      </c>
      <c r="C42" s="11"/>
      <c r="D42" s="6"/>
      <c r="E42" s="2"/>
      <c r="F42" s="7">
        <f t="shared" si="30"/>
        <v>0</v>
      </c>
      <c r="G42" s="2"/>
      <c r="H42" s="6">
        <v>665.05</v>
      </c>
      <c r="I42" s="2"/>
      <c r="J42" s="7">
        <f t="shared" si="31"/>
        <v>3.3437308001323315E-2</v>
      </c>
      <c r="K42" s="2"/>
      <c r="L42" s="6">
        <f t="shared" si="32"/>
        <v>-665.05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7903.13</v>
      </c>
      <c r="U42" s="2"/>
      <c r="V42" s="7">
        <f t="shared" si="35"/>
        <v>3.9409624317218173E-2</v>
      </c>
      <c r="W42" s="2"/>
      <c r="X42" s="6">
        <f t="shared" si="36"/>
        <v>-7903.13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58.03</v>
      </c>
      <c r="E43" s="1"/>
      <c r="F43" s="5">
        <f t="shared" si="30"/>
        <v>0</v>
      </c>
      <c r="G43" s="1"/>
      <c r="H43" s="1">
        <f>SUM(OSRRefH22_5x_0)</f>
        <v>630.21</v>
      </c>
      <c r="I43" s="1"/>
      <c r="J43" s="5">
        <f t="shared" si="31"/>
        <v>3.168562645743022E-2</v>
      </c>
      <c r="K43" s="1"/>
      <c r="L43" s="1">
        <f t="shared" si="32"/>
        <v>-572.18000000000006</v>
      </c>
      <c r="M43" s="1"/>
      <c r="N43" s="5">
        <f t="shared" si="33"/>
        <v>-0.90791958236143511</v>
      </c>
      <c r="O43" s="13"/>
      <c r="P43" s="1">
        <f>SUM(OSRRefP22_5x_0)</f>
        <v>406.21</v>
      </c>
      <c r="Q43" s="1"/>
      <c r="R43" s="5">
        <f t="shared" si="34"/>
        <v>0</v>
      </c>
      <c r="S43" s="1"/>
      <c r="T43" s="1">
        <f>SUM(OSRRefT22_5x_0)</f>
        <v>4411.47</v>
      </c>
      <c r="U43" s="1"/>
      <c r="V43" s="5">
        <f t="shared" si="35"/>
        <v>2.1998167230790643E-2</v>
      </c>
      <c r="W43" s="1"/>
      <c r="X43" s="1">
        <f t="shared" si="36"/>
        <v>-4005.26</v>
      </c>
      <c r="Y43" s="1"/>
      <c r="Z43" s="5">
        <f t="shared" si="37"/>
        <v>-0.90791958236143511</v>
      </c>
    </row>
    <row r="44" spans="1:26" s="24" customFormat="1" hidden="1" outlineLevel="2" x14ac:dyDescent="0.25">
      <c r="A44" s="25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58.03</v>
      </c>
      <c r="E44" s="2"/>
      <c r="F44" s="7">
        <f t="shared" si="30"/>
        <v>0</v>
      </c>
      <c r="G44" s="2"/>
      <c r="H44" s="6">
        <v>630.21</v>
      </c>
      <c r="I44" s="2"/>
      <c r="J44" s="7">
        <f t="shared" si="31"/>
        <v>3.168562645743022E-2</v>
      </c>
      <c r="K44" s="2"/>
      <c r="L44" s="6">
        <f t="shared" si="32"/>
        <v>-572.18000000000006</v>
      </c>
      <c r="M44" s="2"/>
      <c r="N44" s="7">
        <f t="shared" si="33"/>
        <v>-0.90791958236143511</v>
      </c>
      <c r="O44" s="11"/>
      <c r="P44" s="6">
        <v>406.21</v>
      </c>
      <c r="Q44" s="2"/>
      <c r="R44" s="7">
        <f t="shared" si="34"/>
        <v>0</v>
      </c>
      <c r="S44" s="2"/>
      <c r="T44" s="6">
        <v>4411.47</v>
      </c>
      <c r="U44" s="2"/>
      <c r="V44" s="7">
        <f t="shared" si="35"/>
        <v>2.1998167230790643E-2</v>
      </c>
      <c r="W44" s="2"/>
      <c r="X44" s="6">
        <f t="shared" si="36"/>
        <v>-4005.26</v>
      </c>
      <c r="Y44" s="2"/>
      <c r="Z44" s="7">
        <f t="shared" si="37"/>
        <v>-0.90791958236143511</v>
      </c>
    </row>
    <row r="45" spans="1:26" s="26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si="30"/>
        <v>0</v>
      </c>
      <c r="G45" s="1"/>
      <c r="H45" s="1">
        <f>SUM(OSRRefH22_6x_0)</f>
        <v>23.4</v>
      </c>
      <c r="I45" s="1"/>
      <c r="J45" s="5">
        <f t="shared" si="31"/>
        <v>1.1765025294804383E-3</v>
      </c>
      <c r="K45" s="1"/>
      <c r="L45" s="1">
        <f t="shared" si="32"/>
        <v>-23.4</v>
      </c>
      <c r="M45" s="1"/>
      <c r="N45" s="5">
        <f t="shared" si="33"/>
        <v>-1</v>
      </c>
      <c r="O45" s="13"/>
      <c r="P45" s="1">
        <f>SUM(OSRRefP22_6x_0)</f>
        <v>0</v>
      </c>
      <c r="Q45" s="1"/>
      <c r="R45" s="5">
        <f t="shared" si="34"/>
        <v>0</v>
      </c>
      <c r="S45" s="1"/>
      <c r="T45" s="1">
        <f>SUM(OSRRefT22_6x_0)</f>
        <v>874.75</v>
      </c>
      <c r="U45" s="1"/>
      <c r="V45" s="5">
        <f t="shared" si="35"/>
        <v>4.3620146538759447E-3</v>
      </c>
      <c r="W45" s="1"/>
      <c r="X45" s="1">
        <f t="shared" si="36"/>
        <v>-874.75</v>
      </c>
      <c r="Y45" s="1"/>
      <c r="Z45" s="5">
        <f t="shared" si="37"/>
        <v>-1</v>
      </c>
    </row>
    <row r="46" spans="1:26" s="24" customFormat="1" hidden="1" outlineLevel="2" x14ac:dyDescent="0.25">
      <c r="A46" s="25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30"/>
        <v>0</v>
      </c>
      <c r="G46" s="2"/>
      <c r="H46" s="6">
        <v>23.4</v>
      </c>
      <c r="I46" s="2"/>
      <c r="J46" s="7">
        <f t="shared" si="31"/>
        <v>1.1765025294804383E-3</v>
      </c>
      <c r="K46" s="2"/>
      <c r="L46" s="6">
        <f t="shared" si="32"/>
        <v>-23.4</v>
      </c>
      <c r="M46" s="2"/>
      <c r="N46" s="7">
        <f t="shared" si="33"/>
        <v>-1</v>
      </c>
      <c r="O46" s="11"/>
      <c r="P46" s="6"/>
      <c r="Q46" s="2"/>
      <c r="R46" s="7">
        <f t="shared" si="34"/>
        <v>0</v>
      </c>
      <c r="S46" s="2"/>
      <c r="T46" s="6">
        <v>874.75</v>
      </c>
      <c r="U46" s="2"/>
      <c r="V46" s="7">
        <f t="shared" si="35"/>
        <v>4.3620146538759447E-3</v>
      </c>
      <c r="W46" s="2"/>
      <c r="X46" s="6">
        <f t="shared" si="36"/>
        <v>-874.75</v>
      </c>
      <c r="Y46" s="2"/>
      <c r="Z46" s="7">
        <f t="shared" si="37"/>
        <v>-1</v>
      </c>
    </row>
    <row r="47" spans="1:26" s="26" customFormat="1" outlineLevel="1" collapsed="1" x14ac:dyDescent="0.25">
      <c r="A47" s="27"/>
      <c r="B47" s="13" t="str">
        <f>CONCATENATE("     ","Repair and Maintenance                            ")</f>
        <v xml:space="preserve">     Repair and Maintenance                            </v>
      </c>
      <c r="C47" s="13"/>
      <c r="D47" s="1">
        <f>SUM(OSRRefD22_7x_0)</f>
        <v>0</v>
      </c>
      <c r="E47" s="1"/>
      <c r="F47" s="5">
        <f t="shared" si="30"/>
        <v>0</v>
      </c>
      <c r="G47" s="1"/>
      <c r="H47" s="1">
        <f>SUM(OSRRefH22_7x_0)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3"/>
      <c r="P47" s="1">
        <f>SUM(OSRRefP22_7x_0)</f>
        <v>410.1</v>
      </c>
      <c r="Q47" s="1"/>
      <c r="R47" s="5">
        <f t="shared" si="34"/>
        <v>0</v>
      </c>
      <c r="S47" s="1"/>
      <c r="T47" s="1">
        <f>SUM(OSRRefT22_7x_0)</f>
        <v>8449.36</v>
      </c>
      <c r="U47" s="1"/>
      <c r="V47" s="5">
        <f t="shared" si="35"/>
        <v>4.2133446282793093E-2</v>
      </c>
      <c r="W47" s="1"/>
      <c r="X47" s="1">
        <f t="shared" si="36"/>
        <v>-8039.26</v>
      </c>
      <c r="Y47" s="1"/>
      <c r="Z47" s="5">
        <f t="shared" si="37"/>
        <v>-0.95146377950519323</v>
      </c>
    </row>
    <row r="48" spans="1:26" s="24" customFormat="1" hidden="1" outlineLevel="2" x14ac:dyDescent="0.25">
      <c r="A48" s="25"/>
      <c r="B48" s="11" t="str">
        <f>CONCATENATE("          ", "6371", " - ", "COMPUTER SOFTWARE MAINTENANCE")</f>
        <v xml:space="preserve">          6371 - COMPUTER SOFTWARE MAINTENANCE</v>
      </c>
      <c r="C48" s="11"/>
      <c r="D48" s="6"/>
      <c r="E48" s="2"/>
      <c r="F48" s="7">
        <f t="shared" si="30"/>
        <v>0</v>
      </c>
      <c r="G48" s="2"/>
      <c r="H48" s="6"/>
      <c r="I48" s="2"/>
      <c r="J48" s="7">
        <f t="shared" si="31"/>
        <v>0</v>
      </c>
      <c r="K48" s="2"/>
      <c r="L48" s="6">
        <f t="shared" si="32"/>
        <v>0</v>
      </c>
      <c r="M48" s="2"/>
      <c r="N48" s="7">
        <f t="shared" si="33"/>
        <v>0</v>
      </c>
      <c r="O48" s="11"/>
      <c r="P48" s="6"/>
      <c r="Q48" s="2"/>
      <c r="R48" s="7">
        <f t="shared" si="34"/>
        <v>0</v>
      </c>
      <c r="S48" s="2"/>
      <c r="T48" s="6">
        <v>874.62</v>
      </c>
      <c r="U48" s="2"/>
      <c r="V48" s="7">
        <f t="shared" si="35"/>
        <v>4.3613663979113794E-3</v>
      </c>
      <c r="W48" s="2"/>
      <c r="X48" s="6">
        <f t="shared" si="36"/>
        <v>-874.62</v>
      </c>
      <c r="Y48" s="2"/>
      <c r="Z48" s="7">
        <f t="shared" si="37"/>
        <v>-1</v>
      </c>
    </row>
    <row r="49" spans="1:26" s="24" customFormat="1" hidden="1" outlineLevel="2" x14ac:dyDescent="0.25">
      <c r="A49" s="25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0</v>
      </c>
      <c r="M49" s="2"/>
      <c r="N49" s="7">
        <f t="shared" si="33"/>
        <v>0</v>
      </c>
      <c r="O49" s="11"/>
      <c r="P49" s="6">
        <v>410.1</v>
      </c>
      <c r="Q49" s="2"/>
      <c r="R49" s="7">
        <f t="shared" si="34"/>
        <v>0</v>
      </c>
      <c r="S49" s="2"/>
      <c r="T49" s="6">
        <v>866.22</v>
      </c>
      <c r="U49" s="2"/>
      <c r="V49" s="7">
        <f t="shared" si="35"/>
        <v>4.3194790894317469E-3</v>
      </c>
      <c r="W49" s="2"/>
      <c r="X49" s="6">
        <f t="shared" si="36"/>
        <v>-456.12</v>
      </c>
      <c r="Y49" s="2"/>
      <c r="Z49" s="7">
        <f t="shared" si="37"/>
        <v>-0.52656369051742047</v>
      </c>
    </row>
    <row r="50" spans="1:26" s="24" customFormat="1" hidden="1" outlineLevel="2" x14ac:dyDescent="0.25">
      <c r="A50" s="25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0</v>
      </c>
      <c r="M50" s="2"/>
      <c r="N50" s="7">
        <f t="shared" si="33"/>
        <v>0</v>
      </c>
      <c r="O50" s="11"/>
      <c r="P50" s="6"/>
      <c r="Q50" s="2"/>
      <c r="R50" s="7">
        <f t="shared" si="34"/>
        <v>0</v>
      </c>
      <c r="S50" s="2"/>
      <c r="T50" s="6">
        <v>6708.52</v>
      </c>
      <c r="U50" s="2"/>
      <c r="V50" s="7">
        <f t="shared" si="35"/>
        <v>3.3452600795449962E-2</v>
      </c>
      <c r="W50" s="2"/>
      <c r="X50" s="6">
        <f t="shared" si="36"/>
        <v>-6708.52</v>
      </c>
      <c r="Y50" s="2"/>
      <c r="Z50" s="7">
        <f t="shared" si="37"/>
        <v>-1</v>
      </c>
    </row>
    <row r="51" spans="1:26" s="26" customFormat="1" outlineLevel="1" collapsed="1" x14ac:dyDescent="0.25">
      <c r="A51" s="27"/>
      <c r="B51" s="13" t="str">
        <f>CONCATENATE("     ","Services                                          ")</f>
        <v xml:space="preserve">     Services                                          </v>
      </c>
      <c r="C51" s="13"/>
      <c r="D51" s="1">
        <f>SUM(OSRRefD22_8x_0)</f>
        <v>0</v>
      </c>
      <c r="E51" s="1"/>
      <c r="F51" s="5">
        <f t="shared" ref="F51:F54" si="38">IF(D$12=0,0,D51/D$12)</f>
        <v>0</v>
      </c>
      <c r="G51" s="1"/>
      <c r="H51" s="1">
        <f>SUM(OSRRefH22_8x_0)</f>
        <v>414.65</v>
      </c>
      <c r="I51" s="1"/>
      <c r="J51" s="5">
        <f t="shared" ref="J51:J54" si="39">IF(H$12=0,0,H51/H$12)</f>
        <v>2.0847725378165118E-2</v>
      </c>
      <c r="K51" s="1"/>
      <c r="L51" s="1">
        <f t="shared" ref="L51:L54" si="40">+D51-H51</f>
        <v>-414.65</v>
      </c>
      <c r="M51" s="1"/>
      <c r="N51" s="5">
        <f t="shared" ref="N51:N54" si="41">IF(H51=0,0,L51/H51)</f>
        <v>-1</v>
      </c>
      <c r="O51" s="13"/>
      <c r="P51" s="1">
        <f>SUM(OSRRefP22_8x_0)</f>
        <v>286.62</v>
      </c>
      <c r="Q51" s="1"/>
      <c r="R51" s="5">
        <f t="shared" ref="R51:R54" si="42">IF(P$12=0,0,P51/P$12)</f>
        <v>0</v>
      </c>
      <c r="S51" s="1"/>
      <c r="T51" s="1">
        <f>SUM(OSRRefT22_8x_0)</f>
        <v>846.22</v>
      </c>
      <c r="U51" s="1"/>
      <c r="V51" s="5">
        <f t="shared" ref="V51:V54" si="43">IF(T$12=0,0,T51/T$12)</f>
        <v>4.219747402575481E-3</v>
      </c>
      <c r="W51" s="1"/>
      <c r="X51" s="1">
        <f t="shared" ref="X51:X54" si="44">+P51-T51</f>
        <v>-559.6</v>
      </c>
      <c r="Y51" s="1"/>
      <c r="Z51" s="5">
        <f t="shared" ref="Z51:Z54" si="45">IF(T51=0,0,X51/T51)</f>
        <v>-0.66129375339746166</v>
      </c>
    </row>
    <row r="52" spans="1:26" s="24" customFormat="1" hidden="1" outlineLevel="2" x14ac:dyDescent="0.25">
      <c r="A52" s="25"/>
      <c r="B52" s="11" t="str">
        <f>CONCATENATE("          ", "6282", " - ", "JANITORIAL/EXTERMINATOR EXPENS")</f>
        <v xml:space="preserve">          6282 - JANITORIAL/EXTERMINATOR EXPENS</v>
      </c>
      <c r="C52" s="11"/>
      <c r="D52" s="6"/>
      <c r="E52" s="2"/>
      <c r="F52" s="7">
        <f t="shared" si="38"/>
        <v>0</v>
      </c>
      <c r="G52" s="2"/>
      <c r="H52" s="6"/>
      <c r="I52" s="2"/>
      <c r="J52" s="7">
        <f t="shared" si="39"/>
        <v>0</v>
      </c>
      <c r="K52" s="2"/>
      <c r="L52" s="6">
        <f t="shared" si="40"/>
        <v>0</v>
      </c>
      <c r="M52" s="2"/>
      <c r="N52" s="7">
        <f t="shared" si="41"/>
        <v>0</v>
      </c>
      <c r="O52" s="11"/>
      <c r="P52" s="6">
        <v>286.62</v>
      </c>
      <c r="Q52" s="2"/>
      <c r="R52" s="7">
        <f t="shared" si="42"/>
        <v>0</v>
      </c>
      <c r="S52" s="2"/>
      <c r="T52" s="6"/>
      <c r="U52" s="2"/>
      <c r="V52" s="7">
        <f t="shared" si="43"/>
        <v>0</v>
      </c>
      <c r="W52" s="2"/>
      <c r="X52" s="6">
        <f t="shared" si="44"/>
        <v>286.62</v>
      </c>
      <c r="Y52" s="2"/>
      <c r="Z52" s="7">
        <f t="shared" si="45"/>
        <v>0</v>
      </c>
    </row>
    <row r="53" spans="1:26" s="24" customFormat="1" hidden="1" outlineLevel="2" x14ac:dyDescent="0.25">
      <c r="A53" s="25"/>
      <c r="B53" s="11" t="str">
        <f>CONCATENATE("          ", "6285", " - ", "JANITORIAL SERVICES")</f>
        <v xml:space="preserve">          6285 - JANITORIAL SERVICES</v>
      </c>
      <c r="C53" s="11"/>
      <c r="D53" s="6"/>
      <c r="E53" s="2"/>
      <c r="F53" s="7">
        <f t="shared" si="38"/>
        <v>0</v>
      </c>
      <c r="G53" s="2"/>
      <c r="H53" s="6">
        <v>348</v>
      </c>
      <c r="I53" s="2"/>
      <c r="J53" s="7">
        <f t="shared" si="39"/>
        <v>1.7496704284580878E-2</v>
      </c>
      <c r="K53" s="2"/>
      <c r="L53" s="6">
        <f t="shared" si="40"/>
        <v>-348</v>
      </c>
      <c r="M53" s="2"/>
      <c r="N53" s="7">
        <f t="shared" si="41"/>
        <v>-1</v>
      </c>
      <c r="O53" s="11"/>
      <c r="P53" s="6"/>
      <c r="Q53" s="2"/>
      <c r="R53" s="7">
        <f t="shared" si="42"/>
        <v>0</v>
      </c>
      <c r="S53" s="2"/>
      <c r="T53" s="6">
        <v>348</v>
      </c>
      <c r="U53" s="2"/>
      <c r="V53" s="7">
        <f t="shared" si="43"/>
        <v>1.7353313512990325E-3</v>
      </c>
      <c r="W53" s="2"/>
      <c r="X53" s="6">
        <f t="shared" si="44"/>
        <v>-348</v>
      </c>
      <c r="Y53" s="2"/>
      <c r="Z53" s="7">
        <f t="shared" si="45"/>
        <v>-1</v>
      </c>
    </row>
    <row r="54" spans="1:26" s="24" customFormat="1" hidden="1" outlineLevel="2" x14ac:dyDescent="0.25">
      <c r="A54" s="25"/>
      <c r="B54" s="11" t="str">
        <f>CONCATENATE("          ", "6286", " - ", "LAUNDRY EXPENSE")</f>
        <v xml:space="preserve">          6286 - LAUNDRY EXPENSE</v>
      </c>
      <c r="C54" s="11"/>
      <c r="D54" s="6"/>
      <c r="E54" s="2"/>
      <c r="F54" s="7">
        <f t="shared" si="38"/>
        <v>0</v>
      </c>
      <c r="G54" s="2"/>
      <c r="H54" s="6">
        <v>66.650000000000006</v>
      </c>
      <c r="I54" s="2"/>
      <c r="J54" s="7">
        <f t="shared" si="39"/>
        <v>3.3510210935842407E-3</v>
      </c>
      <c r="K54" s="2"/>
      <c r="L54" s="6">
        <f t="shared" si="40"/>
        <v>-66.650000000000006</v>
      </c>
      <c r="M54" s="2"/>
      <c r="N54" s="7">
        <f t="shared" si="41"/>
        <v>-1</v>
      </c>
      <c r="O54" s="11"/>
      <c r="P54" s="6"/>
      <c r="Q54" s="2"/>
      <c r="R54" s="7">
        <f t="shared" si="42"/>
        <v>0</v>
      </c>
      <c r="S54" s="2"/>
      <c r="T54" s="6">
        <v>498.22</v>
      </c>
      <c r="U54" s="2"/>
      <c r="V54" s="7">
        <f t="shared" si="43"/>
        <v>2.4844160512764485E-3</v>
      </c>
      <c r="W54" s="2"/>
      <c r="X54" s="6">
        <f t="shared" si="44"/>
        <v>-498.22</v>
      </c>
      <c r="Y54" s="2"/>
      <c r="Z54" s="7">
        <f t="shared" si="45"/>
        <v>-1</v>
      </c>
    </row>
    <row r="55" spans="1:26" s="26" customFormat="1" outlineLevel="1" collapsed="1" x14ac:dyDescent="0.25">
      <c r="A55" s="27"/>
      <c r="B55" s="13" t="str">
        <f>CONCATENATE("     ","Supplies                                          ")</f>
        <v xml:space="preserve">     Supplies                                          </v>
      </c>
      <c r="C55" s="13"/>
      <c r="D55" s="1">
        <f>SUM(OSRRefD22_9x_0)</f>
        <v>0</v>
      </c>
      <c r="E55" s="1"/>
      <c r="F55" s="5">
        <f t="shared" ref="F55:F61" si="46">IF(D$12=0,0,D55/D$12)</f>
        <v>0</v>
      </c>
      <c r="G55" s="1"/>
      <c r="H55" s="1">
        <f>SUM(OSRRefH22_9x_0)</f>
        <v>818.15</v>
      </c>
      <c r="I55" s="1"/>
      <c r="J55" s="5">
        <f t="shared" ref="J55:J61" si="47">IF(H$12=0,0,H55/H$12)</f>
        <v>4.1134852328821393E-2</v>
      </c>
      <c r="K55" s="1"/>
      <c r="L55" s="1">
        <f t="shared" ref="L55:L61" si="48">+D55-H55</f>
        <v>-818.15</v>
      </c>
      <c r="M55" s="1"/>
      <c r="N55" s="5">
        <f t="shared" ref="N55:N61" si="49">IF(H55=0,0,L55/H55)</f>
        <v>-1</v>
      </c>
      <c r="O55" s="13"/>
      <c r="P55" s="1">
        <f>SUM(OSRRefP22_9x_0)</f>
        <v>0</v>
      </c>
      <c r="Q55" s="1"/>
      <c r="R55" s="5">
        <f t="shared" ref="R55:R61" si="50">IF(P$12=0,0,P55/P$12)</f>
        <v>0</v>
      </c>
      <c r="S55" s="1"/>
      <c r="T55" s="1">
        <f>SUM(OSRRefT22_9x_0)</f>
        <v>3800.38</v>
      </c>
      <c r="U55" s="1"/>
      <c r="V55" s="5">
        <f t="shared" ref="V55:V61" si="51">IF(T$12=0,0,T55/T$12)</f>
        <v>1.8950915404740854E-2</v>
      </c>
      <c r="W55" s="1"/>
      <c r="X55" s="1">
        <f t="shared" ref="X55:X61" si="52">+P55-T55</f>
        <v>-3800.38</v>
      </c>
      <c r="Y55" s="1"/>
      <c r="Z55" s="5">
        <f t="shared" ref="Z55:Z61" si="53">IF(T55=0,0,X55/T55)</f>
        <v>-1</v>
      </c>
    </row>
    <row r="56" spans="1:26" s="24" customFormat="1" hidden="1" outlineLevel="2" x14ac:dyDescent="0.25">
      <c r="A56" s="25"/>
      <c r="B56" s="11" t="str">
        <f>CONCATENATE("          ", "6239", " - ", "KITCHEN SUPPLIES")</f>
        <v xml:space="preserve">          6239 - KITCHEN SUPPLIES</v>
      </c>
      <c r="C56" s="11"/>
      <c r="D56" s="6"/>
      <c r="E56" s="2"/>
      <c r="F56" s="7">
        <f t="shared" si="46"/>
        <v>0</v>
      </c>
      <c r="G56" s="2"/>
      <c r="H56" s="6"/>
      <c r="I56" s="2"/>
      <c r="J56" s="7">
        <f t="shared" si="47"/>
        <v>0</v>
      </c>
      <c r="K56" s="2"/>
      <c r="L56" s="6">
        <f t="shared" si="48"/>
        <v>0</v>
      </c>
      <c r="M56" s="2"/>
      <c r="N56" s="7">
        <f t="shared" si="49"/>
        <v>0</v>
      </c>
      <c r="O56" s="11"/>
      <c r="P56" s="6"/>
      <c r="Q56" s="2"/>
      <c r="R56" s="7">
        <f t="shared" si="50"/>
        <v>0</v>
      </c>
      <c r="S56" s="2"/>
      <c r="T56" s="6">
        <v>540.89</v>
      </c>
      <c r="U56" s="2"/>
      <c r="V56" s="7">
        <f t="shared" si="51"/>
        <v>2.6971936051842921E-3</v>
      </c>
      <c r="W56" s="2"/>
      <c r="X56" s="6">
        <f t="shared" si="52"/>
        <v>-540.89</v>
      </c>
      <c r="Y56" s="2"/>
      <c r="Z56" s="7">
        <f t="shared" si="53"/>
        <v>-1</v>
      </c>
    </row>
    <row r="57" spans="1:26" s="24" customFormat="1" hidden="1" outlineLevel="2" x14ac:dyDescent="0.25">
      <c r="A57" s="25"/>
      <c r="B57" s="11" t="str">
        <f>CONCATENATE("          ", "6241", " - ", "OFFICE EXPENSE")</f>
        <v xml:space="preserve">          6241 - OFFICE EXPENSE</v>
      </c>
      <c r="C57" s="11"/>
      <c r="D57" s="6"/>
      <c r="E57" s="2"/>
      <c r="F57" s="7">
        <f t="shared" si="46"/>
        <v>0</v>
      </c>
      <c r="G57" s="2"/>
      <c r="H57" s="6">
        <v>238.85</v>
      </c>
      <c r="I57" s="2"/>
      <c r="J57" s="7">
        <f t="shared" si="47"/>
        <v>1.2008873041299261E-2</v>
      </c>
      <c r="K57" s="2"/>
      <c r="L57" s="6">
        <f t="shared" si="48"/>
        <v>-238.85</v>
      </c>
      <c r="M57" s="2"/>
      <c r="N57" s="7">
        <f t="shared" si="49"/>
        <v>-1</v>
      </c>
      <c r="O57" s="11"/>
      <c r="P57" s="6"/>
      <c r="Q57" s="2"/>
      <c r="R57" s="7">
        <f t="shared" si="50"/>
        <v>0</v>
      </c>
      <c r="S57" s="2"/>
      <c r="T57" s="6">
        <v>1149.17</v>
      </c>
      <c r="U57" s="2"/>
      <c r="V57" s="7">
        <f t="shared" si="51"/>
        <v>5.7304331292307746E-3</v>
      </c>
      <c r="W57" s="2"/>
      <c r="X57" s="6">
        <f t="shared" si="52"/>
        <v>-1149.17</v>
      </c>
      <c r="Y57" s="2"/>
      <c r="Z57" s="7">
        <f t="shared" si="53"/>
        <v>-1</v>
      </c>
    </row>
    <row r="58" spans="1:26" s="24" customFormat="1" hidden="1" outlineLevel="2" x14ac:dyDescent="0.25">
      <c r="A58" s="25"/>
      <c r="B58" s="11" t="str">
        <f>CONCATENATE("          ", "6243", " - ", "PAPER SUPPLIES")</f>
        <v xml:space="preserve">          6243 - PAPER SUPPLIES</v>
      </c>
      <c r="C58" s="11"/>
      <c r="D58" s="6"/>
      <c r="E58" s="2"/>
      <c r="F58" s="7">
        <f t="shared" si="46"/>
        <v>0</v>
      </c>
      <c r="G58" s="2"/>
      <c r="H58" s="6">
        <v>334.91</v>
      </c>
      <c r="I58" s="2"/>
      <c r="J58" s="7">
        <f t="shared" si="47"/>
        <v>1.6838566758474088E-2</v>
      </c>
      <c r="K58" s="2"/>
      <c r="L58" s="6">
        <f t="shared" si="48"/>
        <v>-334.91</v>
      </c>
      <c r="M58" s="2"/>
      <c r="N58" s="7">
        <f t="shared" si="49"/>
        <v>-1</v>
      </c>
      <c r="O58" s="11"/>
      <c r="P58" s="6"/>
      <c r="Q58" s="2"/>
      <c r="R58" s="7">
        <f t="shared" si="50"/>
        <v>0</v>
      </c>
      <c r="S58" s="2"/>
      <c r="T58" s="6">
        <v>1127.71</v>
      </c>
      <c r="U58" s="2"/>
      <c r="V58" s="7">
        <f t="shared" si="51"/>
        <v>5.6234210292340006E-3</v>
      </c>
      <c r="W58" s="2"/>
      <c r="X58" s="6">
        <f t="shared" si="52"/>
        <v>-1127.71</v>
      </c>
      <c r="Y58" s="2"/>
      <c r="Z58" s="7">
        <f t="shared" si="53"/>
        <v>-1</v>
      </c>
    </row>
    <row r="59" spans="1:26" s="24" customFormat="1" hidden="1" outlineLevel="2" x14ac:dyDescent="0.25">
      <c r="A59" s="25"/>
      <c r="B59" s="11" t="str">
        <f>CONCATENATE("          ", "6245", " - ", "PRINTING")</f>
        <v xml:space="preserve">          6245 - PRINTING</v>
      </c>
      <c r="C59" s="11"/>
      <c r="D59" s="6"/>
      <c r="E59" s="2"/>
      <c r="F59" s="7">
        <f t="shared" si="46"/>
        <v>0</v>
      </c>
      <c r="G59" s="2"/>
      <c r="H59" s="6">
        <v>244.39</v>
      </c>
      <c r="I59" s="2"/>
      <c r="J59" s="7">
        <f t="shared" si="47"/>
        <v>1.2287412529048048E-2</v>
      </c>
      <c r="K59" s="2"/>
      <c r="L59" s="6">
        <f t="shared" si="48"/>
        <v>-244.39</v>
      </c>
      <c r="M59" s="2"/>
      <c r="N59" s="7">
        <f t="shared" si="49"/>
        <v>-1</v>
      </c>
      <c r="O59" s="11"/>
      <c r="P59" s="6"/>
      <c r="Q59" s="2"/>
      <c r="R59" s="7">
        <f t="shared" si="50"/>
        <v>0</v>
      </c>
      <c r="S59" s="2"/>
      <c r="T59" s="6">
        <v>244.39</v>
      </c>
      <c r="U59" s="2"/>
      <c r="V59" s="7">
        <f t="shared" si="51"/>
        <v>1.2186713475401453E-3</v>
      </c>
      <c r="W59" s="2"/>
      <c r="X59" s="6">
        <f t="shared" si="52"/>
        <v>-244.39</v>
      </c>
      <c r="Y59" s="2"/>
      <c r="Z59" s="7">
        <f t="shared" si="53"/>
        <v>-1</v>
      </c>
    </row>
    <row r="60" spans="1:26" s="24" customFormat="1" hidden="1" outlineLevel="2" x14ac:dyDescent="0.25">
      <c r="A60" s="25"/>
      <c r="B60" s="11" t="str">
        <f>CONCATENATE("          ", "6247", " - ", "STORE SUPPLIES")</f>
        <v xml:space="preserve">          6247 - STORE SUPPLIES</v>
      </c>
      <c r="C60" s="11"/>
      <c r="D60" s="6"/>
      <c r="E60" s="2"/>
      <c r="F60" s="7">
        <f t="shared" si="46"/>
        <v>0</v>
      </c>
      <c r="G60" s="2"/>
      <c r="H60" s="6"/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1"/>
      <c r="P60" s="6"/>
      <c r="Q60" s="2"/>
      <c r="R60" s="7">
        <f t="shared" si="50"/>
        <v>0</v>
      </c>
      <c r="S60" s="2"/>
      <c r="T60" s="6">
        <v>42.98</v>
      </c>
      <c r="U60" s="2"/>
      <c r="V60" s="7">
        <f t="shared" si="51"/>
        <v>2.1432339505411614E-4</v>
      </c>
      <c r="W60" s="2"/>
      <c r="X60" s="6">
        <f t="shared" si="52"/>
        <v>-42.98</v>
      </c>
      <c r="Y60" s="2"/>
      <c r="Z60" s="7">
        <f t="shared" si="53"/>
        <v>-1</v>
      </c>
    </row>
    <row r="61" spans="1:26" s="24" customFormat="1" hidden="1" outlineLevel="2" x14ac:dyDescent="0.25">
      <c r="A61" s="25"/>
      <c r="B61" s="11" t="str">
        <f>CONCATENATE("          ", "6248", " - ", "UNIFORMS")</f>
        <v xml:space="preserve">          6248 - UNIFORMS</v>
      </c>
      <c r="C61" s="11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/>
      <c r="Q61" s="2"/>
      <c r="R61" s="7">
        <f t="shared" si="50"/>
        <v>0</v>
      </c>
      <c r="S61" s="2"/>
      <c r="T61" s="6">
        <v>695.24</v>
      </c>
      <c r="U61" s="2"/>
      <c r="V61" s="7">
        <f t="shared" si="51"/>
        <v>3.466872898497527E-3</v>
      </c>
      <c r="W61" s="2"/>
      <c r="X61" s="6">
        <f t="shared" si="52"/>
        <v>-695.24</v>
      </c>
      <c r="Y61" s="2"/>
      <c r="Z61" s="7">
        <f t="shared" si="53"/>
        <v>-1</v>
      </c>
    </row>
    <row r="62" spans="1:26" s="26" customFormat="1" outlineLevel="1" collapsed="1" x14ac:dyDescent="0.25">
      <c r="A62" s="27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SUM(OSRRefD22_10x_0)</f>
        <v>0</v>
      </c>
      <c r="E62" s="1"/>
      <c r="F62" s="5">
        <f t="shared" ref="F62:F63" si="54">IF(D$12=0,0,D62/D$12)</f>
        <v>0</v>
      </c>
      <c r="G62" s="1"/>
      <c r="H62" s="1">
        <f>SUM(OSRRefH22_10x_0)</f>
        <v>71</v>
      </c>
      <c r="I62" s="1"/>
      <c r="J62" s="5">
        <f t="shared" ref="J62:J63" si="55">IF(H$12=0,0,H62/H$12)</f>
        <v>3.5697298971415011E-3</v>
      </c>
      <c r="K62" s="1"/>
      <c r="L62" s="1">
        <f t="shared" ref="L62:L63" si="56">+D62-H62</f>
        <v>-71</v>
      </c>
      <c r="M62" s="1"/>
      <c r="N62" s="5">
        <f t="shared" ref="N62:N63" si="57">IF(H62=0,0,L62/H62)</f>
        <v>-1</v>
      </c>
      <c r="O62" s="13"/>
      <c r="P62" s="1">
        <f>SUM(OSRRefP22_10x_0)</f>
        <v>49.7</v>
      </c>
      <c r="Q62" s="1"/>
      <c r="R62" s="5">
        <f t="shared" ref="R62:R63" si="58">IF(P$12=0,0,P62/P$12)</f>
        <v>0</v>
      </c>
      <c r="S62" s="1"/>
      <c r="T62" s="1">
        <f>SUM(OSRRefT22_10x_0)</f>
        <v>497</v>
      </c>
      <c r="U62" s="1"/>
      <c r="V62" s="5">
        <f t="shared" ref="V62:V63" si="59">IF(T$12=0,0,T62/T$12)</f>
        <v>2.4783324183782159E-3</v>
      </c>
      <c r="W62" s="1"/>
      <c r="X62" s="1">
        <f t="shared" ref="X62:X63" si="60">+P62-T62</f>
        <v>-447.3</v>
      </c>
      <c r="Y62" s="1"/>
      <c r="Z62" s="5">
        <f t="shared" ref="Z62:Z63" si="61">IF(T62=0,0,X62/T62)</f>
        <v>-0.9</v>
      </c>
    </row>
    <row r="63" spans="1:26" s="24" customFormat="1" hidden="1" outlineLevel="2" x14ac:dyDescent="0.25">
      <c r="A63" s="25"/>
      <c r="B63" s="11" t="str">
        <f>CONCATENATE("          ", "6309", " - ", "TELEPHONE")</f>
        <v xml:space="preserve">          6309 - TELEPHONE</v>
      </c>
      <c r="C63" s="11"/>
      <c r="D63" s="6"/>
      <c r="E63" s="2"/>
      <c r="F63" s="7">
        <f t="shared" si="54"/>
        <v>0</v>
      </c>
      <c r="G63" s="2"/>
      <c r="H63" s="6">
        <v>71</v>
      </c>
      <c r="I63" s="2"/>
      <c r="J63" s="7">
        <f t="shared" si="55"/>
        <v>3.5697298971415011E-3</v>
      </c>
      <c r="K63" s="2"/>
      <c r="L63" s="6">
        <f t="shared" si="56"/>
        <v>-71</v>
      </c>
      <c r="M63" s="2"/>
      <c r="N63" s="7">
        <f t="shared" si="57"/>
        <v>-1</v>
      </c>
      <c r="O63" s="11"/>
      <c r="P63" s="6">
        <v>49.7</v>
      </c>
      <c r="Q63" s="2"/>
      <c r="R63" s="7">
        <f t="shared" si="58"/>
        <v>0</v>
      </c>
      <c r="S63" s="2"/>
      <c r="T63" s="6">
        <v>497</v>
      </c>
      <c r="U63" s="2"/>
      <c r="V63" s="7">
        <f t="shared" si="59"/>
        <v>2.4783324183782159E-3</v>
      </c>
      <c r="W63" s="2"/>
      <c r="X63" s="6">
        <f t="shared" si="60"/>
        <v>-447.3</v>
      </c>
      <c r="Y63" s="2"/>
      <c r="Z63" s="7">
        <f t="shared" si="61"/>
        <v>-0.9</v>
      </c>
    </row>
    <row r="64" spans="1:26" s="61" customFormat="1" x14ac:dyDescent="0.25">
      <c r="A64" s="37"/>
      <c r="B64" s="37"/>
      <c r="C64" s="37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collapsed="1" x14ac:dyDescent="0.25">
      <c r="A65" s="10"/>
      <c r="B65" s="29" t="s">
        <v>0</v>
      </c>
      <c r="C65" s="10"/>
      <c r="D65" s="4">
        <f>SUM(OSRRefD25x_0)</f>
        <v>0</v>
      </c>
      <c r="E65" s="4"/>
      <c r="F65" s="12">
        <f t="shared" ref="F65:F66" si="62">IF(D$12=0,0,D65/D$12)</f>
        <v>0</v>
      </c>
      <c r="G65" s="4"/>
      <c r="H65" s="4">
        <f>SUM(OSRRefH25x_0)</f>
        <v>59</v>
      </c>
      <c r="I65" s="4"/>
      <c r="J65" s="12">
        <f t="shared" ref="J65:J66" si="63">IF(H$12=0,0,H65/H$12)</f>
        <v>2.9663952666387121E-3</v>
      </c>
      <c r="K65" s="4"/>
      <c r="L65" s="4">
        <f t="shared" ref="L65:L66" si="64">+D65-H65</f>
        <v>-59</v>
      </c>
      <c r="M65" s="4"/>
      <c r="N65" s="12">
        <f t="shared" ref="N65:N66" si="65">IF(H65=0,0,L65/H65)</f>
        <v>-1</v>
      </c>
      <c r="O65" s="10"/>
      <c r="P65" s="4">
        <f>SUM(OSRRefP25x_0)</f>
        <v>0</v>
      </c>
      <c r="Q65" s="4"/>
      <c r="R65" s="12">
        <f t="shared" ref="R65:R66" si="66">IF(P$12=0,0,P65/P$12)</f>
        <v>0</v>
      </c>
      <c r="S65" s="4"/>
      <c r="T65" s="4">
        <f>SUM(OSRRefT25x_0)</f>
        <v>451</v>
      </c>
      <c r="U65" s="4"/>
      <c r="V65" s="12">
        <f t="shared" ref="V65:V66" si="67">IF(T$12=0,0,T65/T$12)</f>
        <v>2.2489495386088039E-3</v>
      </c>
      <c r="W65" s="4"/>
      <c r="X65" s="4">
        <f t="shared" ref="X65:X66" si="68">+P65-T65</f>
        <v>-451</v>
      </c>
      <c r="Y65" s="4"/>
      <c r="Z65" s="12">
        <f t="shared" ref="Z65:Z66" si="69">IF(T65=0,0,X65/T65)</f>
        <v>-1</v>
      </c>
    </row>
    <row r="66" spans="1:26" s="24" customFormat="1" hidden="1" outlineLevel="1" x14ac:dyDescent="0.25">
      <c r="A66" s="44"/>
      <c r="B66" s="11" t="str">
        <f>CONCATENATE("          ", "9150", " - ", "MISC. INCOME")</f>
        <v xml:space="preserve">          9150 - MISC. INCOME</v>
      </c>
      <c r="C66" s="11"/>
      <c r="D66" s="2">
        <f>0</f>
        <v>0</v>
      </c>
      <c r="E66" s="2"/>
      <c r="F66" s="19">
        <f t="shared" si="62"/>
        <v>0</v>
      </c>
      <c r="G66" s="2"/>
      <c r="H66" s="2">
        <f>--59</f>
        <v>59</v>
      </c>
      <c r="I66" s="2"/>
      <c r="J66" s="19">
        <f t="shared" si="63"/>
        <v>2.9663952666387121E-3</v>
      </c>
      <c r="K66" s="2"/>
      <c r="L66" s="2">
        <f t="shared" si="64"/>
        <v>-59</v>
      </c>
      <c r="M66" s="2"/>
      <c r="N66" s="19">
        <f t="shared" si="65"/>
        <v>-1</v>
      </c>
      <c r="O66" s="11"/>
      <c r="P66" s="2">
        <f>0</f>
        <v>0</v>
      </c>
      <c r="Q66" s="2"/>
      <c r="R66" s="19">
        <f t="shared" si="66"/>
        <v>0</v>
      </c>
      <c r="S66" s="2"/>
      <c r="T66" s="2">
        <f>--451</f>
        <v>451</v>
      </c>
      <c r="U66" s="2"/>
      <c r="V66" s="19">
        <f t="shared" si="67"/>
        <v>2.2489495386088039E-3</v>
      </c>
      <c r="W66" s="2"/>
      <c r="X66" s="2">
        <f t="shared" si="68"/>
        <v>-451</v>
      </c>
      <c r="Y66" s="2"/>
      <c r="Z66" s="19">
        <f t="shared" si="69"/>
        <v>-1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8" t="s">
        <v>3</v>
      </c>
      <c r="C68" s="28"/>
      <c r="D68" s="20">
        <f>+D20-D22+D65</f>
        <v>-58.03</v>
      </c>
      <c r="E68" s="14"/>
      <c r="F68" s="22">
        <f>IF(D$12=0,0,D68/D$12)</f>
        <v>0</v>
      </c>
      <c r="G68" s="14"/>
      <c r="H68" s="20">
        <f>+H20-H22+H65</f>
        <v>-4042.8600000000006</v>
      </c>
      <c r="I68" s="14"/>
      <c r="J68" s="22">
        <f>IF(H$12=0,0,H68/H$12)</f>
        <v>-0.20326645368954213</v>
      </c>
      <c r="K68" s="15"/>
      <c r="L68" s="20">
        <f>+D68-H68</f>
        <v>3984.8300000000004</v>
      </c>
      <c r="M68" s="15"/>
      <c r="N68" s="22">
        <f>IF(H68=0,0,L68/H68)</f>
        <v>-0.98564629989660779</v>
      </c>
      <c r="O68" s="29"/>
      <c r="P68" s="20">
        <f>+P20-P22+P65</f>
        <v>-4905.54</v>
      </c>
      <c r="Q68" s="14"/>
      <c r="R68" s="22">
        <f>IF(P$12=0,0,P68/P$12)</f>
        <v>0</v>
      </c>
      <c r="S68" s="14"/>
      <c r="T68" s="20">
        <f>+T20-T22+T65</f>
        <v>-1279.0400000000373</v>
      </c>
      <c r="U68" s="14"/>
      <c r="V68" s="22">
        <f>IF(T$12=0,0,T68/T$12)</f>
        <v>-6.3780408378321246E-3</v>
      </c>
      <c r="W68" s="15"/>
      <c r="X68" s="20">
        <f>+P68-T68</f>
        <v>-3626.4999999999627</v>
      </c>
      <c r="Y68" s="15"/>
      <c r="Z68" s="22">
        <f>IF(T68=0,0,X68/T68)</f>
        <v>2.8353296222165509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/>
      <c r="E70" s="4"/>
      <c r="F70" s="12">
        <f>IF(D$12=0,0,D70/D$12)</f>
        <v>0</v>
      </c>
      <c r="G70" s="4"/>
      <c r="H70" s="4">
        <v>1401.84</v>
      </c>
      <c r="I70" s="4"/>
      <c r="J70" s="12">
        <f>IF(H$12=0,0,H70/H$12)</f>
        <v>7.0481551535335807E-2</v>
      </c>
      <c r="K70" s="4"/>
      <c r="L70" s="4">
        <f>+D70-H70</f>
        <v>-1401.84</v>
      </c>
      <c r="M70" s="4"/>
      <c r="N70" s="12">
        <f>IF(H70=0,0,L70/H70)</f>
        <v>-1</v>
      </c>
      <c r="O70" s="10"/>
      <c r="P70" s="4"/>
      <c r="Q70" s="4"/>
      <c r="R70" s="12">
        <f>IF(P$12=0,0,P70/P$12)</f>
        <v>0</v>
      </c>
      <c r="S70" s="4"/>
      <c r="T70" s="4">
        <v>20913.28</v>
      </c>
      <c r="U70" s="4"/>
      <c r="V70" s="12">
        <f>IF(T$12=0,0,T70/T$12)</f>
        <v>0.10428583460487077</v>
      </c>
      <c r="W70" s="4"/>
      <c r="X70" s="4">
        <f>+P70-T70</f>
        <v>-20913.28</v>
      </c>
      <c r="Y70" s="4"/>
      <c r="Z70" s="12">
        <f>IF(T70=0,0,X70/T70)</f>
        <v>-1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4</v>
      </c>
      <c r="C72" s="28"/>
      <c r="D72" s="30">
        <f>+D68-D70</f>
        <v>-58.03</v>
      </c>
      <c r="E72" s="14"/>
      <c r="F72" s="36">
        <f>IF(D$12=0,0,D72/D$12)</f>
        <v>0</v>
      </c>
      <c r="G72" s="14"/>
      <c r="H72" s="30">
        <f>+H68-H70</f>
        <v>-5444.7000000000007</v>
      </c>
      <c r="I72" s="14"/>
      <c r="J72" s="36">
        <f>IF(H$12=0,0,H72/H$12)</f>
        <v>-0.27374800522487797</v>
      </c>
      <c r="K72" s="15"/>
      <c r="L72" s="30">
        <f>D72-H72</f>
        <v>5386.670000000001</v>
      </c>
      <c r="M72" s="15"/>
      <c r="N72" s="36">
        <f>IF(H72=0,0,L72/H72)</f>
        <v>-0.98934192884823779</v>
      </c>
      <c r="O72" s="29"/>
      <c r="P72" s="30">
        <f>+P68-P70</f>
        <v>-4905.54</v>
      </c>
      <c r="Q72" s="14"/>
      <c r="R72" s="36">
        <f>IF(P$12=0,0,P72/P$12)</f>
        <v>0</v>
      </c>
      <c r="S72" s="14"/>
      <c r="T72" s="30">
        <f>+T68-T70</f>
        <v>-22192.320000000036</v>
      </c>
      <c r="U72" s="14"/>
      <c r="V72" s="36">
        <f>IF(T$12=0,0,T72/T$12)</f>
        <v>-0.1106638754427029</v>
      </c>
      <c r="W72" s="15"/>
      <c r="X72" s="30">
        <f>P72-T72</f>
        <v>17286.780000000035</v>
      </c>
      <c r="Y72" s="15"/>
      <c r="Z72" s="36">
        <f>IF(T72=0,0,X72/T72)</f>
        <v>-0.77895325950599159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5</v>
      </c>
      <c r="C75" s="28"/>
      <c r="D75" s="32">
        <f>SUM(D72:D74)</f>
        <v>-58.03</v>
      </c>
      <c r="E75" s="14"/>
      <c r="F75" s="31">
        <f>IF(D$12=0,0,D75/D$12)</f>
        <v>0</v>
      </c>
      <c r="G75" s="14"/>
      <c r="H75" s="32">
        <f>SUM(H72:H74)</f>
        <v>-5444.7000000000007</v>
      </c>
      <c r="I75" s="14"/>
      <c r="J75" s="31">
        <f>IF(H$12=0,0,H75/H$12)</f>
        <v>-0.27374800522487797</v>
      </c>
      <c r="K75" s="15"/>
      <c r="L75" s="32">
        <f>+D75-H75</f>
        <v>5386.670000000001</v>
      </c>
      <c r="M75" s="15"/>
      <c r="N75" s="31">
        <f>IF(H75=0,0,L75/H75)</f>
        <v>-0.98934192884823779</v>
      </c>
      <c r="O75" s="29"/>
      <c r="P75" s="32">
        <f>SUM(P72:P74)</f>
        <v>-4905.54</v>
      </c>
      <c r="Q75" s="14"/>
      <c r="R75" s="31">
        <f>IF(P$12=0,0,P75/P$12)</f>
        <v>0</v>
      </c>
      <c r="S75" s="14"/>
      <c r="T75" s="32">
        <f>SUM(T72:T74)</f>
        <v>-22192.320000000036</v>
      </c>
      <c r="U75" s="14"/>
      <c r="V75" s="31">
        <f>IF(T$12=0,0,T75/T$12)</f>
        <v>-0.1106638754427029</v>
      </c>
      <c r="W75" s="15"/>
      <c r="X75" s="32">
        <f>+P75-T75</f>
        <v>17286.780000000035</v>
      </c>
      <c r="Y75" s="15"/>
      <c r="Z75" s="31">
        <f>IF(T75=0,0,X75/T75)</f>
        <v>-0.77895325950599159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62">
        <v>44238.49646894676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9" t="s">
        <v>313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6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","414", " - ", "Starbucks UDP")</f>
        <v>Department 414 - Starbucks UDP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52257.599999999999</v>
      </c>
      <c r="I12" s="4"/>
      <c r="J12" s="12"/>
      <c r="K12" s="4"/>
      <c r="L12" s="4">
        <f t="shared" ref="L12:L14" si="0">+D12-H12</f>
        <v>-52257.599999999999</v>
      </c>
      <c r="M12" s="4"/>
      <c r="N12" s="12">
        <f t="shared" ref="N12:N14" si="1">IF(H12=0,0,L12/H12)</f>
        <v>-1</v>
      </c>
      <c r="O12" s="10"/>
      <c r="P12" s="4">
        <f>SUM(OSRRefP13x_0)</f>
        <v>974.91</v>
      </c>
      <c r="Q12" s="4"/>
      <c r="R12" s="12"/>
      <c r="S12" s="4"/>
      <c r="T12" s="4">
        <f>SUM(OSRRefT13x_0)</f>
        <v>458772.75</v>
      </c>
      <c r="U12" s="4"/>
      <c r="V12" s="12"/>
      <c r="W12" s="4"/>
      <c r="X12" s="4">
        <f t="shared" ref="X12:X14" si="2">+P12-T12</f>
        <v>-457797.84</v>
      </c>
      <c r="Y12" s="4"/>
      <c r="Z12" s="12">
        <f t="shared" ref="Z12:Z14" si="3">IF(T12=0,0,X12/T12)</f>
        <v>-0.99787496096923811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 t="shared" ref="D13:D14" si="4">0</f>
        <v>0</v>
      </c>
      <c r="E13" s="2"/>
      <c r="F13" s="19"/>
      <c r="G13" s="2"/>
      <c r="H13" s="2">
        <f>--7736.89</f>
        <v>7736.89</v>
      </c>
      <c r="I13" s="2"/>
      <c r="J13" s="19"/>
      <c r="K13" s="2"/>
      <c r="L13" s="2">
        <f t="shared" si="0"/>
        <v>-7736.89</v>
      </c>
      <c r="M13" s="2"/>
      <c r="N13" s="19">
        <f t="shared" si="1"/>
        <v>-1</v>
      </c>
      <c r="O13" s="11"/>
      <c r="P13" s="2">
        <f>--974.91</f>
        <v>974.91</v>
      </c>
      <c r="Q13" s="2"/>
      <c r="R13" s="19"/>
      <c r="S13" s="2"/>
      <c r="T13" s="2">
        <f>--95636.1</f>
        <v>95636.1</v>
      </c>
      <c r="U13" s="2"/>
      <c r="V13" s="19"/>
      <c r="W13" s="2"/>
      <c r="X13" s="2">
        <f t="shared" si="2"/>
        <v>-94661.19</v>
      </c>
      <c r="Y13" s="2"/>
      <c r="Z13" s="19">
        <f t="shared" si="3"/>
        <v>-0.98980604604328282</v>
      </c>
    </row>
    <row r="14" spans="1:26" s="24" customFormat="1" hidden="1" outlineLevel="1" x14ac:dyDescent="0.25">
      <c r="A14" s="44"/>
      <c r="B14" s="11" t="str">
        <f>CONCATENATE("          ", "4158", " - ", "NON-TAXABLE SALES-FOOD")</f>
        <v xml:space="preserve">          4158 - NON-TAXABLE SALES-FOOD</v>
      </c>
      <c r="C14" s="11"/>
      <c r="D14" s="2">
        <f t="shared" si="4"/>
        <v>0</v>
      </c>
      <c r="E14" s="2"/>
      <c r="F14" s="19"/>
      <c r="G14" s="2"/>
      <c r="H14" s="2">
        <f>--44520.71</f>
        <v>44520.71</v>
      </c>
      <c r="I14" s="2"/>
      <c r="J14" s="19"/>
      <c r="K14" s="2"/>
      <c r="L14" s="2">
        <f t="shared" si="0"/>
        <v>-44520.71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--363136.65</f>
        <v>363136.65</v>
      </c>
      <c r="U14" s="2"/>
      <c r="V14" s="19"/>
      <c r="W14" s="2"/>
      <c r="X14" s="2">
        <f t="shared" si="2"/>
        <v>-363136.65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23216.75</v>
      </c>
      <c r="I16" s="4"/>
      <c r="J16" s="12">
        <f t="shared" ref="J16:J18" si="6">IF(H$12=0,0,H16/H$12)</f>
        <v>0.44427509108722946</v>
      </c>
      <c r="K16" s="4"/>
      <c r="L16" s="4">
        <f t="shared" ref="L16:L18" si="7">+D16-H16</f>
        <v>-23216.75</v>
      </c>
      <c r="M16" s="4"/>
      <c r="N16" s="12">
        <f t="shared" ref="N16:N18" si="8">IF(H16=0,0,L16/H16)</f>
        <v>-1</v>
      </c>
      <c r="O16" s="10"/>
      <c r="P16" s="4">
        <f>SUM(OSRRefP16x_0)</f>
        <v>0</v>
      </c>
      <c r="Q16" s="4"/>
      <c r="R16" s="12">
        <f t="shared" ref="R16:R18" si="9">IF(P$12=0,0,P16/P$12)</f>
        <v>0</v>
      </c>
      <c r="S16" s="4"/>
      <c r="T16" s="4">
        <f>SUM(OSRRefT16x_0)</f>
        <v>151253.26</v>
      </c>
      <c r="U16" s="4"/>
      <c r="V16" s="12">
        <f t="shared" ref="V16:V18" si="10">IF(T$12=0,0,T16/T$12)</f>
        <v>0.32969102894624847</v>
      </c>
      <c r="W16" s="4"/>
      <c r="X16" s="4">
        <f t="shared" ref="X16:X18" si="11">+P16-T16</f>
        <v>-151253.26</v>
      </c>
      <c r="Y16" s="4"/>
      <c r="Z16" s="12">
        <f t="shared" ref="Z16:Z18" si="12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16815.75</v>
      </c>
      <c r="I17" s="2"/>
      <c r="J17" s="19">
        <f t="shared" si="6"/>
        <v>0.3217857306879765</v>
      </c>
      <c r="K17" s="2"/>
      <c r="L17" s="2">
        <f t="shared" si="7"/>
        <v>-16815.75</v>
      </c>
      <c r="M17" s="2"/>
      <c r="N17" s="19">
        <f t="shared" si="8"/>
        <v>-1</v>
      </c>
      <c r="O17" s="11"/>
      <c r="P17" s="2"/>
      <c r="Q17" s="2"/>
      <c r="R17" s="19">
        <f t="shared" si="9"/>
        <v>0</v>
      </c>
      <c r="S17" s="2"/>
      <c r="T17" s="2">
        <v>145432.26</v>
      </c>
      <c r="U17" s="2"/>
      <c r="V17" s="19">
        <f t="shared" si="10"/>
        <v>0.31700282983241707</v>
      </c>
      <c r="W17" s="2"/>
      <c r="X17" s="2">
        <f t="shared" si="11"/>
        <v>-145432.26</v>
      </c>
      <c r="Y17" s="2"/>
      <c r="Z17" s="19">
        <f t="shared" si="12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6401</v>
      </c>
      <c r="I18" s="2"/>
      <c r="J18" s="19">
        <f t="shared" si="6"/>
        <v>0.12248936039925294</v>
      </c>
      <c r="K18" s="2"/>
      <c r="L18" s="2">
        <f t="shared" si="7"/>
        <v>-6401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5821</v>
      </c>
      <c r="U18" s="2"/>
      <c r="V18" s="19">
        <f t="shared" si="10"/>
        <v>1.2688199113831412E-2</v>
      </c>
      <c r="W18" s="2"/>
      <c r="X18" s="2">
        <f t="shared" si="11"/>
        <v>-5821</v>
      </c>
      <c r="Y18" s="2"/>
      <c r="Z18" s="19">
        <f t="shared" si="12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29040.85</v>
      </c>
      <c r="I20" s="14"/>
      <c r="J20" s="22">
        <f>IF(H$12=0,0,H20/H$12)</f>
        <v>0.5557249089127706</v>
      </c>
      <c r="K20" s="15"/>
      <c r="L20" s="20">
        <f>+D20-H20</f>
        <v>-29040.85</v>
      </c>
      <c r="M20" s="15"/>
      <c r="N20" s="22">
        <f>IF(H20=0,0,L20/H20)</f>
        <v>-1</v>
      </c>
      <c r="O20" s="29"/>
      <c r="P20" s="20">
        <f>P12-P16</f>
        <v>974.91</v>
      </c>
      <c r="Q20" s="14"/>
      <c r="R20" s="22">
        <f>IF(P$12=0,0,P20/P$12)</f>
        <v>1</v>
      </c>
      <c r="S20" s="14"/>
      <c r="T20" s="20">
        <f>T12-T16</f>
        <v>307519.49</v>
      </c>
      <c r="U20" s="14"/>
      <c r="V20" s="22">
        <f>IF(T$12=0,0,T20/T$12)</f>
        <v>0.67030897105375153</v>
      </c>
      <c r="W20" s="15"/>
      <c r="X20" s="20">
        <f>+P20-T20</f>
        <v>-306544.58</v>
      </c>
      <c r="Y20" s="15"/>
      <c r="Z20" s="22">
        <f>IF(T20=0,0,X20/T20)</f>
        <v>-0.99682976191200112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1825.26</v>
      </c>
      <c r="E22" s="21"/>
      <c r="F22" s="35">
        <f t="shared" ref="F22:F31" si="13">IF(D$12=0,0,D22/D$12)</f>
        <v>0</v>
      </c>
      <c r="G22" s="21"/>
      <c r="H22" s="21">
        <f>SUM(OSRRefH22x_0)</f>
        <v>35920.370000000003</v>
      </c>
      <c r="I22" s="21"/>
      <c r="J22" s="35">
        <f t="shared" ref="J22:J31" si="14">IF(H$12=0,0,H22/H$12)</f>
        <v>0.68737121490462638</v>
      </c>
      <c r="K22" s="4"/>
      <c r="L22" s="21">
        <f t="shared" ref="L22:L31" si="15">+D22-H22</f>
        <v>-34095.11</v>
      </c>
      <c r="M22" s="4"/>
      <c r="N22" s="35">
        <f t="shared" ref="N22:N31" si="16">IF(H22=0,0,L22/H22)</f>
        <v>-0.94918593544554242</v>
      </c>
      <c r="O22" s="10"/>
      <c r="P22" s="21">
        <f>SUM(OSRRefP22x_0)</f>
        <v>14228.16</v>
      </c>
      <c r="Q22" s="21"/>
      <c r="R22" s="35">
        <f t="shared" ref="R22:R31" si="17">IF(P$12=0,0,P22/P$12)</f>
        <v>14.594331784472413</v>
      </c>
      <c r="S22" s="21"/>
      <c r="T22" s="21">
        <f>SUM(OSRRefT22x_0)</f>
        <v>238996.00000000003</v>
      </c>
      <c r="U22" s="21"/>
      <c r="V22" s="35">
        <f t="shared" ref="V22:V31" si="18">IF(T$12=0,0,T22/T$12)</f>
        <v>0.52094637268669519</v>
      </c>
      <c r="W22" s="4"/>
      <c r="X22" s="21">
        <f t="shared" ref="X22:X31" si="19">+P22-T22</f>
        <v>-224767.84000000003</v>
      </c>
      <c r="Y22" s="4"/>
      <c r="Z22" s="35">
        <f t="shared" ref="Z22:Z31" si="20">IF(T22=0,0,X22/T22)</f>
        <v>-0.94046695342181463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3437.9199999999996</v>
      </c>
      <c r="I23" s="1"/>
      <c r="J23" s="5">
        <f t="shared" si="14"/>
        <v>6.5787942806405181E-2</v>
      </c>
      <c r="K23" s="1"/>
      <c r="L23" s="1">
        <f t="shared" si="15"/>
        <v>-3437.9199999999996</v>
      </c>
      <c r="M23" s="1"/>
      <c r="N23" s="5">
        <f t="shared" si="16"/>
        <v>-1</v>
      </c>
      <c r="O23" s="13"/>
      <c r="P23" s="1">
        <f>SUM(OSRRefP22_0x_0)</f>
        <v>702.51</v>
      </c>
      <c r="Q23" s="1"/>
      <c r="R23" s="5">
        <f t="shared" si="17"/>
        <v>0.72058959288549718</v>
      </c>
      <c r="S23" s="1"/>
      <c r="T23" s="1">
        <f>SUM(OSRRefT22_0x_0)</f>
        <v>18361.809999999998</v>
      </c>
      <c r="U23" s="1"/>
      <c r="V23" s="5">
        <f t="shared" si="18"/>
        <v>4.0023759039742438E-2</v>
      </c>
      <c r="W23" s="1"/>
      <c r="X23" s="1">
        <f t="shared" si="19"/>
        <v>-17659.3</v>
      </c>
      <c r="Y23" s="1"/>
      <c r="Z23" s="5">
        <f t="shared" si="20"/>
        <v>-0.96174069985475297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>
        <v>630.79999999999995</v>
      </c>
      <c r="I24" s="2"/>
      <c r="J24" s="7">
        <f t="shared" si="14"/>
        <v>1.2070971495055264E-2</v>
      </c>
      <c r="K24" s="2"/>
      <c r="L24" s="6">
        <f t="shared" si="15"/>
        <v>-630.79999999999995</v>
      </c>
      <c r="M24" s="2"/>
      <c r="N24" s="7">
        <f t="shared" si="16"/>
        <v>-1</v>
      </c>
      <c r="O24" s="11"/>
      <c r="P24" s="6"/>
      <c r="Q24" s="2"/>
      <c r="R24" s="7">
        <f t="shared" si="17"/>
        <v>0</v>
      </c>
      <c r="S24" s="2"/>
      <c r="T24" s="6">
        <v>4333.08</v>
      </c>
      <c r="U24" s="2"/>
      <c r="V24" s="7">
        <f t="shared" si="18"/>
        <v>9.4449376079987317E-3</v>
      </c>
      <c r="W24" s="2"/>
      <c r="X24" s="6">
        <f t="shared" si="19"/>
        <v>-4333.08</v>
      </c>
      <c r="Y24" s="2"/>
      <c r="Z24" s="7">
        <f t="shared" si="20"/>
        <v>-1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>
        <v>585.5</v>
      </c>
      <c r="I25" s="2"/>
      <c r="J25" s="7">
        <f t="shared" si="14"/>
        <v>1.1204111937785127E-2</v>
      </c>
      <c r="K25" s="2"/>
      <c r="L25" s="6">
        <f t="shared" si="15"/>
        <v>-585.5</v>
      </c>
      <c r="M25" s="2"/>
      <c r="N25" s="7">
        <f t="shared" si="16"/>
        <v>-1</v>
      </c>
      <c r="O25" s="11"/>
      <c r="P25" s="6"/>
      <c r="Q25" s="2"/>
      <c r="R25" s="7">
        <f t="shared" si="17"/>
        <v>0</v>
      </c>
      <c r="S25" s="2"/>
      <c r="T25" s="6">
        <v>3864.07</v>
      </c>
      <c r="U25" s="2"/>
      <c r="V25" s="7">
        <f t="shared" si="18"/>
        <v>8.4226231832644823E-3</v>
      </c>
      <c r="W25" s="2"/>
      <c r="X25" s="6">
        <f t="shared" si="19"/>
        <v>-3864.07</v>
      </c>
      <c r="Y25" s="2"/>
      <c r="Z25" s="7">
        <f t="shared" si="20"/>
        <v>-1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3"/>
        <v>0</v>
      </c>
      <c r="G26" s="2"/>
      <c r="H26" s="6">
        <v>1033.82</v>
      </c>
      <c r="I26" s="2"/>
      <c r="J26" s="7">
        <f t="shared" si="14"/>
        <v>1.9783151158874499E-2</v>
      </c>
      <c r="K26" s="2"/>
      <c r="L26" s="6">
        <f t="shared" si="15"/>
        <v>-1033.82</v>
      </c>
      <c r="M26" s="2"/>
      <c r="N26" s="7">
        <f t="shared" si="16"/>
        <v>-1</v>
      </c>
      <c r="O26" s="11"/>
      <c r="P26" s="6">
        <v>702.51</v>
      </c>
      <c r="Q26" s="2"/>
      <c r="R26" s="7">
        <f t="shared" si="17"/>
        <v>0.72058959288549718</v>
      </c>
      <c r="S26" s="2"/>
      <c r="T26" s="6">
        <v>4936.16</v>
      </c>
      <c r="U26" s="2"/>
      <c r="V26" s="7">
        <f t="shared" si="18"/>
        <v>1.0759488221565033E-2</v>
      </c>
      <c r="W26" s="2"/>
      <c r="X26" s="6">
        <f t="shared" si="19"/>
        <v>-4233.6499999999996</v>
      </c>
      <c r="Y26" s="2"/>
      <c r="Z26" s="7">
        <f t="shared" si="20"/>
        <v>-0.85768086933972965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39.229999999999997</v>
      </c>
      <c r="I27" s="2"/>
      <c r="J27" s="7">
        <f t="shared" si="14"/>
        <v>7.5070420379045341E-4</v>
      </c>
      <c r="K27" s="2"/>
      <c r="L27" s="6">
        <f t="shared" si="15"/>
        <v>-39.229999999999997</v>
      </c>
      <c r="M27" s="2"/>
      <c r="N27" s="7">
        <f t="shared" si="16"/>
        <v>-1</v>
      </c>
      <c r="O27" s="11"/>
      <c r="P27" s="6"/>
      <c r="Q27" s="2"/>
      <c r="R27" s="7">
        <f t="shared" si="17"/>
        <v>0</v>
      </c>
      <c r="S27" s="2"/>
      <c r="T27" s="6">
        <v>343.07</v>
      </c>
      <c r="U27" s="2"/>
      <c r="V27" s="7">
        <f t="shared" si="18"/>
        <v>7.4779942793027699E-4</v>
      </c>
      <c r="W27" s="2"/>
      <c r="X27" s="6">
        <f t="shared" si="19"/>
        <v>-343.07</v>
      </c>
      <c r="Y27" s="2"/>
      <c r="Z27" s="7">
        <f t="shared" si="20"/>
        <v>-1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3"/>
        <v>0</v>
      </c>
      <c r="G28" s="2"/>
      <c r="H28" s="6">
        <v>305.10000000000002</v>
      </c>
      <c r="I28" s="2"/>
      <c r="J28" s="7">
        <f t="shared" si="14"/>
        <v>5.8383852300909348E-3</v>
      </c>
      <c r="K28" s="2"/>
      <c r="L28" s="6">
        <f t="shared" si="15"/>
        <v>-305.10000000000002</v>
      </c>
      <c r="M28" s="2"/>
      <c r="N28" s="7">
        <f t="shared" si="16"/>
        <v>-1</v>
      </c>
      <c r="O28" s="11"/>
      <c r="P28" s="6"/>
      <c r="Q28" s="2"/>
      <c r="R28" s="7">
        <f t="shared" si="17"/>
        <v>0</v>
      </c>
      <c r="S28" s="2"/>
      <c r="T28" s="6">
        <v>305.10000000000002</v>
      </c>
      <c r="U28" s="2"/>
      <c r="V28" s="7">
        <f t="shared" si="18"/>
        <v>6.6503513994673835E-4</v>
      </c>
      <c r="W28" s="2"/>
      <c r="X28" s="6">
        <f t="shared" si="19"/>
        <v>-305.10000000000002</v>
      </c>
      <c r="Y28" s="2"/>
      <c r="Z28" s="7">
        <f t="shared" si="20"/>
        <v>-1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3"/>
        <v>0</v>
      </c>
      <c r="G29" s="2"/>
      <c r="H29" s="6">
        <v>304.61</v>
      </c>
      <c r="I29" s="2"/>
      <c r="J29" s="7">
        <f t="shared" si="14"/>
        <v>5.829008603533266E-3</v>
      </c>
      <c r="K29" s="2"/>
      <c r="L29" s="6">
        <f t="shared" si="15"/>
        <v>-304.61</v>
      </c>
      <c r="M29" s="2"/>
      <c r="N29" s="7">
        <f t="shared" si="16"/>
        <v>-1</v>
      </c>
      <c r="O29" s="11"/>
      <c r="P29" s="6"/>
      <c r="Q29" s="2"/>
      <c r="R29" s="7">
        <f t="shared" si="17"/>
        <v>0</v>
      </c>
      <c r="S29" s="2"/>
      <c r="T29" s="6">
        <v>1555.86</v>
      </c>
      <c r="U29" s="2"/>
      <c r="V29" s="7">
        <f t="shared" si="18"/>
        <v>3.3913522544658545E-3</v>
      </c>
      <c r="W29" s="2"/>
      <c r="X29" s="6">
        <f t="shared" si="19"/>
        <v>-1555.86</v>
      </c>
      <c r="Y29" s="2"/>
      <c r="Z29" s="7">
        <f t="shared" si="20"/>
        <v>-1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3"/>
        <v>0</v>
      </c>
      <c r="G30" s="2"/>
      <c r="H30" s="6">
        <v>364.93</v>
      </c>
      <c r="I30" s="2"/>
      <c r="J30" s="7">
        <f t="shared" si="14"/>
        <v>6.9832904687547846E-3</v>
      </c>
      <c r="K30" s="2"/>
      <c r="L30" s="6">
        <f t="shared" si="15"/>
        <v>-364.93</v>
      </c>
      <c r="M30" s="2"/>
      <c r="N30" s="7">
        <f t="shared" si="16"/>
        <v>-1</v>
      </c>
      <c r="O30" s="11"/>
      <c r="P30" s="6"/>
      <c r="Q30" s="2"/>
      <c r="R30" s="7">
        <f t="shared" si="17"/>
        <v>0</v>
      </c>
      <c r="S30" s="2"/>
      <c r="T30" s="6">
        <v>1863.96</v>
      </c>
      <c r="U30" s="2"/>
      <c r="V30" s="7">
        <f t="shared" si="18"/>
        <v>4.062926579662807E-3</v>
      </c>
      <c r="W30" s="2"/>
      <c r="X30" s="6">
        <f t="shared" si="19"/>
        <v>-1863.96</v>
      </c>
      <c r="Y30" s="2"/>
      <c r="Z30" s="7">
        <f t="shared" si="20"/>
        <v>-1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3"/>
        <v>0</v>
      </c>
      <c r="G31" s="2"/>
      <c r="H31" s="6">
        <v>173.93</v>
      </c>
      <c r="I31" s="2"/>
      <c r="J31" s="7">
        <f t="shared" si="14"/>
        <v>3.3283197085208663E-3</v>
      </c>
      <c r="K31" s="2"/>
      <c r="L31" s="6">
        <f t="shared" si="15"/>
        <v>-173.93</v>
      </c>
      <c r="M31" s="2"/>
      <c r="N31" s="7">
        <f t="shared" si="16"/>
        <v>-1</v>
      </c>
      <c r="O31" s="11"/>
      <c r="P31" s="6"/>
      <c r="Q31" s="2"/>
      <c r="R31" s="7">
        <f t="shared" si="17"/>
        <v>0</v>
      </c>
      <c r="S31" s="2"/>
      <c r="T31" s="6">
        <v>1160.51</v>
      </c>
      <c r="U31" s="2"/>
      <c r="V31" s="7">
        <f t="shared" si="18"/>
        <v>2.5295966249085193E-3</v>
      </c>
      <c r="W31" s="2"/>
      <c r="X31" s="6">
        <f t="shared" si="19"/>
        <v>-1160.51</v>
      </c>
      <c r="Y31" s="2"/>
      <c r="Z31" s="7">
        <f t="shared" si="20"/>
        <v>-1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1">IF(D$12=0,0,D32/D$12)</f>
        <v>0</v>
      </c>
      <c r="G32" s="1"/>
      <c r="H32" s="1">
        <f>SUM(OSRRefH22_1x_0)</f>
        <v>21196.300000000003</v>
      </c>
      <c r="I32" s="1"/>
      <c r="J32" s="5">
        <f t="shared" ref="J32:J37" si="22">IF(H$12=0,0,H32/H$12)</f>
        <v>0.40561181531490165</v>
      </c>
      <c r="K32" s="1"/>
      <c r="L32" s="1">
        <f t="shared" ref="L32:L37" si="23">+D32-H32</f>
        <v>-21196.300000000003</v>
      </c>
      <c r="M32" s="1"/>
      <c r="N32" s="5">
        <f t="shared" ref="N32:N37" si="24">IF(H32=0,0,L32/H32)</f>
        <v>-1</v>
      </c>
      <c r="O32" s="13"/>
      <c r="P32" s="1">
        <f>SUM(OSRRefP22_1x_0)</f>
        <v>0</v>
      </c>
      <c r="Q32" s="1"/>
      <c r="R32" s="5">
        <f t="shared" ref="R32:R37" si="25">IF(P$12=0,0,P32/P$12)</f>
        <v>0</v>
      </c>
      <c r="S32" s="1"/>
      <c r="T32" s="1">
        <f>SUM(OSRRefT22_1x_0)</f>
        <v>136533.72</v>
      </c>
      <c r="U32" s="1"/>
      <c r="V32" s="5">
        <f t="shared" ref="V32:V37" si="26">IF(T$12=0,0,T32/T$12)</f>
        <v>0.29760642932693804</v>
      </c>
      <c r="W32" s="1"/>
      <c r="X32" s="1">
        <f t="shared" ref="X32:X37" si="27">+P32-T32</f>
        <v>-136533.72</v>
      </c>
      <c r="Y32" s="1"/>
      <c r="Z32" s="5">
        <f t="shared" ref="Z32:Z37" si="28">IF(T32=0,0,X32/T32)</f>
        <v>-1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1"/>
        <v>0</v>
      </c>
      <c r="G33" s="2"/>
      <c r="H33" s="6">
        <v>3639.92</v>
      </c>
      <c r="I33" s="2"/>
      <c r="J33" s="7">
        <f t="shared" si="22"/>
        <v>6.9653409264872485E-2</v>
      </c>
      <c r="K33" s="2"/>
      <c r="L33" s="6">
        <f t="shared" si="23"/>
        <v>-3639.92</v>
      </c>
      <c r="M33" s="2"/>
      <c r="N33" s="7">
        <f t="shared" si="24"/>
        <v>-1</v>
      </c>
      <c r="O33" s="11"/>
      <c r="P33" s="6"/>
      <c r="Q33" s="2"/>
      <c r="R33" s="7">
        <f t="shared" si="25"/>
        <v>0</v>
      </c>
      <c r="S33" s="2"/>
      <c r="T33" s="6">
        <v>3639.92</v>
      </c>
      <c r="U33" s="2"/>
      <c r="V33" s="7">
        <f t="shared" si="26"/>
        <v>7.9340370586526779E-3</v>
      </c>
      <c r="W33" s="2"/>
      <c r="X33" s="6">
        <f t="shared" si="27"/>
        <v>-3639.92</v>
      </c>
      <c r="Y33" s="2"/>
      <c r="Z33" s="7">
        <f t="shared" si="28"/>
        <v>-1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1"/>
        <v>0</v>
      </c>
      <c r="G34" s="2"/>
      <c r="H34" s="6">
        <v>5339.84</v>
      </c>
      <c r="I34" s="2"/>
      <c r="J34" s="7">
        <f t="shared" si="22"/>
        <v>0.10218303175040569</v>
      </c>
      <c r="K34" s="2"/>
      <c r="L34" s="6">
        <f t="shared" si="23"/>
        <v>-5339.84</v>
      </c>
      <c r="M34" s="2"/>
      <c r="N34" s="7">
        <f t="shared" si="24"/>
        <v>-1</v>
      </c>
      <c r="O34" s="11"/>
      <c r="P34" s="6"/>
      <c r="Q34" s="2"/>
      <c r="R34" s="7">
        <f t="shared" si="25"/>
        <v>0</v>
      </c>
      <c r="S34" s="2"/>
      <c r="T34" s="6">
        <v>40214.839999999997</v>
      </c>
      <c r="U34" s="2"/>
      <c r="V34" s="7">
        <f t="shared" si="26"/>
        <v>8.7657429522568622E-2</v>
      </c>
      <c r="W34" s="2"/>
      <c r="X34" s="6">
        <f t="shared" si="27"/>
        <v>-40214.839999999997</v>
      </c>
      <c r="Y34" s="2"/>
      <c r="Z34" s="7">
        <f t="shared" si="28"/>
        <v>-1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1"/>
        <v>0</v>
      </c>
      <c r="G35" s="2"/>
      <c r="H35" s="6"/>
      <c r="I35" s="2"/>
      <c r="J35" s="7">
        <f t="shared" si="22"/>
        <v>0</v>
      </c>
      <c r="K35" s="2"/>
      <c r="L35" s="6">
        <f t="shared" si="23"/>
        <v>0</v>
      </c>
      <c r="M35" s="2"/>
      <c r="N35" s="7">
        <f t="shared" si="24"/>
        <v>0</v>
      </c>
      <c r="O35" s="11"/>
      <c r="P35" s="6"/>
      <c r="Q35" s="2"/>
      <c r="R35" s="7">
        <f t="shared" si="25"/>
        <v>0</v>
      </c>
      <c r="S35" s="2"/>
      <c r="T35" s="6">
        <v>1997.5</v>
      </c>
      <c r="U35" s="2"/>
      <c r="V35" s="7">
        <f t="shared" si="26"/>
        <v>4.3540075124339885E-3</v>
      </c>
      <c r="W35" s="2"/>
      <c r="X35" s="6">
        <f t="shared" si="27"/>
        <v>-1997.5</v>
      </c>
      <c r="Y35" s="2"/>
      <c r="Z35" s="7">
        <f t="shared" si="28"/>
        <v>-1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29.25</v>
      </c>
      <c r="U36" s="2"/>
      <c r="V36" s="7">
        <f t="shared" si="26"/>
        <v>6.3757056189584052E-5</v>
      </c>
      <c r="W36" s="2"/>
      <c r="X36" s="6">
        <f t="shared" si="27"/>
        <v>-29.25</v>
      </c>
      <c r="Y36" s="2"/>
      <c r="Z36" s="7">
        <f t="shared" si="28"/>
        <v>-1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1"/>
        <v>0</v>
      </c>
      <c r="G37" s="2"/>
      <c r="H37" s="6">
        <v>12216.54</v>
      </c>
      <c r="I37" s="2"/>
      <c r="J37" s="7">
        <f t="shared" si="22"/>
        <v>0.23377537429962342</v>
      </c>
      <c r="K37" s="2"/>
      <c r="L37" s="6">
        <f t="shared" si="23"/>
        <v>-12216.54</v>
      </c>
      <c r="M37" s="2"/>
      <c r="N37" s="7">
        <f t="shared" si="24"/>
        <v>-1</v>
      </c>
      <c r="O37" s="11"/>
      <c r="P37" s="6"/>
      <c r="Q37" s="2"/>
      <c r="R37" s="7">
        <f t="shared" si="25"/>
        <v>0</v>
      </c>
      <c r="S37" s="2"/>
      <c r="T37" s="6">
        <v>90652.21</v>
      </c>
      <c r="U37" s="2"/>
      <c r="V37" s="7">
        <f t="shared" si="26"/>
        <v>0.19759719817709315</v>
      </c>
      <c r="W37" s="2"/>
      <c r="X37" s="6">
        <f t="shared" si="27"/>
        <v>-90652.21</v>
      </c>
      <c r="Y37" s="2"/>
      <c r="Z37" s="7">
        <f t="shared" si="28"/>
        <v>-1</v>
      </c>
    </row>
    <row r="38" spans="1:26" s="26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4" si="29">IF(D$12=0,0,D38/D$12)</f>
        <v>0</v>
      </c>
      <c r="G38" s="1"/>
      <c r="H38" s="1">
        <f>SUM(OSRRefH22_2x_0)</f>
        <v>77.64</v>
      </c>
      <c r="I38" s="1"/>
      <c r="J38" s="5">
        <f t="shared" ref="J38:J54" si="30">IF(H$12=0,0,H38/H$12)</f>
        <v>1.4857169100762377E-3</v>
      </c>
      <c r="K38" s="1"/>
      <c r="L38" s="1">
        <f t="shared" ref="L38:L54" si="31">+D38-H38</f>
        <v>-77.64</v>
      </c>
      <c r="M38" s="1"/>
      <c r="N38" s="5">
        <f t="shared" ref="N38:N54" si="32">IF(H38=0,0,L38/H38)</f>
        <v>-1</v>
      </c>
      <c r="O38" s="13"/>
      <c r="P38" s="1">
        <f>SUM(OSRRefP22_2x_0)</f>
        <v>0</v>
      </c>
      <c r="Q38" s="1"/>
      <c r="R38" s="5">
        <f t="shared" ref="R38:R54" si="33">IF(P$12=0,0,P38/P$12)</f>
        <v>0</v>
      </c>
      <c r="S38" s="1"/>
      <c r="T38" s="1">
        <f>SUM(OSRRefT22_2x_0)</f>
        <v>688.21</v>
      </c>
      <c r="U38" s="1"/>
      <c r="V38" s="5">
        <f t="shared" ref="V38:V54" si="34">IF(T$12=0,0,T38/T$12)</f>
        <v>1.5001108936832017E-3</v>
      </c>
      <c r="W38" s="1"/>
      <c r="X38" s="1">
        <f t="shared" ref="X38:X54" si="35">+P38-T38</f>
        <v>-688.21</v>
      </c>
      <c r="Y38" s="1"/>
      <c r="Z38" s="5">
        <f t="shared" ref="Z38:Z54" si="36">IF(T38=0,0,X38/T38)</f>
        <v>-1</v>
      </c>
    </row>
    <row r="39" spans="1:26" s="24" customFormat="1" hidden="1" outlineLevel="2" x14ac:dyDescent="0.25">
      <c r="A39" s="25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29"/>
        <v>0</v>
      </c>
      <c r="G39" s="2"/>
      <c r="H39" s="6">
        <v>77.64</v>
      </c>
      <c r="I39" s="2"/>
      <c r="J39" s="7">
        <f t="shared" si="30"/>
        <v>1.4857169100762377E-3</v>
      </c>
      <c r="K39" s="2"/>
      <c r="L39" s="6">
        <f t="shared" si="31"/>
        <v>-77.64</v>
      </c>
      <c r="M39" s="2"/>
      <c r="N39" s="7">
        <f t="shared" si="32"/>
        <v>-1</v>
      </c>
      <c r="O39" s="11"/>
      <c r="P39" s="6"/>
      <c r="Q39" s="2"/>
      <c r="R39" s="7">
        <f t="shared" si="33"/>
        <v>0</v>
      </c>
      <c r="S39" s="2"/>
      <c r="T39" s="6">
        <v>688.21</v>
      </c>
      <c r="U39" s="2"/>
      <c r="V39" s="7">
        <f t="shared" si="34"/>
        <v>1.5001108936832017E-3</v>
      </c>
      <c r="W39" s="2"/>
      <c r="X39" s="6">
        <f t="shared" si="35"/>
        <v>-688.21</v>
      </c>
      <c r="Y39" s="2"/>
      <c r="Z39" s="7">
        <f t="shared" si="36"/>
        <v>-1</v>
      </c>
    </row>
    <row r="40" spans="1:26" s="26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29"/>
        <v>0</v>
      </c>
      <c r="G40" s="1"/>
      <c r="H40" s="1">
        <f>SUM(OSRRefH22_3x_0)</f>
        <v>28.97</v>
      </c>
      <c r="I40" s="1"/>
      <c r="J40" s="5">
        <f t="shared" si="30"/>
        <v>5.5436912525642207E-4</v>
      </c>
      <c r="K40" s="1"/>
      <c r="L40" s="1">
        <f t="shared" si="31"/>
        <v>-28.97</v>
      </c>
      <c r="M40" s="1"/>
      <c r="N40" s="5">
        <f t="shared" si="32"/>
        <v>-1</v>
      </c>
      <c r="O40" s="13"/>
      <c r="P40" s="1">
        <f>SUM(OSRRefP22_3x_0)</f>
        <v>0</v>
      </c>
      <c r="Q40" s="1"/>
      <c r="R40" s="5">
        <f t="shared" si="33"/>
        <v>0</v>
      </c>
      <c r="S40" s="1"/>
      <c r="T40" s="1">
        <f>SUM(OSRRefT22_3x_0)</f>
        <v>38.89</v>
      </c>
      <c r="U40" s="1"/>
      <c r="V40" s="5">
        <f t="shared" si="34"/>
        <v>8.4769638126937577E-5</v>
      </c>
      <c r="W40" s="1"/>
      <c r="X40" s="1">
        <f t="shared" si="35"/>
        <v>-38.89</v>
      </c>
      <c r="Y40" s="1"/>
      <c r="Z40" s="5">
        <f t="shared" si="36"/>
        <v>-1</v>
      </c>
    </row>
    <row r="41" spans="1:26" s="24" customFormat="1" hidden="1" outlineLevel="2" x14ac:dyDescent="0.25">
      <c r="A41" s="25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29"/>
        <v>0</v>
      </c>
      <c r="G41" s="2"/>
      <c r="H41" s="6">
        <v>28.97</v>
      </c>
      <c r="I41" s="2"/>
      <c r="J41" s="7">
        <f t="shared" si="30"/>
        <v>5.5436912525642207E-4</v>
      </c>
      <c r="K41" s="2"/>
      <c r="L41" s="6">
        <f t="shared" si="31"/>
        <v>-28.97</v>
      </c>
      <c r="M41" s="2"/>
      <c r="N41" s="7">
        <f t="shared" si="32"/>
        <v>-1</v>
      </c>
      <c r="O41" s="11"/>
      <c r="P41" s="6"/>
      <c r="Q41" s="2"/>
      <c r="R41" s="7">
        <f t="shared" si="33"/>
        <v>0</v>
      </c>
      <c r="S41" s="2"/>
      <c r="T41" s="6">
        <v>38.89</v>
      </c>
      <c r="U41" s="2"/>
      <c r="V41" s="7">
        <f t="shared" si="34"/>
        <v>8.4769638126937577E-5</v>
      </c>
      <c r="W41" s="2"/>
      <c r="X41" s="6">
        <f t="shared" si="35"/>
        <v>-38.89</v>
      </c>
      <c r="Y41" s="2"/>
      <c r="Z41" s="7">
        <f t="shared" si="36"/>
        <v>-1</v>
      </c>
    </row>
    <row r="42" spans="1:26" s="26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29"/>
        <v>0</v>
      </c>
      <c r="G42" s="1"/>
      <c r="H42" s="1">
        <f>SUM(OSRRefH22_4x_0)</f>
        <v>1407.35</v>
      </c>
      <c r="I42" s="1"/>
      <c r="J42" s="5">
        <f t="shared" si="30"/>
        <v>2.6931010991702642E-2</v>
      </c>
      <c r="K42" s="1"/>
      <c r="L42" s="1">
        <f t="shared" si="31"/>
        <v>-1407.35</v>
      </c>
      <c r="M42" s="1"/>
      <c r="N42" s="5">
        <f t="shared" si="32"/>
        <v>-1</v>
      </c>
      <c r="O42" s="13"/>
      <c r="P42" s="1">
        <f>SUM(OSRRefP22_4x_0)</f>
        <v>0</v>
      </c>
      <c r="Q42" s="1"/>
      <c r="R42" s="5">
        <f t="shared" si="33"/>
        <v>0</v>
      </c>
      <c r="S42" s="1"/>
      <c r="T42" s="1">
        <f>SUM(OSRRefT22_4x_0)</f>
        <v>14494.36</v>
      </c>
      <c r="U42" s="1"/>
      <c r="V42" s="5">
        <f t="shared" si="34"/>
        <v>3.1593768374429392E-2</v>
      </c>
      <c r="W42" s="1"/>
      <c r="X42" s="1">
        <f t="shared" si="35"/>
        <v>-14494.36</v>
      </c>
      <c r="Y42" s="1"/>
      <c r="Z42" s="5">
        <f t="shared" si="36"/>
        <v>-1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29"/>
        <v>0</v>
      </c>
      <c r="G43" s="2"/>
      <c r="H43" s="6">
        <v>1407.35</v>
      </c>
      <c r="I43" s="2"/>
      <c r="J43" s="7">
        <f t="shared" si="30"/>
        <v>2.6931010991702642E-2</v>
      </c>
      <c r="K43" s="2"/>
      <c r="L43" s="6">
        <f t="shared" si="31"/>
        <v>-1407.35</v>
      </c>
      <c r="M43" s="2"/>
      <c r="N43" s="7">
        <f t="shared" si="32"/>
        <v>-1</v>
      </c>
      <c r="O43" s="11"/>
      <c r="P43" s="6"/>
      <c r="Q43" s="2"/>
      <c r="R43" s="7">
        <f t="shared" si="33"/>
        <v>0</v>
      </c>
      <c r="S43" s="2"/>
      <c r="T43" s="6">
        <v>14494.36</v>
      </c>
      <c r="U43" s="2"/>
      <c r="V43" s="7">
        <f t="shared" si="34"/>
        <v>3.1593768374429392E-2</v>
      </c>
      <c r="W43" s="2"/>
      <c r="X43" s="6">
        <f t="shared" si="35"/>
        <v>-14494.36</v>
      </c>
      <c r="Y43" s="2"/>
      <c r="Z43" s="7">
        <f t="shared" si="36"/>
        <v>-1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1825.26</v>
      </c>
      <c r="E44" s="1"/>
      <c r="F44" s="5">
        <f t="shared" si="29"/>
        <v>0</v>
      </c>
      <c r="G44" s="1"/>
      <c r="H44" s="1">
        <f>SUM(OSRRefH22_5x_0)</f>
        <v>2067.34</v>
      </c>
      <c r="I44" s="1"/>
      <c r="J44" s="5">
        <f t="shared" si="30"/>
        <v>3.9560561525978997E-2</v>
      </c>
      <c r="K44" s="1"/>
      <c r="L44" s="1">
        <f t="shared" si="31"/>
        <v>-242.08000000000015</v>
      </c>
      <c r="M44" s="1"/>
      <c r="N44" s="5">
        <f t="shared" si="32"/>
        <v>-0.11709733280447344</v>
      </c>
      <c r="O44" s="13"/>
      <c r="P44" s="1">
        <f>SUM(OSRRefP22_5x_0)</f>
        <v>12923.61</v>
      </c>
      <c r="Q44" s="1"/>
      <c r="R44" s="5">
        <f t="shared" si="33"/>
        <v>13.256208265378344</v>
      </c>
      <c r="S44" s="1"/>
      <c r="T44" s="1">
        <f>SUM(OSRRefT22_5x_0)</f>
        <v>12372.63</v>
      </c>
      <c r="U44" s="1"/>
      <c r="V44" s="5">
        <f t="shared" si="34"/>
        <v>2.6968973200784046E-2</v>
      </c>
      <c r="W44" s="1"/>
      <c r="X44" s="1">
        <f t="shared" si="35"/>
        <v>550.98000000000138</v>
      </c>
      <c r="Y44" s="1"/>
      <c r="Z44" s="5">
        <f t="shared" si="36"/>
        <v>4.4532164947953784E-2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1825.26</v>
      </c>
      <c r="E45" s="2"/>
      <c r="F45" s="7">
        <f t="shared" si="29"/>
        <v>0</v>
      </c>
      <c r="G45" s="2"/>
      <c r="H45" s="6">
        <v>2067.34</v>
      </c>
      <c r="I45" s="2"/>
      <c r="J45" s="7">
        <f t="shared" si="30"/>
        <v>3.9560561525978997E-2</v>
      </c>
      <c r="K45" s="2"/>
      <c r="L45" s="6">
        <f t="shared" si="31"/>
        <v>-242.08000000000015</v>
      </c>
      <c r="M45" s="2"/>
      <c r="N45" s="7">
        <f t="shared" si="32"/>
        <v>-0.11709733280447344</v>
      </c>
      <c r="O45" s="11"/>
      <c r="P45" s="6">
        <v>12923.61</v>
      </c>
      <c r="Q45" s="2"/>
      <c r="R45" s="7">
        <f t="shared" si="33"/>
        <v>13.256208265378344</v>
      </c>
      <c r="S45" s="2"/>
      <c r="T45" s="6">
        <v>12372.63</v>
      </c>
      <c r="U45" s="2"/>
      <c r="V45" s="7">
        <f t="shared" si="34"/>
        <v>2.6968973200784046E-2</v>
      </c>
      <c r="W45" s="2"/>
      <c r="X45" s="6">
        <f t="shared" si="35"/>
        <v>550.98000000000138</v>
      </c>
      <c r="Y45" s="2"/>
      <c r="Z45" s="7">
        <f t="shared" si="36"/>
        <v>4.4532164947953784E-2</v>
      </c>
    </row>
    <row r="46" spans="1:26" s="26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9"/>
        <v>0</v>
      </c>
      <c r="G46" s="1"/>
      <c r="H46" s="1">
        <f>SUM(OSRRefH22_6x_0)</f>
        <v>84.16</v>
      </c>
      <c r="I46" s="1"/>
      <c r="J46" s="5">
        <f t="shared" si="30"/>
        <v>1.6104834512109243E-3</v>
      </c>
      <c r="K46" s="1"/>
      <c r="L46" s="1">
        <f t="shared" si="31"/>
        <v>-84.16</v>
      </c>
      <c r="M46" s="1"/>
      <c r="N46" s="5">
        <f t="shared" si="32"/>
        <v>-1</v>
      </c>
      <c r="O46" s="13"/>
      <c r="P46" s="1">
        <f>SUM(OSRRefP22_6x_0)</f>
        <v>0</v>
      </c>
      <c r="Q46" s="1"/>
      <c r="R46" s="5">
        <f t="shared" si="33"/>
        <v>0</v>
      </c>
      <c r="S46" s="1"/>
      <c r="T46" s="1">
        <f>SUM(OSRRefT22_6x_0)</f>
        <v>236.02</v>
      </c>
      <c r="U46" s="1"/>
      <c r="V46" s="5">
        <f t="shared" si="34"/>
        <v>5.1445950091848311E-4</v>
      </c>
      <c r="W46" s="1"/>
      <c r="X46" s="1">
        <f t="shared" si="35"/>
        <v>-236.02</v>
      </c>
      <c r="Y46" s="1"/>
      <c r="Z46" s="5">
        <f t="shared" si="36"/>
        <v>-1</v>
      </c>
    </row>
    <row r="47" spans="1:26" s="24" customFormat="1" hidden="1" outlineLevel="2" x14ac:dyDescent="0.25">
      <c r="A47" s="25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9"/>
        <v>0</v>
      </c>
      <c r="G47" s="2"/>
      <c r="H47" s="6">
        <v>84.16</v>
      </c>
      <c r="I47" s="2"/>
      <c r="J47" s="7">
        <f t="shared" si="30"/>
        <v>1.6104834512109243E-3</v>
      </c>
      <c r="K47" s="2"/>
      <c r="L47" s="6">
        <f t="shared" si="31"/>
        <v>-84.16</v>
      </c>
      <c r="M47" s="2"/>
      <c r="N47" s="7">
        <f t="shared" si="32"/>
        <v>-1</v>
      </c>
      <c r="O47" s="11"/>
      <c r="P47" s="6"/>
      <c r="Q47" s="2"/>
      <c r="R47" s="7">
        <f t="shared" si="33"/>
        <v>0</v>
      </c>
      <c r="S47" s="2"/>
      <c r="T47" s="6">
        <v>236.02</v>
      </c>
      <c r="U47" s="2"/>
      <c r="V47" s="7">
        <f t="shared" si="34"/>
        <v>5.1445950091848311E-4</v>
      </c>
      <c r="W47" s="2"/>
      <c r="X47" s="6">
        <f t="shared" si="35"/>
        <v>-236.02</v>
      </c>
      <c r="Y47" s="2"/>
      <c r="Z47" s="7">
        <f t="shared" si="36"/>
        <v>-1</v>
      </c>
    </row>
    <row r="48" spans="1:26" s="26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29"/>
        <v>0</v>
      </c>
      <c r="G48" s="1"/>
      <c r="H48" s="1">
        <f>SUM(OSRRefH22_7x_0)</f>
        <v>118.91</v>
      </c>
      <c r="I48" s="1"/>
      <c r="J48" s="5">
        <f t="shared" si="30"/>
        <v>2.2754584979026975E-3</v>
      </c>
      <c r="K48" s="1"/>
      <c r="L48" s="1">
        <f t="shared" si="31"/>
        <v>-118.91</v>
      </c>
      <c r="M48" s="1"/>
      <c r="N48" s="5">
        <f t="shared" si="32"/>
        <v>-1</v>
      </c>
      <c r="O48" s="13"/>
      <c r="P48" s="1">
        <f>SUM(OSRRefP22_7x_0)</f>
        <v>96.3</v>
      </c>
      <c r="Q48" s="1"/>
      <c r="R48" s="5">
        <f t="shared" si="33"/>
        <v>9.8778348770655749E-2</v>
      </c>
      <c r="S48" s="1"/>
      <c r="T48" s="1">
        <f>SUM(OSRRefT22_7x_0)</f>
        <v>832.37</v>
      </c>
      <c r="U48" s="1"/>
      <c r="V48" s="5">
        <f t="shared" si="34"/>
        <v>1.8143405422401395E-3</v>
      </c>
      <c r="W48" s="1"/>
      <c r="X48" s="1">
        <f t="shared" si="35"/>
        <v>-736.07</v>
      </c>
      <c r="Y48" s="1"/>
      <c r="Z48" s="5">
        <f t="shared" si="36"/>
        <v>-0.88430625803428764</v>
      </c>
    </row>
    <row r="49" spans="1:26" s="24" customFormat="1" hidden="1" outlineLevel="2" x14ac:dyDescent="0.25">
      <c r="A49" s="25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29"/>
        <v>0</v>
      </c>
      <c r="G49" s="2"/>
      <c r="H49" s="6">
        <v>118.91</v>
      </c>
      <c r="I49" s="2"/>
      <c r="J49" s="7">
        <f t="shared" si="30"/>
        <v>2.2754584979026975E-3</v>
      </c>
      <c r="K49" s="2"/>
      <c r="L49" s="6">
        <f t="shared" si="31"/>
        <v>-118.91</v>
      </c>
      <c r="M49" s="2"/>
      <c r="N49" s="7">
        <f t="shared" si="32"/>
        <v>-1</v>
      </c>
      <c r="O49" s="11"/>
      <c r="P49" s="6">
        <v>96.3</v>
      </c>
      <c r="Q49" s="2"/>
      <c r="R49" s="7">
        <f t="shared" si="33"/>
        <v>9.8778348770655749E-2</v>
      </c>
      <c r="S49" s="2"/>
      <c r="T49" s="6">
        <v>832.37</v>
      </c>
      <c r="U49" s="2"/>
      <c r="V49" s="7">
        <f t="shared" si="34"/>
        <v>1.8143405422401395E-3</v>
      </c>
      <c r="W49" s="2"/>
      <c r="X49" s="6">
        <f t="shared" si="35"/>
        <v>-736.07</v>
      </c>
      <c r="Y49" s="2"/>
      <c r="Z49" s="7">
        <f t="shared" si="36"/>
        <v>-0.88430625803428764</v>
      </c>
    </row>
    <row r="50" spans="1:26" s="26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29"/>
        <v>0</v>
      </c>
      <c r="G50" s="1"/>
      <c r="H50" s="1">
        <f>SUM(OSRRefH22_8x_0)</f>
        <v>1098.72</v>
      </c>
      <c r="I50" s="1"/>
      <c r="J50" s="5">
        <f t="shared" si="30"/>
        <v>2.1025075778451367E-2</v>
      </c>
      <c r="K50" s="1"/>
      <c r="L50" s="1">
        <f t="shared" si="31"/>
        <v>-1098.72</v>
      </c>
      <c r="M50" s="1"/>
      <c r="N50" s="5">
        <f t="shared" si="32"/>
        <v>-1</v>
      </c>
      <c r="O50" s="13"/>
      <c r="P50" s="1">
        <f>SUM(OSRRefP22_8x_0)</f>
        <v>7.28</v>
      </c>
      <c r="Q50" s="1"/>
      <c r="R50" s="5">
        <f t="shared" si="33"/>
        <v>7.467355961063073E-3</v>
      </c>
      <c r="S50" s="1"/>
      <c r="T50" s="1">
        <f>SUM(OSRRefT22_8x_0)</f>
        <v>7237.23</v>
      </c>
      <c r="U50" s="1"/>
      <c r="V50" s="5">
        <f t="shared" si="34"/>
        <v>1.5775195889468151E-2</v>
      </c>
      <c r="W50" s="1"/>
      <c r="X50" s="1">
        <f t="shared" si="35"/>
        <v>-7229.95</v>
      </c>
      <c r="Y50" s="1"/>
      <c r="Z50" s="5">
        <f t="shared" si="36"/>
        <v>-0.99899409028039732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29"/>
        <v>0</v>
      </c>
      <c r="G51" s="2"/>
      <c r="H51" s="6">
        <v>1098.72</v>
      </c>
      <c r="I51" s="2"/>
      <c r="J51" s="7">
        <f t="shared" si="30"/>
        <v>2.1025075778451367E-2</v>
      </c>
      <c r="K51" s="2"/>
      <c r="L51" s="6">
        <f t="shared" si="31"/>
        <v>-1098.72</v>
      </c>
      <c r="M51" s="2"/>
      <c r="N51" s="7">
        <f t="shared" si="32"/>
        <v>-1</v>
      </c>
      <c r="O51" s="11"/>
      <c r="P51" s="6">
        <v>7.28</v>
      </c>
      <c r="Q51" s="2"/>
      <c r="R51" s="7">
        <f t="shared" si="33"/>
        <v>7.467355961063073E-3</v>
      </c>
      <c r="S51" s="2"/>
      <c r="T51" s="6">
        <v>7237.23</v>
      </c>
      <c r="U51" s="2"/>
      <c r="V51" s="7">
        <f t="shared" si="34"/>
        <v>1.5775195889468151E-2</v>
      </c>
      <c r="W51" s="2"/>
      <c r="X51" s="6">
        <f t="shared" si="35"/>
        <v>-7229.95</v>
      </c>
      <c r="Y51" s="2"/>
      <c r="Z51" s="7">
        <f t="shared" si="36"/>
        <v>-0.99899409028039732</v>
      </c>
    </row>
    <row r="52" spans="1:26" s="26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0</v>
      </c>
      <c r="E52" s="1"/>
      <c r="F52" s="5">
        <f t="shared" si="29"/>
        <v>0</v>
      </c>
      <c r="G52" s="1"/>
      <c r="H52" s="1">
        <f>SUM(OSRRefH22_9x_0)</f>
        <v>1017.43</v>
      </c>
      <c r="I52" s="1"/>
      <c r="J52" s="5">
        <f t="shared" si="30"/>
        <v>1.9469512568506781E-2</v>
      </c>
      <c r="K52" s="1"/>
      <c r="L52" s="1">
        <f t="shared" si="31"/>
        <v>-1017.43</v>
      </c>
      <c r="M52" s="1"/>
      <c r="N52" s="5">
        <f t="shared" si="32"/>
        <v>-1</v>
      </c>
      <c r="O52" s="13"/>
      <c r="P52" s="1">
        <f>SUM(OSRRefP22_9x_0)</f>
        <v>498.46</v>
      </c>
      <c r="Q52" s="1"/>
      <c r="R52" s="5">
        <f t="shared" si="33"/>
        <v>0.51128822147685427</v>
      </c>
      <c r="S52" s="1"/>
      <c r="T52" s="1">
        <f>SUM(OSRRefT22_9x_0)</f>
        <v>5422.34</v>
      </c>
      <c r="U52" s="1"/>
      <c r="V52" s="5">
        <f t="shared" si="34"/>
        <v>1.1819228583214676E-2</v>
      </c>
      <c r="W52" s="1"/>
      <c r="X52" s="1">
        <f t="shared" si="35"/>
        <v>-4923.88</v>
      </c>
      <c r="Y52" s="1"/>
      <c r="Z52" s="5">
        <f t="shared" si="36"/>
        <v>-0.90807289841655081</v>
      </c>
    </row>
    <row r="53" spans="1:26" s="24" customFormat="1" hidden="1" outlineLevel="2" x14ac:dyDescent="0.25">
      <c r="A53" s="25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29"/>
        <v>0</v>
      </c>
      <c r="G53" s="2"/>
      <c r="H53" s="6"/>
      <c r="I53" s="2"/>
      <c r="J53" s="7">
        <f t="shared" si="30"/>
        <v>0</v>
      </c>
      <c r="K53" s="2"/>
      <c r="L53" s="6">
        <f t="shared" si="31"/>
        <v>0</v>
      </c>
      <c r="M53" s="2"/>
      <c r="N53" s="7">
        <f t="shared" si="32"/>
        <v>0</v>
      </c>
      <c r="O53" s="11"/>
      <c r="P53" s="6">
        <v>298.45999999999998</v>
      </c>
      <c r="Q53" s="2"/>
      <c r="R53" s="7">
        <f t="shared" si="33"/>
        <v>0.30614107968940724</v>
      </c>
      <c r="S53" s="2"/>
      <c r="T53" s="6">
        <v>240.39</v>
      </c>
      <c r="U53" s="2"/>
      <c r="V53" s="7">
        <f t="shared" si="34"/>
        <v>5.2398491409962771E-4</v>
      </c>
      <c r="W53" s="2"/>
      <c r="X53" s="6">
        <f t="shared" si="35"/>
        <v>58.069999999999993</v>
      </c>
      <c r="Y53" s="2"/>
      <c r="Z53" s="7">
        <f t="shared" si="36"/>
        <v>0.24156578892632805</v>
      </c>
    </row>
    <row r="54" spans="1:26" s="24" customFormat="1" hidden="1" outlineLevel="2" x14ac:dyDescent="0.25">
      <c r="A54" s="25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9"/>
        <v>0</v>
      </c>
      <c r="G54" s="2"/>
      <c r="H54" s="6">
        <v>1017.43</v>
      </c>
      <c r="I54" s="2"/>
      <c r="J54" s="7">
        <f t="shared" si="30"/>
        <v>1.9469512568506781E-2</v>
      </c>
      <c r="K54" s="2"/>
      <c r="L54" s="6">
        <f t="shared" si="31"/>
        <v>-1017.43</v>
      </c>
      <c r="M54" s="2"/>
      <c r="N54" s="7">
        <f t="shared" si="32"/>
        <v>-1</v>
      </c>
      <c r="O54" s="11"/>
      <c r="P54" s="6">
        <v>200</v>
      </c>
      <c r="Q54" s="2"/>
      <c r="R54" s="7">
        <f t="shared" si="33"/>
        <v>0.20514714178744706</v>
      </c>
      <c r="S54" s="2"/>
      <c r="T54" s="6">
        <v>5181.95</v>
      </c>
      <c r="U54" s="2"/>
      <c r="V54" s="7">
        <f t="shared" si="34"/>
        <v>1.1295243669115046E-2</v>
      </c>
      <c r="W54" s="2"/>
      <c r="X54" s="6">
        <f t="shared" si="35"/>
        <v>-4981.95</v>
      </c>
      <c r="Y54" s="2"/>
      <c r="Z54" s="7">
        <f t="shared" si="36"/>
        <v>-0.96140449058752009</v>
      </c>
    </row>
    <row r="55" spans="1:26" s="26" customFormat="1" outlineLevel="1" collapsed="1" x14ac:dyDescent="0.25">
      <c r="A55" s="27"/>
      <c r="B55" s="13" t="str">
        <f>CONCATENATE("     ","Royalty &amp; Commissions                             ")</f>
        <v xml:space="preserve">     Royalty &amp; Commissions                             </v>
      </c>
      <c r="C55" s="13"/>
      <c r="D55" s="1">
        <f>SUM(OSRRefD22_10x_0)</f>
        <v>0</v>
      </c>
      <c r="E55" s="1"/>
      <c r="F55" s="5">
        <f t="shared" ref="F55:F68" si="37">IF(D$12=0,0,D55/D$12)</f>
        <v>0</v>
      </c>
      <c r="G55" s="1"/>
      <c r="H55" s="1">
        <f>SUM(OSRRefH22_10x_0)</f>
        <v>4180.6400000000003</v>
      </c>
      <c r="I55" s="1"/>
      <c r="J55" s="5">
        <f t="shared" ref="J55:J68" si="38">IF(H$12=0,0,H55/H$12)</f>
        <v>8.0000612351122144E-2</v>
      </c>
      <c r="K55" s="1"/>
      <c r="L55" s="1">
        <f t="shared" ref="L55:L68" si="39">+D55-H55</f>
        <v>-4180.6400000000003</v>
      </c>
      <c r="M55" s="1"/>
      <c r="N55" s="5">
        <f t="shared" ref="N55:N68" si="40">IF(H55=0,0,L55/H55)</f>
        <v>-1</v>
      </c>
      <c r="O55" s="13"/>
      <c r="P55" s="1">
        <f>SUM(OSRRefP22_10x_0)</f>
        <v>0</v>
      </c>
      <c r="Q55" s="1"/>
      <c r="R55" s="5">
        <f t="shared" ref="R55:R68" si="41">IF(P$12=0,0,P55/P$12)</f>
        <v>0</v>
      </c>
      <c r="S55" s="1"/>
      <c r="T55" s="1">
        <f>SUM(OSRRefT22_10x_0)</f>
        <v>33482</v>
      </c>
      <c r="U55" s="1"/>
      <c r="V55" s="5">
        <f t="shared" ref="V55:V68" si="42">IF(T$12=0,0,T55/T$12)</f>
        <v>7.2981666849218918E-2</v>
      </c>
      <c r="W55" s="1"/>
      <c r="X55" s="1">
        <f t="shared" ref="X55:X68" si="43">+P55-T55</f>
        <v>-33482</v>
      </c>
      <c r="Y55" s="1"/>
      <c r="Z55" s="5">
        <f t="shared" ref="Z55:Z68" si="44">IF(T55=0,0,X55/T55)</f>
        <v>-1</v>
      </c>
    </row>
    <row r="56" spans="1:26" s="24" customFormat="1" hidden="1" outlineLevel="2" x14ac:dyDescent="0.25">
      <c r="A56" s="25"/>
      <c r="B56" s="11" t="str">
        <f>CONCATENATE("          ", "6259", " - ", "ROYALTY &amp; COMMISSIONS")</f>
        <v xml:space="preserve">          6259 - ROYALTY &amp; COMMISSIONS</v>
      </c>
      <c r="C56" s="11"/>
      <c r="D56" s="6"/>
      <c r="E56" s="2"/>
      <c r="F56" s="7">
        <f t="shared" si="37"/>
        <v>0</v>
      </c>
      <c r="G56" s="2"/>
      <c r="H56" s="6">
        <v>4180.6400000000003</v>
      </c>
      <c r="I56" s="2"/>
      <c r="J56" s="7">
        <f t="shared" si="38"/>
        <v>8.0000612351122144E-2</v>
      </c>
      <c r="K56" s="2"/>
      <c r="L56" s="6">
        <f t="shared" si="39"/>
        <v>-4180.6400000000003</v>
      </c>
      <c r="M56" s="2"/>
      <c r="N56" s="7">
        <f t="shared" si="40"/>
        <v>-1</v>
      </c>
      <c r="O56" s="11"/>
      <c r="P56" s="6"/>
      <c r="Q56" s="2"/>
      <c r="R56" s="7">
        <f t="shared" si="41"/>
        <v>0</v>
      </c>
      <c r="S56" s="2"/>
      <c r="T56" s="6">
        <v>33482</v>
      </c>
      <c r="U56" s="2"/>
      <c r="V56" s="7">
        <f t="shared" si="42"/>
        <v>7.2981666849218918E-2</v>
      </c>
      <c r="W56" s="2"/>
      <c r="X56" s="6">
        <f t="shared" si="43"/>
        <v>-33482</v>
      </c>
      <c r="Y56" s="2"/>
      <c r="Z56" s="7">
        <f t="shared" si="44"/>
        <v>-1</v>
      </c>
    </row>
    <row r="57" spans="1:26" s="26" customFormat="1" outlineLevel="1" collapsed="1" x14ac:dyDescent="0.25">
      <c r="A57" s="27"/>
      <c r="B57" s="13" t="str">
        <f>CONCATENATE("     ","Services                                          ")</f>
        <v xml:space="preserve">     Services                                          </v>
      </c>
      <c r="C57" s="13"/>
      <c r="D57" s="1">
        <f>SUM(OSRRefD22_11x_0)</f>
        <v>0</v>
      </c>
      <c r="E57" s="1"/>
      <c r="F57" s="5">
        <f t="shared" si="37"/>
        <v>0</v>
      </c>
      <c r="G57" s="1"/>
      <c r="H57" s="1">
        <f>SUM(OSRRefH22_11x_0)</f>
        <v>81.25</v>
      </c>
      <c r="I57" s="1"/>
      <c r="J57" s="5">
        <f t="shared" si="38"/>
        <v>1.5547977710419156E-3</v>
      </c>
      <c r="K57" s="1"/>
      <c r="L57" s="1">
        <f t="shared" si="39"/>
        <v>-81.25</v>
      </c>
      <c r="M57" s="1"/>
      <c r="N57" s="5">
        <f t="shared" si="40"/>
        <v>-1</v>
      </c>
      <c r="O57" s="13"/>
      <c r="P57" s="1">
        <f>SUM(OSRRefP22_11x_0)</f>
        <v>0</v>
      </c>
      <c r="Q57" s="1"/>
      <c r="R57" s="5">
        <f t="shared" si="41"/>
        <v>0</v>
      </c>
      <c r="S57" s="1"/>
      <c r="T57" s="1">
        <f>SUM(OSRRefT22_11x_0)</f>
        <v>411.1</v>
      </c>
      <c r="U57" s="1"/>
      <c r="V57" s="5">
        <f t="shared" si="42"/>
        <v>8.9608635212095754E-4</v>
      </c>
      <c r="W57" s="1"/>
      <c r="X57" s="1">
        <f t="shared" si="43"/>
        <v>-411.1</v>
      </c>
      <c r="Y57" s="1"/>
      <c r="Z57" s="5">
        <f t="shared" si="44"/>
        <v>-1</v>
      </c>
    </row>
    <row r="58" spans="1:26" s="24" customFormat="1" hidden="1" outlineLevel="2" x14ac:dyDescent="0.25">
      <c r="A58" s="25"/>
      <c r="B58" s="11" t="str">
        <f>CONCATENATE("          ", "6286", " - ", "LAUNDRY EXPENSE")</f>
        <v xml:space="preserve">          6286 - LAUNDRY EXPENSE</v>
      </c>
      <c r="C58" s="11"/>
      <c r="D58" s="6"/>
      <c r="E58" s="2"/>
      <c r="F58" s="7">
        <f t="shared" si="37"/>
        <v>0</v>
      </c>
      <c r="G58" s="2"/>
      <c r="H58" s="6">
        <v>81.25</v>
      </c>
      <c r="I58" s="2"/>
      <c r="J58" s="7">
        <f t="shared" si="38"/>
        <v>1.5547977710419156E-3</v>
      </c>
      <c r="K58" s="2"/>
      <c r="L58" s="6">
        <f t="shared" si="39"/>
        <v>-81.25</v>
      </c>
      <c r="M58" s="2"/>
      <c r="N58" s="7">
        <f t="shared" si="40"/>
        <v>-1</v>
      </c>
      <c r="O58" s="11"/>
      <c r="P58" s="6"/>
      <c r="Q58" s="2"/>
      <c r="R58" s="7">
        <f t="shared" si="41"/>
        <v>0</v>
      </c>
      <c r="S58" s="2"/>
      <c r="T58" s="6">
        <v>411.1</v>
      </c>
      <c r="U58" s="2"/>
      <c r="V58" s="7">
        <f t="shared" si="42"/>
        <v>8.9608635212095754E-4</v>
      </c>
      <c r="W58" s="2"/>
      <c r="X58" s="6">
        <f t="shared" si="43"/>
        <v>-411.1</v>
      </c>
      <c r="Y58" s="2"/>
      <c r="Z58" s="7">
        <f t="shared" si="44"/>
        <v>-1</v>
      </c>
    </row>
    <row r="59" spans="1:26" s="26" customFormat="1" outlineLevel="1" collapsed="1" x14ac:dyDescent="0.25">
      <c r="A59" s="27"/>
      <c r="B59" s="13" t="str">
        <f>CONCATENATE("     ","Subscriptions &amp; Dues                              ")</f>
        <v xml:space="preserve">     Subscriptions &amp; Dues                              </v>
      </c>
      <c r="C59" s="13"/>
      <c r="D59" s="1">
        <f>SUM(OSRRefD22_12x_0)</f>
        <v>0</v>
      </c>
      <c r="E59" s="1"/>
      <c r="F59" s="5">
        <f t="shared" si="37"/>
        <v>0</v>
      </c>
      <c r="G59" s="1"/>
      <c r="H59" s="1">
        <f>SUM(OSRRefH22_12x_0)</f>
        <v>30.68</v>
      </c>
      <c r="I59" s="1"/>
      <c r="J59" s="5">
        <f t="shared" si="38"/>
        <v>5.8709163834542728E-4</v>
      </c>
      <c r="K59" s="1"/>
      <c r="L59" s="1">
        <f t="shared" si="39"/>
        <v>-30.68</v>
      </c>
      <c r="M59" s="1"/>
      <c r="N59" s="5">
        <f t="shared" si="40"/>
        <v>-1</v>
      </c>
      <c r="O59" s="13"/>
      <c r="P59" s="1">
        <f>SUM(OSRRefP22_12x_0)</f>
        <v>0</v>
      </c>
      <c r="Q59" s="1"/>
      <c r="R59" s="5">
        <f t="shared" si="41"/>
        <v>0</v>
      </c>
      <c r="S59" s="1"/>
      <c r="T59" s="1">
        <f>SUM(OSRRefT22_12x_0)</f>
        <v>122.72</v>
      </c>
      <c r="U59" s="1"/>
      <c r="V59" s="5">
        <f t="shared" si="42"/>
        <v>2.6749627130207709E-4</v>
      </c>
      <c r="W59" s="1"/>
      <c r="X59" s="1">
        <f t="shared" si="43"/>
        <v>-122.72</v>
      </c>
      <c r="Y59" s="1"/>
      <c r="Z59" s="5">
        <f t="shared" si="44"/>
        <v>-1</v>
      </c>
    </row>
    <row r="60" spans="1:26" s="24" customFormat="1" hidden="1" outlineLevel="2" x14ac:dyDescent="0.25">
      <c r="A60" s="25"/>
      <c r="B60" s="11" t="str">
        <f>CONCATENATE("          ", "6275", " - ", "SUBSCRIPTIONS")</f>
        <v xml:space="preserve">          6275 - SUBSCRIPTIONS</v>
      </c>
      <c r="C60" s="11"/>
      <c r="D60" s="6"/>
      <c r="E60" s="2"/>
      <c r="F60" s="7">
        <f t="shared" si="37"/>
        <v>0</v>
      </c>
      <c r="G60" s="2"/>
      <c r="H60" s="6">
        <v>30.68</v>
      </c>
      <c r="I60" s="2"/>
      <c r="J60" s="7">
        <f t="shared" si="38"/>
        <v>5.8709163834542728E-4</v>
      </c>
      <c r="K60" s="2"/>
      <c r="L60" s="6">
        <f t="shared" si="39"/>
        <v>-30.68</v>
      </c>
      <c r="M60" s="2"/>
      <c r="N60" s="7">
        <f t="shared" si="40"/>
        <v>-1</v>
      </c>
      <c r="O60" s="11"/>
      <c r="P60" s="6"/>
      <c r="Q60" s="2"/>
      <c r="R60" s="7">
        <f t="shared" si="41"/>
        <v>0</v>
      </c>
      <c r="S60" s="2"/>
      <c r="T60" s="6">
        <v>122.72</v>
      </c>
      <c r="U60" s="2"/>
      <c r="V60" s="7">
        <f t="shared" si="42"/>
        <v>2.6749627130207709E-4</v>
      </c>
      <c r="W60" s="2"/>
      <c r="X60" s="6">
        <f t="shared" si="43"/>
        <v>-122.72</v>
      </c>
      <c r="Y60" s="2"/>
      <c r="Z60" s="7">
        <f t="shared" si="44"/>
        <v>-1</v>
      </c>
    </row>
    <row r="61" spans="1:26" s="26" customFormat="1" outlineLevel="1" collapsed="1" x14ac:dyDescent="0.25">
      <c r="A61" s="27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SUM(OSRRefD22_13x_0)</f>
        <v>0</v>
      </c>
      <c r="E61" s="1"/>
      <c r="F61" s="5">
        <f t="shared" si="37"/>
        <v>0</v>
      </c>
      <c r="G61" s="1"/>
      <c r="H61" s="1">
        <f>SUM(OSRRefH22_13x_0)</f>
        <v>1093.06</v>
      </c>
      <c r="I61" s="1"/>
      <c r="J61" s="5">
        <f t="shared" si="38"/>
        <v>2.0916766173724014E-2</v>
      </c>
      <c r="K61" s="1"/>
      <c r="L61" s="1">
        <f t="shared" si="39"/>
        <v>-1093.06</v>
      </c>
      <c r="M61" s="1"/>
      <c r="N61" s="5">
        <f t="shared" si="40"/>
        <v>-1</v>
      </c>
      <c r="O61" s="13"/>
      <c r="P61" s="1">
        <f>SUM(OSRRefP22_13x_0)</f>
        <v>0</v>
      </c>
      <c r="Q61" s="1"/>
      <c r="R61" s="5">
        <f t="shared" si="41"/>
        <v>0</v>
      </c>
      <c r="S61" s="1"/>
      <c r="T61" s="1">
        <f>SUM(OSRRefT22_13x_0)</f>
        <v>8711.5999999999985</v>
      </c>
      <c r="U61" s="1"/>
      <c r="V61" s="5">
        <f t="shared" si="42"/>
        <v>1.8988922075254031E-2</v>
      </c>
      <c r="W61" s="1"/>
      <c r="X61" s="1">
        <f t="shared" si="43"/>
        <v>-8711.5999999999985</v>
      </c>
      <c r="Y61" s="1"/>
      <c r="Z61" s="5">
        <f t="shared" si="44"/>
        <v>-1</v>
      </c>
    </row>
    <row r="62" spans="1:26" s="24" customFormat="1" hidden="1" outlineLevel="2" x14ac:dyDescent="0.25">
      <c r="A62" s="25"/>
      <c r="B62" s="11" t="str">
        <f>CONCATENATE("          ", "6237", " - ", "JANITORIAL SUPPLIES")</f>
        <v xml:space="preserve">          6237 - JANITORIAL SUPPLIES</v>
      </c>
      <c r="C62" s="11"/>
      <c r="D62" s="6"/>
      <c r="E62" s="2"/>
      <c r="F62" s="7">
        <f t="shared" si="37"/>
        <v>0</v>
      </c>
      <c r="G62" s="2"/>
      <c r="H62" s="6">
        <v>38</v>
      </c>
      <c r="I62" s="2"/>
      <c r="J62" s="7">
        <f t="shared" si="38"/>
        <v>7.2716695753344968E-4</v>
      </c>
      <c r="K62" s="2"/>
      <c r="L62" s="6">
        <f t="shared" si="39"/>
        <v>-38</v>
      </c>
      <c r="M62" s="2"/>
      <c r="N62" s="7">
        <f t="shared" si="40"/>
        <v>-1</v>
      </c>
      <c r="O62" s="11"/>
      <c r="P62" s="6"/>
      <c r="Q62" s="2"/>
      <c r="R62" s="7">
        <f t="shared" si="41"/>
        <v>0</v>
      </c>
      <c r="S62" s="2"/>
      <c r="T62" s="6">
        <v>236.84</v>
      </c>
      <c r="U62" s="2"/>
      <c r="V62" s="7">
        <f t="shared" si="42"/>
        <v>5.1624687822020819E-4</v>
      </c>
      <c r="W62" s="2"/>
      <c r="X62" s="6">
        <f t="shared" si="43"/>
        <v>-236.84</v>
      </c>
      <c r="Y62" s="2"/>
      <c r="Z62" s="7">
        <f t="shared" si="44"/>
        <v>-1</v>
      </c>
    </row>
    <row r="63" spans="1:26" s="24" customFormat="1" hidden="1" outlineLevel="2" x14ac:dyDescent="0.25">
      <c r="A63" s="25"/>
      <c r="B63" s="11" t="str">
        <f>CONCATENATE("          ", "6239", " - ", "KITCHEN SUPPLIES")</f>
        <v xml:space="preserve">          6239 - KITCHEN SUPPLIES</v>
      </c>
      <c r="C63" s="11"/>
      <c r="D63" s="6"/>
      <c r="E63" s="2"/>
      <c r="F63" s="7">
        <f t="shared" si="37"/>
        <v>0</v>
      </c>
      <c r="G63" s="2"/>
      <c r="H63" s="6">
        <v>9.06</v>
      </c>
      <c r="I63" s="2"/>
      <c r="J63" s="7">
        <f t="shared" si="38"/>
        <v>1.7337191145402775E-4</v>
      </c>
      <c r="K63" s="2"/>
      <c r="L63" s="6">
        <f t="shared" si="39"/>
        <v>-9.06</v>
      </c>
      <c r="M63" s="2"/>
      <c r="N63" s="7">
        <f t="shared" si="40"/>
        <v>-1</v>
      </c>
      <c r="O63" s="11"/>
      <c r="P63" s="6"/>
      <c r="Q63" s="2"/>
      <c r="R63" s="7">
        <f t="shared" si="41"/>
        <v>0</v>
      </c>
      <c r="S63" s="2"/>
      <c r="T63" s="6">
        <v>1899.31</v>
      </c>
      <c r="U63" s="2"/>
      <c r="V63" s="7">
        <f t="shared" si="42"/>
        <v>4.1399799791944922E-3</v>
      </c>
      <c r="W63" s="2"/>
      <c r="X63" s="6">
        <f t="shared" si="43"/>
        <v>-1899.31</v>
      </c>
      <c r="Y63" s="2"/>
      <c r="Z63" s="7">
        <f t="shared" si="44"/>
        <v>-1</v>
      </c>
    </row>
    <row r="64" spans="1:26" s="24" customFormat="1" hidden="1" outlineLevel="2" x14ac:dyDescent="0.25">
      <c r="A64" s="25"/>
      <c r="B64" s="11" t="str">
        <f>CONCATENATE("          ", "6241", " - ", "OFFICE EXPENSE")</f>
        <v xml:space="preserve">          6241 - OFFICE EXPENSE</v>
      </c>
      <c r="C64" s="11"/>
      <c r="D64" s="6"/>
      <c r="E64" s="2"/>
      <c r="F64" s="7">
        <f t="shared" si="37"/>
        <v>0</v>
      </c>
      <c r="G64" s="2"/>
      <c r="H64" s="6">
        <v>122.87</v>
      </c>
      <c r="I64" s="2"/>
      <c r="J64" s="7">
        <f t="shared" si="38"/>
        <v>2.3512369492667095E-3</v>
      </c>
      <c r="K64" s="2"/>
      <c r="L64" s="6">
        <f t="shared" si="39"/>
        <v>-122.87</v>
      </c>
      <c r="M64" s="2"/>
      <c r="N64" s="7">
        <f t="shared" si="40"/>
        <v>-1</v>
      </c>
      <c r="O64" s="11"/>
      <c r="P64" s="6"/>
      <c r="Q64" s="2"/>
      <c r="R64" s="7">
        <f t="shared" si="41"/>
        <v>0</v>
      </c>
      <c r="S64" s="2"/>
      <c r="T64" s="6">
        <v>1499.6</v>
      </c>
      <c r="U64" s="2"/>
      <c r="V64" s="7">
        <f t="shared" si="42"/>
        <v>3.2687207337401794E-3</v>
      </c>
      <c r="W64" s="2"/>
      <c r="X64" s="6">
        <f t="shared" si="43"/>
        <v>-1499.6</v>
      </c>
      <c r="Y64" s="2"/>
      <c r="Z64" s="7">
        <f t="shared" si="44"/>
        <v>-1</v>
      </c>
    </row>
    <row r="65" spans="1:26" s="24" customFormat="1" hidden="1" outlineLevel="2" x14ac:dyDescent="0.25">
      <c r="A65" s="25"/>
      <c r="B65" s="11" t="str">
        <f>CONCATENATE("          ", "6243", " - ", "PAPER SUPPLIES")</f>
        <v xml:space="preserve">          6243 - PAPER SUPPLIES</v>
      </c>
      <c r="C65" s="11"/>
      <c r="D65" s="6"/>
      <c r="E65" s="2"/>
      <c r="F65" s="7">
        <f t="shared" si="37"/>
        <v>0</v>
      </c>
      <c r="G65" s="2"/>
      <c r="H65" s="6">
        <v>838.92</v>
      </c>
      <c r="I65" s="2"/>
      <c r="J65" s="7">
        <f t="shared" si="38"/>
        <v>1.6053550105630567E-2</v>
      </c>
      <c r="K65" s="2"/>
      <c r="L65" s="6">
        <f t="shared" si="39"/>
        <v>-838.92</v>
      </c>
      <c r="M65" s="2"/>
      <c r="N65" s="7">
        <f t="shared" si="40"/>
        <v>-1</v>
      </c>
      <c r="O65" s="11"/>
      <c r="P65" s="6"/>
      <c r="Q65" s="2"/>
      <c r="R65" s="7">
        <f t="shared" si="41"/>
        <v>0</v>
      </c>
      <c r="S65" s="2"/>
      <c r="T65" s="6">
        <v>3484.15</v>
      </c>
      <c r="U65" s="2"/>
      <c r="V65" s="7">
        <f t="shared" si="42"/>
        <v>7.5945007631774124E-3</v>
      </c>
      <c r="W65" s="2"/>
      <c r="X65" s="6">
        <f t="shared" si="43"/>
        <v>-3484.15</v>
      </c>
      <c r="Y65" s="2"/>
      <c r="Z65" s="7">
        <f t="shared" si="44"/>
        <v>-1</v>
      </c>
    </row>
    <row r="66" spans="1:26" s="24" customFormat="1" hidden="1" outlineLevel="2" x14ac:dyDescent="0.25">
      <c r="A66" s="25"/>
      <c r="B66" s="11" t="str">
        <f>CONCATENATE("          ", "6245", " - ", "PRINTING")</f>
        <v xml:space="preserve">          6245 - PRINTING</v>
      </c>
      <c r="C66" s="11"/>
      <c r="D66" s="6"/>
      <c r="E66" s="2"/>
      <c r="F66" s="7">
        <f t="shared" si="37"/>
        <v>0</v>
      </c>
      <c r="G66" s="2"/>
      <c r="H66" s="6"/>
      <c r="I66" s="2"/>
      <c r="J66" s="7">
        <f t="shared" si="38"/>
        <v>0</v>
      </c>
      <c r="K66" s="2"/>
      <c r="L66" s="6">
        <f t="shared" si="39"/>
        <v>0</v>
      </c>
      <c r="M66" s="2"/>
      <c r="N66" s="7">
        <f t="shared" si="40"/>
        <v>0</v>
      </c>
      <c r="O66" s="11"/>
      <c r="P66" s="6"/>
      <c r="Q66" s="2"/>
      <c r="R66" s="7">
        <f t="shared" si="41"/>
        <v>0</v>
      </c>
      <c r="S66" s="2"/>
      <c r="T66" s="6">
        <v>181.92</v>
      </c>
      <c r="U66" s="2"/>
      <c r="V66" s="7">
        <f t="shared" si="42"/>
        <v>3.9653619357296176E-4</v>
      </c>
      <c r="W66" s="2"/>
      <c r="X66" s="6">
        <f t="shared" si="43"/>
        <v>-181.92</v>
      </c>
      <c r="Y66" s="2"/>
      <c r="Z66" s="7">
        <f t="shared" si="44"/>
        <v>-1</v>
      </c>
    </row>
    <row r="67" spans="1:26" s="24" customFormat="1" hidden="1" outlineLevel="2" x14ac:dyDescent="0.25">
      <c r="A67" s="25"/>
      <c r="B67" s="11" t="str">
        <f>CONCATENATE("          ", "6247", " - ", "STORE SUPPLIES")</f>
        <v xml:space="preserve">          6247 - STORE SUPPLIES</v>
      </c>
      <c r="C67" s="11"/>
      <c r="D67" s="6"/>
      <c r="E67" s="2"/>
      <c r="F67" s="7">
        <f t="shared" si="37"/>
        <v>0</v>
      </c>
      <c r="G67" s="2"/>
      <c r="H67" s="6">
        <v>51.02</v>
      </c>
      <c r="I67" s="2"/>
      <c r="J67" s="7">
        <f t="shared" si="38"/>
        <v>9.7631732035148968E-4</v>
      </c>
      <c r="K67" s="2"/>
      <c r="L67" s="6">
        <f t="shared" si="39"/>
        <v>-51.02</v>
      </c>
      <c r="M67" s="2"/>
      <c r="N67" s="7">
        <f t="shared" si="40"/>
        <v>-1</v>
      </c>
      <c r="O67" s="11"/>
      <c r="P67" s="6"/>
      <c r="Q67" s="2"/>
      <c r="R67" s="7">
        <f t="shared" si="41"/>
        <v>0</v>
      </c>
      <c r="S67" s="2"/>
      <c r="T67" s="6">
        <v>1262.81</v>
      </c>
      <c r="U67" s="2"/>
      <c r="V67" s="7">
        <f t="shared" si="42"/>
        <v>2.7525828419408082E-3</v>
      </c>
      <c r="W67" s="2"/>
      <c r="X67" s="6">
        <f t="shared" si="43"/>
        <v>-1262.81</v>
      </c>
      <c r="Y67" s="2"/>
      <c r="Z67" s="7">
        <f t="shared" si="44"/>
        <v>-1</v>
      </c>
    </row>
    <row r="68" spans="1:26" s="24" customFormat="1" hidden="1" outlineLevel="2" x14ac:dyDescent="0.25">
      <c r="A68" s="25"/>
      <c r="B68" s="11" t="str">
        <f>CONCATENATE("          ", "6248", " - ", "UNIFORMS")</f>
        <v xml:space="preserve">          6248 - UNIFORMS</v>
      </c>
      <c r="C68" s="11"/>
      <c r="D68" s="6"/>
      <c r="E68" s="2"/>
      <c r="F68" s="7">
        <f t="shared" si="37"/>
        <v>0</v>
      </c>
      <c r="G68" s="2"/>
      <c r="H68" s="6">
        <v>33.19</v>
      </c>
      <c r="I68" s="2"/>
      <c r="J68" s="7">
        <f t="shared" si="38"/>
        <v>6.3512292948776823E-4</v>
      </c>
      <c r="K68" s="2"/>
      <c r="L68" s="6">
        <f t="shared" si="39"/>
        <v>-33.19</v>
      </c>
      <c r="M68" s="2"/>
      <c r="N68" s="7">
        <f t="shared" si="40"/>
        <v>-1</v>
      </c>
      <c r="O68" s="11"/>
      <c r="P68" s="6"/>
      <c r="Q68" s="2"/>
      <c r="R68" s="7">
        <f t="shared" si="41"/>
        <v>0</v>
      </c>
      <c r="S68" s="2"/>
      <c r="T68" s="6">
        <v>146.97</v>
      </c>
      <c r="U68" s="2"/>
      <c r="V68" s="7">
        <f t="shared" si="42"/>
        <v>3.2035468540797161E-4</v>
      </c>
      <c r="W68" s="2"/>
      <c r="X68" s="6">
        <f t="shared" si="43"/>
        <v>-146.97</v>
      </c>
      <c r="Y68" s="2"/>
      <c r="Z68" s="7">
        <f t="shared" si="44"/>
        <v>-1</v>
      </c>
    </row>
    <row r="69" spans="1:26" s="26" customFormat="1" outlineLevel="1" collapsed="1" x14ac:dyDescent="0.25">
      <c r="A69" s="27"/>
      <c r="B69" s="13" t="str">
        <f>CONCATENATE("     ","Telephone/Data Lines                              ")</f>
        <v xml:space="preserve">     Telephone/Data Lines                              </v>
      </c>
      <c r="C69" s="13"/>
      <c r="D69" s="1">
        <f>SUM(OSRRefD22_14x_0)</f>
        <v>0</v>
      </c>
      <c r="E69" s="1"/>
      <c r="F69" s="5">
        <f t="shared" ref="F69:F72" si="45">IF(D$12=0,0,D69/D$12)</f>
        <v>0</v>
      </c>
      <c r="G69" s="1"/>
      <c r="H69" s="1">
        <f>SUM(OSRRefH22_14x_0)</f>
        <v>0</v>
      </c>
      <c r="I69" s="1"/>
      <c r="J69" s="5">
        <f t="shared" ref="J69:J72" si="46">IF(H$12=0,0,H69/H$12)</f>
        <v>0</v>
      </c>
      <c r="K69" s="1"/>
      <c r="L69" s="1">
        <f t="shared" ref="L69:L72" si="47">+D69-H69</f>
        <v>0</v>
      </c>
      <c r="M69" s="1"/>
      <c r="N69" s="5">
        <f t="shared" ref="N69:N72" si="48">IF(H69=0,0,L69/H69)</f>
        <v>0</v>
      </c>
      <c r="O69" s="13"/>
      <c r="P69" s="1">
        <f>SUM(OSRRefP22_14x_0)</f>
        <v>0</v>
      </c>
      <c r="Q69" s="1"/>
      <c r="R69" s="5">
        <f t="shared" ref="R69:R72" si="49">IF(P$12=0,0,P69/P$12)</f>
        <v>0</v>
      </c>
      <c r="S69" s="1"/>
      <c r="T69" s="1">
        <f>SUM(OSRRefT22_14x_0)</f>
        <v>-45</v>
      </c>
      <c r="U69" s="1"/>
      <c r="V69" s="5">
        <f t="shared" ref="V69:V72" si="50">IF(T$12=0,0,T69/T$12)</f>
        <v>-9.8087778753206247E-5</v>
      </c>
      <c r="W69" s="1"/>
      <c r="X69" s="1">
        <f t="shared" ref="X69:X72" si="51">+P69-T69</f>
        <v>45</v>
      </c>
      <c r="Y69" s="1"/>
      <c r="Z69" s="5">
        <f t="shared" ref="Z69:Z72" si="52">IF(T69=0,0,X69/T69)</f>
        <v>-1</v>
      </c>
    </row>
    <row r="70" spans="1:26" s="24" customFormat="1" hidden="1" outlineLevel="2" x14ac:dyDescent="0.25">
      <c r="A70" s="25"/>
      <c r="B70" s="11" t="str">
        <f>CONCATENATE("          ", "6309", " - ", "TELEPHONE")</f>
        <v xml:space="preserve">          6309 - TELEPHONE</v>
      </c>
      <c r="C70" s="11"/>
      <c r="D70" s="6"/>
      <c r="E70" s="2"/>
      <c r="F70" s="7">
        <f t="shared" si="45"/>
        <v>0</v>
      </c>
      <c r="G70" s="2"/>
      <c r="H70" s="6"/>
      <c r="I70" s="2"/>
      <c r="J70" s="7">
        <f t="shared" si="46"/>
        <v>0</v>
      </c>
      <c r="K70" s="2"/>
      <c r="L70" s="6">
        <f t="shared" si="47"/>
        <v>0</v>
      </c>
      <c r="M70" s="2"/>
      <c r="N70" s="7">
        <f t="shared" si="48"/>
        <v>0</v>
      </c>
      <c r="O70" s="11"/>
      <c r="P70" s="6"/>
      <c r="Q70" s="2"/>
      <c r="R70" s="7">
        <f t="shared" si="49"/>
        <v>0</v>
      </c>
      <c r="S70" s="2"/>
      <c r="T70" s="6">
        <v>-45</v>
      </c>
      <c r="U70" s="2"/>
      <c r="V70" s="7">
        <f t="shared" si="50"/>
        <v>-9.8087778753206247E-5</v>
      </c>
      <c r="W70" s="2"/>
      <c r="X70" s="6">
        <f t="shared" si="51"/>
        <v>45</v>
      </c>
      <c r="Y70" s="2"/>
      <c r="Z70" s="7">
        <f t="shared" si="52"/>
        <v>-1</v>
      </c>
    </row>
    <row r="71" spans="1:26" s="26" customFormat="1" outlineLevel="1" collapsed="1" x14ac:dyDescent="0.25">
      <c r="A71" s="27"/>
      <c r="B71" s="13" t="str">
        <f>CONCATENATE("     ","Training                                          ")</f>
        <v xml:space="preserve">     Training                                          </v>
      </c>
      <c r="C71" s="13"/>
      <c r="D71" s="1">
        <f>SUM(OSRRefD22_15x_0)</f>
        <v>0</v>
      </c>
      <c r="E71" s="1"/>
      <c r="F71" s="5">
        <f t="shared" si="45"/>
        <v>0</v>
      </c>
      <c r="G71" s="1"/>
      <c r="H71" s="1">
        <f>SUM(OSRRefH22_15x_0)</f>
        <v>0</v>
      </c>
      <c r="I71" s="1"/>
      <c r="J71" s="5">
        <f t="shared" si="46"/>
        <v>0</v>
      </c>
      <c r="K71" s="1"/>
      <c r="L71" s="1">
        <f t="shared" si="47"/>
        <v>0</v>
      </c>
      <c r="M71" s="1"/>
      <c r="N71" s="5">
        <f t="shared" si="48"/>
        <v>0</v>
      </c>
      <c r="O71" s="13"/>
      <c r="P71" s="1">
        <f>SUM(OSRRefP22_15x_0)</f>
        <v>0</v>
      </c>
      <c r="Q71" s="1"/>
      <c r="R71" s="5">
        <f t="shared" si="49"/>
        <v>0</v>
      </c>
      <c r="S71" s="1"/>
      <c r="T71" s="1">
        <f>SUM(OSRRefT22_15x_0)</f>
        <v>96</v>
      </c>
      <c r="U71" s="1"/>
      <c r="V71" s="5">
        <f t="shared" si="50"/>
        <v>2.0925392800683998E-4</v>
      </c>
      <c r="W71" s="1"/>
      <c r="X71" s="1">
        <f t="shared" si="51"/>
        <v>-96</v>
      </c>
      <c r="Y71" s="1"/>
      <c r="Z71" s="5">
        <f t="shared" si="52"/>
        <v>-1</v>
      </c>
    </row>
    <row r="72" spans="1:26" s="24" customFormat="1" hidden="1" outlineLevel="2" x14ac:dyDescent="0.25">
      <c r="A72" s="25"/>
      <c r="B72" s="11" t="str">
        <f>CONCATENATE("          ", "6376", " - ", "TRAINING")</f>
        <v xml:space="preserve">          6376 - TRAINING</v>
      </c>
      <c r="C72" s="11"/>
      <c r="D72" s="6"/>
      <c r="E72" s="2"/>
      <c r="F72" s="7">
        <f t="shared" si="45"/>
        <v>0</v>
      </c>
      <c r="G72" s="2"/>
      <c r="H72" s="6"/>
      <c r="I72" s="2"/>
      <c r="J72" s="7">
        <f t="shared" si="46"/>
        <v>0</v>
      </c>
      <c r="K72" s="2"/>
      <c r="L72" s="6">
        <f t="shared" si="47"/>
        <v>0</v>
      </c>
      <c r="M72" s="2"/>
      <c r="N72" s="7">
        <f t="shared" si="48"/>
        <v>0</v>
      </c>
      <c r="O72" s="11"/>
      <c r="P72" s="6"/>
      <c r="Q72" s="2"/>
      <c r="R72" s="7">
        <f t="shared" si="49"/>
        <v>0</v>
      </c>
      <c r="S72" s="2"/>
      <c r="T72" s="6">
        <v>96</v>
      </c>
      <c r="U72" s="2"/>
      <c r="V72" s="7">
        <f t="shared" si="50"/>
        <v>2.0925392800683998E-4</v>
      </c>
      <c r="W72" s="2"/>
      <c r="X72" s="6">
        <f t="shared" si="51"/>
        <v>-96</v>
      </c>
      <c r="Y72" s="2"/>
      <c r="Z72" s="7">
        <f t="shared" si="52"/>
        <v>-1</v>
      </c>
    </row>
    <row r="73" spans="1:26" s="61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9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8" t="s">
        <v>3</v>
      </c>
      <c r="C76" s="28"/>
      <c r="D76" s="20">
        <f>+D20-D22+D74</f>
        <v>-1825.26</v>
      </c>
      <c r="E76" s="14"/>
      <c r="F76" s="22">
        <f>IF(D$12=0,0,D76/D$12)</f>
        <v>0</v>
      </c>
      <c r="G76" s="14"/>
      <c r="H76" s="20">
        <f>+H20-H22+H74</f>
        <v>-6879.5200000000041</v>
      </c>
      <c r="I76" s="14"/>
      <c r="J76" s="22">
        <f>IF(H$12=0,0,H76/H$12)</f>
        <v>-0.13164630599185581</v>
      </c>
      <c r="K76" s="15"/>
      <c r="L76" s="20">
        <f>+D76-H76</f>
        <v>5054.2600000000039</v>
      </c>
      <c r="M76" s="15"/>
      <c r="N76" s="22">
        <f>IF(H76=0,0,L76/H76)</f>
        <v>-0.73468207084215187</v>
      </c>
      <c r="O76" s="29"/>
      <c r="P76" s="20">
        <f>+P20-P22+P74</f>
        <v>-13253.25</v>
      </c>
      <c r="Q76" s="14"/>
      <c r="R76" s="22">
        <f>IF(P$12=0,0,P76/P$12)</f>
        <v>-13.594331784472413</v>
      </c>
      <c r="S76" s="14"/>
      <c r="T76" s="20">
        <f>+T20-T22+T74</f>
        <v>68523.489999999962</v>
      </c>
      <c r="U76" s="14"/>
      <c r="V76" s="22">
        <f>IF(T$12=0,0,T76/T$12)</f>
        <v>0.14936259836705637</v>
      </c>
      <c r="W76" s="15"/>
      <c r="X76" s="20">
        <f>+P76-T76</f>
        <v>-81776.739999999962</v>
      </c>
      <c r="Y76" s="15"/>
      <c r="Z76" s="22">
        <f>IF(T76=0,0,X76/T76)</f>
        <v>-1.1934117774795185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1"/>
      <c r="B78" s="10" t="s">
        <v>13</v>
      </c>
      <c r="C78" s="10"/>
      <c r="D78" s="4">
        <v>-3.41</v>
      </c>
      <c r="E78" s="4"/>
      <c r="F78" s="12">
        <f>IF(D$12=0,0,D78/D$12)</f>
        <v>0</v>
      </c>
      <c r="G78" s="4"/>
      <c r="H78" s="4">
        <v>3936.73</v>
      </c>
      <c r="I78" s="4"/>
      <c r="J78" s="12">
        <f>IF(H$12=0,0,H78/H$12)</f>
        <v>7.5333157282385724E-2</v>
      </c>
      <c r="K78" s="4"/>
      <c r="L78" s="4">
        <f>+D78-H78</f>
        <v>-3940.14</v>
      </c>
      <c r="M78" s="4"/>
      <c r="N78" s="12">
        <f>IF(H78=0,0,L78/H78)</f>
        <v>-1.0008662011364762</v>
      </c>
      <c r="O78" s="10"/>
      <c r="P78" s="4">
        <v>176.97</v>
      </c>
      <c r="Q78" s="4"/>
      <c r="R78" s="12">
        <f>IF(P$12=0,0,P78/P$12)</f>
        <v>0.18152444841062251</v>
      </c>
      <c r="S78" s="4"/>
      <c r="T78" s="4">
        <v>47843.5</v>
      </c>
      <c r="U78" s="4"/>
      <c r="V78" s="12">
        <f>IF(T$12=0,0,T78/T$12)</f>
        <v>0.1042858365062005</v>
      </c>
      <c r="W78" s="4"/>
      <c r="X78" s="4">
        <f>+P78-T78</f>
        <v>-47666.53</v>
      </c>
      <c r="Y78" s="4"/>
      <c r="Z78" s="12">
        <f>IF(T78=0,0,X78/T78)</f>
        <v>-0.99630106493045034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4</v>
      </c>
      <c r="C80" s="28"/>
      <c r="D80" s="30">
        <f>+D76-D78</f>
        <v>-1821.85</v>
      </c>
      <c r="E80" s="14"/>
      <c r="F80" s="36">
        <f>IF(D$12=0,0,D80/D$12)</f>
        <v>0</v>
      </c>
      <c r="G80" s="14"/>
      <c r="H80" s="30">
        <f>+H76-H78</f>
        <v>-10816.250000000004</v>
      </c>
      <c r="I80" s="14"/>
      <c r="J80" s="36">
        <f>IF(H$12=0,0,H80/H$12)</f>
        <v>-0.20697946327424152</v>
      </c>
      <c r="K80" s="15"/>
      <c r="L80" s="30">
        <f>D80-H80</f>
        <v>8994.4000000000033</v>
      </c>
      <c r="M80" s="15"/>
      <c r="N80" s="36">
        <f>IF(H80=0,0,L80/H80)</f>
        <v>-0.831563619553912</v>
      </c>
      <c r="O80" s="29"/>
      <c r="P80" s="30">
        <f>+P76-P78</f>
        <v>-13430.22</v>
      </c>
      <c r="Q80" s="14"/>
      <c r="R80" s="36">
        <f>IF(P$12=0,0,P80/P$12)</f>
        <v>-13.775856232883035</v>
      </c>
      <c r="S80" s="14"/>
      <c r="T80" s="30">
        <f>+T76-T78</f>
        <v>20679.989999999962</v>
      </c>
      <c r="U80" s="14"/>
      <c r="V80" s="36">
        <f>IF(T$12=0,0,T80/T$12)</f>
        <v>4.5076761860855866E-2</v>
      </c>
      <c r="W80" s="15"/>
      <c r="X80" s="30">
        <f>P80-T80</f>
        <v>-34110.209999999963</v>
      </c>
      <c r="Y80" s="15"/>
      <c r="Z80" s="36">
        <f>IF(T80=0,0,X80/T80)</f>
        <v>-1.6494306815428841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5</v>
      </c>
      <c r="C83" s="28"/>
      <c r="D83" s="32">
        <f>SUM(D80:D82)</f>
        <v>-1821.85</v>
      </c>
      <c r="E83" s="14"/>
      <c r="F83" s="31">
        <f>IF(D$12=0,0,D83/D$12)</f>
        <v>0</v>
      </c>
      <c r="G83" s="14"/>
      <c r="H83" s="32">
        <f>SUM(H80:H82)</f>
        <v>-10816.250000000004</v>
      </c>
      <c r="I83" s="14"/>
      <c r="J83" s="31">
        <f>IF(H$12=0,0,H83/H$12)</f>
        <v>-0.20697946327424152</v>
      </c>
      <c r="K83" s="15"/>
      <c r="L83" s="32">
        <f>+D83-H83</f>
        <v>8994.4000000000033</v>
      </c>
      <c r="M83" s="15"/>
      <c r="N83" s="31">
        <f>IF(H83=0,0,L83/H83)</f>
        <v>-0.831563619553912</v>
      </c>
      <c r="O83" s="29"/>
      <c r="P83" s="32">
        <f>SUM(P80:P82)</f>
        <v>-13430.22</v>
      </c>
      <c r="Q83" s="14"/>
      <c r="R83" s="31">
        <f>IF(P$12=0,0,P83/P$12)</f>
        <v>-13.775856232883035</v>
      </c>
      <c r="S83" s="14"/>
      <c r="T83" s="32">
        <f>SUM(T80:T82)</f>
        <v>20679.989999999962</v>
      </c>
      <c r="U83" s="14"/>
      <c r="V83" s="31">
        <f>IF(T$12=0,0,T83/T$12)</f>
        <v>4.5076761860855866E-2</v>
      </c>
      <c r="W83" s="15"/>
      <c r="X83" s="32">
        <f>+P83-T83</f>
        <v>-34110.209999999963</v>
      </c>
      <c r="Y83" s="15"/>
      <c r="Z83" s="31">
        <f>IF(T83=0,0,X83/T83)</f>
        <v>-1.6494306815428841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62">
        <v>44238.496481134258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9" t="s">
        <v>313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6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","415", " - ", "Outpost")</f>
        <v>Department 415 - Outpost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49382.28</v>
      </c>
      <c r="I12" s="4"/>
      <c r="J12" s="12"/>
      <c r="K12" s="4"/>
      <c r="L12" s="4">
        <f t="shared" ref="L12:L14" si="0">+D12-H12</f>
        <v>-49382.28</v>
      </c>
      <c r="M12" s="4"/>
      <c r="N12" s="12">
        <f t="shared" ref="N12:N14" si="1">IF(H12=0,0,L12/H12)</f>
        <v>-1</v>
      </c>
      <c r="O12" s="10"/>
      <c r="P12" s="4">
        <f>SUM(OSRRefP13x_0)</f>
        <v>45135.7</v>
      </c>
      <c r="Q12" s="4"/>
      <c r="R12" s="12"/>
      <c r="S12" s="4"/>
      <c r="T12" s="4">
        <f>SUM(OSRRefT13x_0)</f>
        <v>501326.38</v>
      </c>
      <c r="U12" s="4"/>
      <c r="V12" s="12"/>
      <c r="W12" s="4"/>
      <c r="X12" s="4">
        <f t="shared" ref="X12:X14" si="2">+P12-T12</f>
        <v>-456190.68</v>
      </c>
      <c r="Y12" s="4"/>
      <c r="Z12" s="12">
        <f t="shared" ref="Z12:Z14" si="3">IF(T12=0,0,X12/T12)</f>
        <v>-0.9099674347876926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--18135.32</f>
        <v>18135.32</v>
      </c>
      <c r="I13" s="2"/>
      <c r="J13" s="19"/>
      <c r="K13" s="2"/>
      <c r="L13" s="2">
        <f t="shared" si="0"/>
        <v>-18135.32</v>
      </c>
      <c r="M13" s="2"/>
      <c r="N13" s="19">
        <f t="shared" si="1"/>
        <v>-1</v>
      </c>
      <c r="O13" s="11"/>
      <c r="P13" s="2">
        <f>--22964.48</f>
        <v>22964.48</v>
      </c>
      <c r="Q13" s="2"/>
      <c r="R13" s="19"/>
      <c r="S13" s="2"/>
      <c r="T13" s="2">
        <f>--154732.56</f>
        <v>154732.56</v>
      </c>
      <c r="U13" s="2"/>
      <c r="V13" s="19"/>
      <c r="W13" s="2"/>
      <c r="X13" s="2">
        <f t="shared" si="2"/>
        <v>-131768.07999999999</v>
      </c>
      <c r="Y13" s="2"/>
      <c r="Z13" s="19">
        <f t="shared" si="3"/>
        <v>-0.85158598810748032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--31246.96</f>
        <v>31246.959999999999</v>
      </c>
      <c r="I14" s="2"/>
      <c r="J14" s="19"/>
      <c r="K14" s="2"/>
      <c r="L14" s="2">
        <f t="shared" si="0"/>
        <v>-31246.959999999999</v>
      </c>
      <c r="M14" s="2"/>
      <c r="N14" s="19">
        <f t="shared" si="1"/>
        <v>-1</v>
      </c>
      <c r="O14" s="11"/>
      <c r="P14" s="2">
        <f>--22171.22</f>
        <v>22171.22</v>
      </c>
      <c r="Q14" s="2"/>
      <c r="R14" s="19"/>
      <c r="S14" s="2"/>
      <c r="T14" s="2">
        <f>--346593.82</f>
        <v>346593.82</v>
      </c>
      <c r="U14" s="2"/>
      <c r="V14" s="19"/>
      <c r="W14" s="2"/>
      <c r="X14" s="2">
        <f t="shared" si="2"/>
        <v>-324422.59999999998</v>
      </c>
      <c r="Y14" s="2"/>
      <c r="Z14" s="19">
        <f t="shared" si="3"/>
        <v>-0.93603111561539087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1319.87</v>
      </c>
      <c r="E16" s="4"/>
      <c r="F16" s="12">
        <f t="shared" ref="F16:F18" si="5">IF(D$12=0,0,D16/D$12)</f>
        <v>0</v>
      </c>
      <c r="G16" s="4"/>
      <c r="H16" s="4">
        <f>SUM(OSRRefH16x_0)</f>
        <v>15559.02</v>
      </c>
      <c r="I16" s="4"/>
      <c r="J16" s="12">
        <f t="shared" ref="J16:J18" si="6">IF(H$12=0,0,H16/H$12)</f>
        <v>0.31507293709403456</v>
      </c>
      <c r="K16" s="4"/>
      <c r="L16" s="4">
        <f t="shared" ref="L16:L18" si="7">+D16-H16</f>
        <v>-14239.150000000001</v>
      </c>
      <c r="M16" s="4"/>
      <c r="N16" s="12">
        <f t="shared" ref="N16:N18" si="8">IF(H16=0,0,L16/H16)</f>
        <v>-0.91517010711471547</v>
      </c>
      <c r="O16" s="10"/>
      <c r="P16" s="4">
        <f>SUM(OSRRefP16x_0)</f>
        <v>20173.350000000002</v>
      </c>
      <c r="Q16" s="4"/>
      <c r="R16" s="12">
        <f t="shared" ref="R16:R18" si="9">IF(P$12=0,0,P16/P$12)</f>
        <v>0.44694886752614899</v>
      </c>
      <c r="S16" s="4"/>
      <c r="T16" s="4">
        <f>SUM(OSRRefT16x_0)</f>
        <v>161188.59</v>
      </c>
      <c r="U16" s="4"/>
      <c r="V16" s="12">
        <f t="shared" ref="V16:V18" si="10">IF(T$12=0,0,T16/T$12)</f>
        <v>0.32152425332175816</v>
      </c>
      <c r="W16" s="4"/>
      <c r="X16" s="4">
        <f t="shared" ref="X16:X18" si="11">+P16-T16</f>
        <v>-141015.24</v>
      </c>
      <c r="Y16" s="4"/>
      <c r="Z16" s="12">
        <f t="shared" ref="Z16:Z18" si="12">IF(T16=0,0,X16/T16)</f>
        <v>-0.87484629029883565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1534.85</v>
      </c>
      <c r="E17" s="2"/>
      <c r="F17" s="19">
        <f t="shared" si="5"/>
        <v>0</v>
      </c>
      <c r="G17" s="2"/>
      <c r="H17" s="2">
        <v>18540.02</v>
      </c>
      <c r="I17" s="2"/>
      <c r="J17" s="19">
        <f t="shared" si="6"/>
        <v>0.37543872012389873</v>
      </c>
      <c r="K17" s="2"/>
      <c r="L17" s="2">
        <f t="shared" si="7"/>
        <v>-17005.170000000002</v>
      </c>
      <c r="M17" s="2"/>
      <c r="N17" s="19">
        <f t="shared" si="8"/>
        <v>-0.91721422091238314</v>
      </c>
      <c r="O17" s="11"/>
      <c r="P17" s="2">
        <v>14844.270000000002</v>
      </c>
      <c r="Q17" s="2"/>
      <c r="R17" s="19">
        <f t="shared" si="9"/>
        <v>0.32888090801737879</v>
      </c>
      <c r="S17" s="2"/>
      <c r="T17" s="2">
        <v>162876.59</v>
      </c>
      <c r="U17" s="2"/>
      <c r="V17" s="19">
        <f t="shared" si="10"/>
        <v>0.32489132129851217</v>
      </c>
      <c r="W17" s="2"/>
      <c r="X17" s="2">
        <f t="shared" si="11"/>
        <v>-148032.32000000001</v>
      </c>
      <c r="Y17" s="2"/>
      <c r="Z17" s="19">
        <f t="shared" si="12"/>
        <v>-0.90886185669776121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-214.98</v>
      </c>
      <c r="E18" s="2"/>
      <c r="F18" s="19">
        <f t="shared" si="5"/>
        <v>0</v>
      </c>
      <c r="G18" s="2"/>
      <c r="H18" s="2">
        <v>-2981</v>
      </c>
      <c r="I18" s="2"/>
      <c r="J18" s="19">
        <f t="shared" si="6"/>
        <v>-6.0365783029864152E-2</v>
      </c>
      <c r="K18" s="2"/>
      <c r="L18" s="2">
        <f t="shared" si="7"/>
        <v>2766.02</v>
      </c>
      <c r="M18" s="2"/>
      <c r="N18" s="19">
        <f t="shared" si="8"/>
        <v>-0.9278832606507883</v>
      </c>
      <c r="O18" s="11"/>
      <c r="P18" s="2">
        <v>5329.08</v>
      </c>
      <c r="Q18" s="2"/>
      <c r="R18" s="19">
        <f t="shared" si="9"/>
        <v>0.11806795950877022</v>
      </c>
      <c r="S18" s="2"/>
      <c r="T18" s="2">
        <v>-1688</v>
      </c>
      <c r="U18" s="2"/>
      <c r="V18" s="19">
        <f t="shared" si="10"/>
        <v>-3.3670679767539859E-3</v>
      </c>
      <c r="W18" s="2"/>
      <c r="X18" s="2">
        <f t="shared" si="11"/>
        <v>7017.08</v>
      </c>
      <c r="Y18" s="2"/>
      <c r="Z18" s="19">
        <f t="shared" si="12"/>
        <v>-4.1570379146919434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-1319.87</v>
      </c>
      <c r="E20" s="14"/>
      <c r="F20" s="22">
        <f>IF(D$12=0,0,D20/D$12)</f>
        <v>0</v>
      </c>
      <c r="G20" s="14"/>
      <c r="H20" s="20">
        <f>H12-H16</f>
        <v>33823.259999999995</v>
      </c>
      <c r="I20" s="14"/>
      <c r="J20" s="22">
        <f>IF(H$12=0,0,H20/H$12)</f>
        <v>0.68492706290596539</v>
      </c>
      <c r="K20" s="15"/>
      <c r="L20" s="20">
        <f>+D20-H20</f>
        <v>-35143.129999999997</v>
      </c>
      <c r="M20" s="15"/>
      <c r="N20" s="22">
        <f>IF(H20=0,0,L20/H20)</f>
        <v>-1.0390225543013891</v>
      </c>
      <c r="O20" s="29"/>
      <c r="P20" s="20">
        <f>P12-P16</f>
        <v>24962.349999999995</v>
      </c>
      <c r="Q20" s="14"/>
      <c r="R20" s="22">
        <f>IF(P$12=0,0,P20/P$12)</f>
        <v>0.55305113247385096</v>
      </c>
      <c r="S20" s="14"/>
      <c r="T20" s="20">
        <f>T12-T16</f>
        <v>340137.79000000004</v>
      </c>
      <c r="U20" s="14"/>
      <c r="V20" s="22">
        <f>IF(T$12=0,0,T20/T$12)</f>
        <v>0.67847574667824184</v>
      </c>
      <c r="W20" s="15"/>
      <c r="X20" s="20">
        <f>+P20-T20</f>
        <v>-315175.44000000006</v>
      </c>
      <c r="Y20" s="15"/>
      <c r="Z20" s="22">
        <f>IF(T20=0,0,X20/T20)</f>
        <v>-0.92661106547437744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57994.26</v>
      </c>
      <c r="E22" s="21"/>
      <c r="F22" s="35">
        <f t="shared" ref="F22:F31" si="13">IF(D$12=0,0,D22/D$12)</f>
        <v>0</v>
      </c>
      <c r="G22" s="21"/>
      <c r="H22" s="21">
        <f>SUM(OSRRefH22x_0)</f>
        <v>66794.209999999992</v>
      </c>
      <c r="I22" s="21"/>
      <c r="J22" s="35">
        <f t="shared" ref="J22:J31" si="14">IF(H$12=0,0,H22/H$12)</f>
        <v>1.3525946959111648</v>
      </c>
      <c r="K22" s="4"/>
      <c r="L22" s="21">
        <f t="shared" ref="L22:L31" si="15">+D22-H22</f>
        <v>-8799.9499999999898</v>
      </c>
      <c r="M22" s="4"/>
      <c r="N22" s="35">
        <f t="shared" ref="N22:N31" si="16">IF(H22=0,0,L22/H22)</f>
        <v>-0.13174719784843614</v>
      </c>
      <c r="O22" s="10"/>
      <c r="P22" s="21">
        <f>SUM(OSRRefP22x_0)</f>
        <v>441368.82</v>
      </c>
      <c r="Q22" s="21"/>
      <c r="R22" s="35">
        <f t="shared" ref="R22:R31" si="17">IF(P$12=0,0,P22/P$12)</f>
        <v>9.7787077634776907</v>
      </c>
      <c r="S22" s="21"/>
      <c r="T22" s="21">
        <f>SUM(OSRRefT22x_0)</f>
        <v>491971.46</v>
      </c>
      <c r="U22" s="21"/>
      <c r="V22" s="35">
        <f t="shared" ref="V22:V31" si="18">IF(T$12=0,0,T22/T$12)</f>
        <v>0.98133966139982498</v>
      </c>
      <c r="W22" s="4"/>
      <c r="X22" s="21">
        <f t="shared" ref="X22:X31" si="19">+P22-T22</f>
        <v>-50602.640000000014</v>
      </c>
      <c r="Y22" s="4"/>
      <c r="Z22" s="35">
        <f t="shared" ref="Z22:Z31" si="20">IF(T22=0,0,X22/T22)</f>
        <v>-0.10285686084310665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12650.69</v>
      </c>
      <c r="E23" s="1"/>
      <c r="F23" s="5">
        <f t="shared" si="13"/>
        <v>0</v>
      </c>
      <c r="G23" s="1"/>
      <c r="H23" s="1">
        <f>SUM(OSRRefH22_0x_0)</f>
        <v>7297.88</v>
      </c>
      <c r="I23" s="1"/>
      <c r="J23" s="5">
        <f t="shared" si="14"/>
        <v>0.14778337492720062</v>
      </c>
      <c r="K23" s="1"/>
      <c r="L23" s="1">
        <f t="shared" si="15"/>
        <v>5352.81</v>
      </c>
      <c r="M23" s="1"/>
      <c r="N23" s="5">
        <f t="shared" si="16"/>
        <v>0.73347465291290082</v>
      </c>
      <c r="O23" s="13"/>
      <c r="P23" s="1">
        <f>SUM(OSRRefP22_0x_0)</f>
        <v>94769.27</v>
      </c>
      <c r="Q23" s="1"/>
      <c r="R23" s="5">
        <f t="shared" si="17"/>
        <v>2.0996521600418299</v>
      </c>
      <c r="S23" s="1"/>
      <c r="T23" s="1">
        <f>SUM(OSRRefT22_0x_0)</f>
        <v>56679.090000000011</v>
      </c>
      <c r="U23" s="1"/>
      <c r="V23" s="5">
        <f t="shared" si="18"/>
        <v>0.11305826356075659</v>
      </c>
      <c r="W23" s="1"/>
      <c r="X23" s="1">
        <f t="shared" si="19"/>
        <v>38090.179999999993</v>
      </c>
      <c r="Y23" s="1"/>
      <c r="Z23" s="5">
        <f t="shared" si="20"/>
        <v>0.67203231385683826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1178.27</v>
      </c>
      <c r="E24" s="2"/>
      <c r="F24" s="7">
        <f t="shared" si="13"/>
        <v>0</v>
      </c>
      <c r="G24" s="2"/>
      <c r="H24" s="6">
        <v>989.87</v>
      </c>
      <c r="I24" s="2"/>
      <c r="J24" s="7">
        <f t="shared" si="14"/>
        <v>2.0045044497742914E-2</v>
      </c>
      <c r="K24" s="2"/>
      <c r="L24" s="6">
        <f t="shared" si="15"/>
        <v>188.39999999999998</v>
      </c>
      <c r="M24" s="2"/>
      <c r="N24" s="7">
        <f t="shared" si="16"/>
        <v>0.19032802287169021</v>
      </c>
      <c r="O24" s="11"/>
      <c r="P24" s="6">
        <v>10877.71</v>
      </c>
      <c r="Q24" s="2"/>
      <c r="R24" s="7">
        <f t="shared" si="17"/>
        <v>0.2410001395790915</v>
      </c>
      <c r="S24" s="2"/>
      <c r="T24" s="6">
        <v>9642.06</v>
      </c>
      <c r="U24" s="2"/>
      <c r="V24" s="7">
        <f t="shared" si="18"/>
        <v>1.9233099203756241E-2</v>
      </c>
      <c r="W24" s="2"/>
      <c r="X24" s="6">
        <f t="shared" si="19"/>
        <v>1235.6499999999996</v>
      </c>
      <c r="Y24" s="2"/>
      <c r="Z24" s="7">
        <f t="shared" si="20"/>
        <v>0.12815207538638007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>
        <v>227.35</v>
      </c>
      <c r="E25" s="2"/>
      <c r="F25" s="7">
        <f t="shared" si="13"/>
        <v>0</v>
      </c>
      <c r="G25" s="2"/>
      <c r="H25" s="6">
        <v>602.30999999999995</v>
      </c>
      <c r="I25" s="2"/>
      <c r="J25" s="7">
        <f t="shared" si="14"/>
        <v>1.2196885198496302E-2</v>
      </c>
      <c r="K25" s="2"/>
      <c r="L25" s="6">
        <f t="shared" si="15"/>
        <v>-374.95999999999992</v>
      </c>
      <c r="M25" s="2"/>
      <c r="N25" s="7">
        <f t="shared" si="16"/>
        <v>-0.62253656754827236</v>
      </c>
      <c r="O25" s="11"/>
      <c r="P25" s="6">
        <v>4758.9799999999996</v>
      </c>
      <c r="Q25" s="2"/>
      <c r="R25" s="7">
        <f t="shared" si="17"/>
        <v>0.10543715949902184</v>
      </c>
      <c r="S25" s="2"/>
      <c r="T25" s="6">
        <v>4923.0600000000004</v>
      </c>
      <c r="U25" s="2"/>
      <c r="V25" s="7">
        <f t="shared" si="18"/>
        <v>9.8200697118711374E-3</v>
      </c>
      <c r="W25" s="2"/>
      <c r="X25" s="6">
        <f t="shared" si="19"/>
        <v>-164.08000000000084</v>
      </c>
      <c r="Y25" s="2"/>
      <c r="Z25" s="7">
        <f t="shared" si="20"/>
        <v>-3.332886456797212E-2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>
        <v>6634.06</v>
      </c>
      <c r="E26" s="2"/>
      <c r="F26" s="7">
        <f t="shared" si="13"/>
        <v>0</v>
      </c>
      <c r="G26" s="2"/>
      <c r="H26" s="6">
        <v>3286.96</v>
      </c>
      <c r="I26" s="2"/>
      <c r="J26" s="7">
        <f t="shared" si="14"/>
        <v>6.6561527738289925E-2</v>
      </c>
      <c r="K26" s="2"/>
      <c r="L26" s="6">
        <f t="shared" si="15"/>
        <v>3347.1000000000004</v>
      </c>
      <c r="M26" s="2"/>
      <c r="N26" s="7">
        <f t="shared" si="16"/>
        <v>1.0182965414851415</v>
      </c>
      <c r="O26" s="11"/>
      <c r="P26" s="6">
        <v>47565.45</v>
      </c>
      <c r="Q26" s="2"/>
      <c r="R26" s="7">
        <f t="shared" si="17"/>
        <v>1.0538321107238837</v>
      </c>
      <c r="S26" s="2"/>
      <c r="T26" s="6">
        <v>21827.46</v>
      </c>
      <c r="U26" s="2"/>
      <c r="V26" s="7">
        <f t="shared" si="18"/>
        <v>4.3539420367226633E-2</v>
      </c>
      <c r="W26" s="2"/>
      <c r="X26" s="6">
        <f t="shared" si="19"/>
        <v>25737.989999999998</v>
      </c>
      <c r="Y26" s="2"/>
      <c r="Z26" s="7">
        <f t="shared" si="20"/>
        <v>1.1791564387244324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107.19</v>
      </c>
      <c r="E27" s="2"/>
      <c r="F27" s="7">
        <f t="shared" si="13"/>
        <v>0</v>
      </c>
      <c r="G27" s="2"/>
      <c r="H27" s="6">
        <v>40.36</v>
      </c>
      <c r="I27" s="2"/>
      <c r="J27" s="7">
        <f t="shared" si="14"/>
        <v>8.1729721673442373E-4</v>
      </c>
      <c r="K27" s="2"/>
      <c r="L27" s="6">
        <f t="shared" si="15"/>
        <v>66.83</v>
      </c>
      <c r="M27" s="2"/>
      <c r="N27" s="7">
        <f t="shared" si="16"/>
        <v>1.6558473736372645</v>
      </c>
      <c r="O27" s="11"/>
      <c r="P27" s="6">
        <v>420.19</v>
      </c>
      <c r="Q27" s="2"/>
      <c r="R27" s="7">
        <f t="shared" si="17"/>
        <v>9.3094822945030218E-3</v>
      </c>
      <c r="S27" s="2"/>
      <c r="T27" s="6">
        <v>428.49</v>
      </c>
      <c r="U27" s="2"/>
      <c r="V27" s="7">
        <f t="shared" si="18"/>
        <v>8.5471265246404946E-4</v>
      </c>
      <c r="W27" s="2"/>
      <c r="X27" s="6">
        <f t="shared" si="19"/>
        <v>-8.3000000000000114</v>
      </c>
      <c r="Y27" s="2"/>
      <c r="Z27" s="7">
        <f t="shared" si="20"/>
        <v>-1.9370347032602889E-2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>
        <v>2127.25</v>
      </c>
      <c r="E28" s="2"/>
      <c r="F28" s="7">
        <f t="shared" si="13"/>
        <v>0</v>
      </c>
      <c r="G28" s="2"/>
      <c r="H28" s="6">
        <v>943.48</v>
      </c>
      <c r="I28" s="2"/>
      <c r="J28" s="7">
        <f t="shared" si="14"/>
        <v>1.9105638702789748E-2</v>
      </c>
      <c r="K28" s="2"/>
      <c r="L28" s="6">
        <f t="shared" si="15"/>
        <v>1183.77</v>
      </c>
      <c r="M28" s="2"/>
      <c r="N28" s="7">
        <f t="shared" si="16"/>
        <v>1.2546847839911814</v>
      </c>
      <c r="O28" s="11"/>
      <c r="P28" s="6">
        <v>11383.39</v>
      </c>
      <c r="Q28" s="2"/>
      <c r="R28" s="7">
        <f t="shared" si="17"/>
        <v>0.25220368798977305</v>
      </c>
      <c r="S28" s="2"/>
      <c r="T28" s="6">
        <v>4634.1899999999996</v>
      </c>
      <c r="U28" s="2"/>
      <c r="V28" s="7">
        <f t="shared" si="18"/>
        <v>9.2438582625554225E-3</v>
      </c>
      <c r="W28" s="2"/>
      <c r="X28" s="6">
        <f t="shared" si="19"/>
        <v>6749.2</v>
      </c>
      <c r="Y28" s="2"/>
      <c r="Z28" s="7">
        <f t="shared" si="20"/>
        <v>1.4563925950381837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>
        <v>1401.26</v>
      </c>
      <c r="E29" s="2"/>
      <c r="F29" s="7">
        <f t="shared" si="13"/>
        <v>0</v>
      </c>
      <c r="G29" s="2"/>
      <c r="H29" s="6">
        <v>700.02</v>
      </c>
      <c r="I29" s="2"/>
      <c r="J29" s="7">
        <f t="shared" si="14"/>
        <v>1.4175530169931401E-2</v>
      </c>
      <c r="K29" s="2"/>
      <c r="L29" s="6">
        <f t="shared" si="15"/>
        <v>701.24</v>
      </c>
      <c r="M29" s="2"/>
      <c r="N29" s="7">
        <f t="shared" si="16"/>
        <v>1.0017428073483614</v>
      </c>
      <c r="O29" s="11"/>
      <c r="P29" s="6">
        <v>10217.48</v>
      </c>
      <c r="Q29" s="2"/>
      <c r="R29" s="7">
        <f t="shared" si="17"/>
        <v>0.2263724723445078</v>
      </c>
      <c r="S29" s="2"/>
      <c r="T29" s="6">
        <v>6517.59</v>
      </c>
      <c r="U29" s="2"/>
      <c r="V29" s="7">
        <f t="shared" si="18"/>
        <v>1.3000692283537922E-2</v>
      </c>
      <c r="W29" s="2"/>
      <c r="X29" s="6">
        <f t="shared" si="19"/>
        <v>3699.8899999999994</v>
      </c>
      <c r="Y29" s="2"/>
      <c r="Z29" s="7">
        <f t="shared" si="20"/>
        <v>0.56767762317052761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>
        <v>872.28</v>
      </c>
      <c r="E30" s="2"/>
      <c r="F30" s="7">
        <f t="shared" si="13"/>
        <v>0</v>
      </c>
      <c r="G30" s="2"/>
      <c r="H30" s="6">
        <v>385.52</v>
      </c>
      <c r="I30" s="2"/>
      <c r="J30" s="7">
        <f t="shared" si="14"/>
        <v>7.806848934476091E-3</v>
      </c>
      <c r="K30" s="2"/>
      <c r="L30" s="6">
        <f t="shared" si="15"/>
        <v>486.76</v>
      </c>
      <c r="M30" s="2"/>
      <c r="N30" s="7">
        <f t="shared" si="16"/>
        <v>1.2626063498651172</v>
      </c>
      <c r="O30" s="11"/>
      <c r="P30" s="6">
        <v>6456.88</v>
      </c>
      <c r="Q30" s="2"/>
      <c r="R30" s="7">
        <f t="shared" si="17"/>
        <v>0.14305483242754627</v>
      </c>
      <c r="S30" s="2"/>
      <c r="T30" s="6">
        <v>6382.3</v>
      </c>
      <c r="U30" s="2"/>
      <c r="V30" s="7">
        <f t="shared" si="18"/>
        <v>1.2730828168268345E-2</v>
      </c>
      <c r="W30" s="2"/>
      <c r="X30" s="6">
        <f t="shared" si="19"/>
        <v>74.579999999999927</v>
      </c>
      <c r="Y30" s="2"/>
      <c r="Z30" s="7">
        <f t="shared" si="20"/>
        <v>1.1685442552058023E-2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>
        <v>103.03</v>
      </c>
      <c r="E31" s="2"/>
      <c r="F31" s="7">
        <f t="shared" si="13"/>
        <v>0</v>
      </c>
      <c r="G31" s="2"/>
      <c r="H31" s="6">
        <v>349.36</v>
      </c>
      <c r="I31" s="2"/>
      <c r="J31" s="7">
        <f t="shared" si="14"/>
        <v>7.0746024687397997E-3</v>
      </c>
      <c r="K31" s="2"/>
      <c r="L31" s="6">
        <f t="shared" si="15"/>
        <v>-246.33</v>
      </c>
      <c r="M31" s="2"/>
      <c r="N31" s="7">
        <f t="shared" si="16"/>
        <v>-0.70508930615983512</v>
      </c>
      <c r="O31" s="11"/>
      <c r="P31" s="6">
        <v>3089.19</v>
      </c>
      <c r="Q31" s="2"/>
      <c r="R31" s="7">
        <f t="shared" si="17"/>
        <v>6.8442275183502196E-2</v>
      </c>
      <c r="S31" s="2"/>
      <c r="T31" s="6">
        <v>2323.94</v>
      </c>
      <c r="U31" s="2"/>
      <c r="V31" s="7">
        <f t="shared" si="18"/>
        <v>4.6355829110768122E-3</v>
      </c>
      <c r="W31" s="2"/>
      <c r="X31" s="6">
        <f t="shared" si="19"/>
        <v>765.25</v>
      </c>
      <c r="Y31" s="2"/>
      <c r="Z31" s="7">
        <f t="shared" si="20"/>
        <v>0.32928991282046866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15294.730000000001</v>
      </c>
      <c r="E32" s="1"/>
      <c r="F32" s="5">
        <f t="shared" ref="F32:F37" si="21">IF(D$12=0,0,D32/D$12)</f>
        <v>0</v>
      </c>
      <c r="G32" s="1"/>
      <c r="H32" s="1">
        <f>SUM(OSRRefH22_1x_0)</f>
        <v>20864.73</v>
      </c>
      <c r="I32" s="1"/>
      <c r="J32" s="5">
        <f t="shared" ref="J32:J37" si="22">IF(H$12=0,0,H32/H$12)</f>
        <v>0.42251451330315248</v>
      </c>
      <c r="K32" s="1"/>
      <c r="L32" s="1">
        <f t="shared" ref="L32:L37" si="23">+D32-H32</f>
        <v>-5569.9999999999982</v>
      </c>
      <c r="M32" s="1"/>
      <c r="N32" s="5">
        <f t="shared" ref="N32:N37" si="24">IF(H32=0,0,L32/H32)</f>
        <v>-0.26695768409176629</v>
      </c>
      <c r="O32" s="13"/>
      <c r="P32" s="1">
        <f>SUM(OSRRefP22_1x_0)</f>
        <v>123371.81000000001</v>
      </c>
      <c r="Q32" s="1"/>
      <c r="R32" s="5">
        <f t="shared" ref="R32:R37" si="25">IF(P$12=0,0,P32/P$12)</f>
        <v>2.7333531993521762</v>
      </c>
      <c r="S32" s="1"/>
      <c r="T32" s="1">
        <f>SUM(OSRRefT22_1x_0)</f>
        <v>163419.88</v>
      </c>
      <c r="U32" s="1"/>
      <c r="V32" s="5">
        <f t="shared" ref="V32:V37" si="26">IF(T$12=0,0,T32/T$12)</f>
        <v>0.32597502648873178</v>
      </c>
      <c r="W32" s="1"/>
      <c r="X32" s="1">
        <f t="shared" ref="X32:X37" si="27">+P32-T32</f>
        <v>-40048.069999999992</v>
      </c>
      <c r="Y32" s="1"/>
      <c r="Z32" s="5">
        <f t="shared" ref="Z32:Z37" si="28">IF(T32=0,0,X32/T32)</f>
        <v>-0.24506241223528002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14173.28</v>
      </c>
      <c r="E33" s="2"/>
      <c r="F33" s="7">
        <f t="shared" si="21"/>
        <v>0</v>
      </c>
      <c r="G33" s="2"/>
      <c r="H33" s="6">
        <v>5082.95</v>
      </c>
      <c r="I33" s="2"/>
      <c r="J33" s="7">
        <f t="shared" si="22"/>
        <v>0.10293064637760752</v>
      </c>
      <c r="K33" s="2"/>
      <c r="L33" s="6">
        <f t="shared" si="23"/>
        <v>9090.3300000000017</v>
      </c>
      <c r="M33" s="2"/>
      <c r="N33" s="7">
        <f t="shared" si="24"/>
        <v>1.7883965020313011</v>
      </c>
      <c r="O33" s="11"/>
      <c r="P33" s="6">
        <v>99224.31</v>
      </c>
      <c r="Q33" s="2"/>
      <c r="R33" s="7">
        <f t="shared" si="25"/>
        <v>2.1983554038156052</v>
      </c>
      <c r="S33" s="2"/>
      <c r="T33" s="6">
        <v>36298.04</v>
      </c>
      <c r="U33" s="2"/>
      <c r="V33" s="7">
        <f t="shared" si="26"/>
        <v>7.2404009539653591E-2</v>
      </c>
      <c r="W33" s="2"/>
      <c r="X33" s="6">
        <f t="shared" si="27"/>
        <v>62926.27</v>
      </c>
      <c r="Y33" s="2"/>
      <c r="Z33" s="7">
        <f t="shared" si="28"/>
        <v>1.7335996654364807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>
        <v>960.45</v>
      </c>
      <c r="E34" s="2"/>
      <c r="F34" s="7">
        <f t="shared" si="21"/>
        <v>0</v>
      </c>
      <c r="G34" s="2"/>
      <c r="H34" s="6">
        <v>3235.21</v>
      </c>
      <c r="I34" s="2"/>
      <c r="J34" s="7">
        <f t="shared" si="22"/>
        <v>6.5513580984920106E-2</v>
      </c>
      <c r="K34" s="2"/>
      <c r="L34" s="6">
        <f t="shared" si="23"/>
        <v>-2274.7600000000002</v>
      </c>
      <c r="M34" s="2"/>
      <c r="N34" s="7">
        <f t="shared" si="24"/>
        <v>-0.70312591763749499</v>
      </c>
      <c r="O34" s="11"/>
      <c r="P34" s="6">
        <v>21485.08</v>
      </c>
      <c r="Q34" s="2"/>
      <c r="R34" s="7">
        <f t="shared" si="25"/>
        <v>0.47601078525424451</v>
      </c>
      <c r="S34" s="2"/>
      <c r="T34" s="6">
        <v>22940.66</v>
      </c>
      <c r="U34" s="2"/>
      <c r="V34" s="7">
        <f t="shared" si="26"/>
        <v>4.5759929888389277E-2</v>
      </c>
      <c r="W34" s="2"/>
      <c r="X34" s="6">
        <f t="shared" si="27"/>
        <v>-1455.5799999999981</v>
      </c>
      <c r="Y34" s="2"/>
      <c r="Z34" s="7">
        <f t="shared" si="28"/>
        <v>-6.3449787408034392E-2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1"/>
        <v>0</v>
      </c>
      <c r="G35" s="2"/>
      <c r="H35" s="6">
        <v>4252.01</v>
      </c>
      <c r="I35" s="2"/>
      <c r="J35" s="7">
        <f t="shared" si="22"/>
        <v>8.6103962797991512E-2</v>
      </c>
      <c r="K35" s="2"/>
      <c r="L35" s="6">
        <f t="shared" si="23"/>
        <v>-4252.01</v>
      </c>
      <c r="M35" s="2"/>
      <c r="N35" s="7">
        <f t="shared" si="24"/>
        <v>-1</v>
      </c>
      <c r="O35" s="11"/>
      <c r="P35" s="6">
        <v>2431.71</v>
      </c>
      <c r="Q35" s="2"/>
      <c r="R35" s="7">
        <f t="shared" si="25"/>
        <v>5.3875535330126713E-2</v>
      </c>
      <c r="S35" s="2"/>
      <c r="T35" s="6">
        <v>49868.44</v>
      </c>
      <c r="U35" s="2"/>
      <c r="V35" s="7">
        <f t="shared" si="26"/>
        <v>9.9473001999216562E-2</v>
      </c>
      <c r="W35" s="2"/>
      <c r="X35" s="6">
        <f t="shared" si="27"/>
        <v>-47436.73</v>
      </c>
      <c r="Y35" s="2"/>
      <c r="Z35" s="7">
        <f t="shared" si="28"/>
        <v>-0.95123749609973762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200.5</v>
      </c>
      <c r="U36" s="2"/>
      <c r="V36" s="7">
        <f t="shared" si="26"/>
        <v>3.9993905766538758E-4</v>
      </c>
      <c r="W36" s="2"/>
      <c r="X36" s="6">
        <f t="shared" si="27"/>
        <v>-200.5</v>
      </c>
      <c r="Y36" s="2"/>
      <c r="Z36" s="7">
        <f t="shared" si="28"/>
        <v>-1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161</v>
      </c>
      <c r="E37" s="2"/>
      <c r="F37" s="7">
        <f t="shared" si="21"/>
        <v>0</v>
      </c>
      <c r="G37" s="2"/>
      <c r="H37" s="6">
        <v>8294.56</v>
      </c>
      <c r="I37" s="2"/>
      <c r="J37" s="7">
        <f t="shared" si="22"/>
        <v>0.16796632314263335</v>
      </c>
      <c r="K37" s="2"/>
      <c r="L37" s="6">
        <f t="shared" si="23"/>
        <v>-8133.5599999999995</v>
      </c>
      <c r="M37" s="2"/>
      <c r="N37" s="7">
        <f t="shared" si="24"/>
        <v>-0.98058968769892552</v>
      </c>
      <c r="O37" s="11"/>
      <c r="P37" s="6">
        <v>230.71</v>
      </c>
      <c r="Q37" s="2"/>
      <c r="R37" s="7">
        <f t="shared" si="25"/>
        <v>5.1114749521997006E-3</v>
      </c>
      <c r="S37" s="2"/>
      <c r="T37" s="6">
        <v>54112.24</v>
      </c>
      <c r="U37" s="2"/>
      <c r="V37" s="7">
        <f t="shared" si="26"/>
        <v>0.10793814600380694</v>
      </c>
      <c r="W37" s="2"/>
      <c r="X37" s="6">
        <f t="shared" si="27"/>
        <v>-53881.53</v>
      </c>
      <c r="Y37" s="2"/>
      <c r="Z37" s="7">
        <f t="shared" si="28"/>
        <v>-0.99573645445097081</v>
      </c>
    </row>
    <row r="38" spans="1:26" s="26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5.4</v>
      </c>
      <c r="E38" s="1"/>
      <c r="F38" s="5">
        <f t="shared" ref="F38:F46" si="29">IF(D$12=0,0,D38/D$12)</f>
        <v>0</v>
      </c>
      <c r="G38" s="1"/>
      <c r="H38" s="1">
        <f>SUM(OSRRefH22_2x_0)</f>
        <v>488.61</v>
      </c>
      <c r="I38" s="1"/>
      <c r="J38" s="5">
        <f t="shared" ref="J38:J46" si="30">IF(H$12=0,0,H38/H$12)</f>
        <v>9.8944398679040348E-3</v>
      </c>
      <c r="K38" s="1"/>
      <c r="L38" s="1">
        <f t="shared" ref="L38:L46" si="31">+D38-H38</f>
        <v>-483.21000000000004</v>
      </c>
      <c r="M38" s="1"/>
      <c r="N38" s="5">
        <f t="shared" ref="N38:N46" si="32">IF(H38=0,0,L38/H38)</f>
        <v>-0.98894824092834777</v>
      </c>
      <c r="O38" s="13"/>
      <c r="P38" s="1">
        <f>SUM(OSRRefP22_2x_0)</f>
        <v>139.35</v>
      </c>
      <c r="Q38" s="1"/>
      <c r="R38" s="5">
        <f t="shared" ref="R38:R46" si="33">IF(P$12=0,0,P38/P$12)</f>
        <v>3.0873565714057832E-3</v>
      </c>
      <c r="S38" s="1"/>
      <c r="T38" s="1">
        <f>SUM(OSRRefT22_2x_0)</f>
        <v>4282.9799999999996</v>
      </c>
      <c r="U38" s="1"/>
      <c r="V38" s="5">
        <f t="shared" ref="V38:V46" si="34">IF(T$12=0,0,T38/T$12)</f>
        <v>8.5432966842877885E-3</v>
      </c>
      <c r="W38" s="1"/>
      <c r="X38" s="1">
        <f t="shared" ref="X38:X46" si="35">+P38-T38</f>
        <v>-4143.6299999999992</v>
      </c>
      <c r="Y38" s="1"/>
      <c r="Z38" s="5">
        <f t="shared" ref="Z38:Z46" si="36">IF(T38=0,0,X38/T38)</f>
        <v>-0.96746424218651494</v>
      </c>
    </row>
    <row r="39" spans="1:26" s="24" customFormat="1" hidden="1" outlineLevel="2" x14ac:dyDescent="0.25">
      <c r="A39" s="25"/>
      <c r="B39" s="11" t="str">
        <f>CONCATENATE("          ", "6362", " - ", "ADVERTISING EXPENSE")</f>
        <v xml:space="preserve">          6362 - ADVERTISING EXPENSE</v>
      </c>
      <c r="C39" s="11"/>
      <c r="D39" s="6">
        <v>5.4</v>
      </c>
      <c r="E39" s="2"/>
      <c r="F39" s="7">
        <f t="shared" si="29"/>
        <v>0</v>
      </c>
      <c r="G39" s="2"/>
      <c r="H39" s="6">
        <v>488.61</v>
      </c>
      <c r="I39" s="2"/>
      <c r="J39" s="7">
        <f t="shared" si="30"/>
        <v>9.8944398679040348E-3</v>
      </c>
      <c r="K39" s="2"/>
      <c r="L39" s="6">
        <f t="shared" si="31"/>
        <v>-483.21000000000004</v>
      </c>
      <c r="M39" s="2"/>
      <c r="N39" s="7">
        <f t="shared" si="32"/>
        <v>-0.98894824092834777</v>
      </c>
      <c r="O39" s="11"/>
      <c r="P39" s="6">
        <v>139.35</v>
      </c>
      <c r="Q39" s="2"/>
      <c r="R39" s="7">
        <f t="shared" si="33"/>
        <v>3.0873565714057832E-3</v>
      </c>
      <c r="S39" s="2"/>
      <c r="T39" s="6">
        <v>4282.9799999999996</v>
      </c>
      <c r="U39" s="2"/>
      <c r="V39" s="7">
        <f t="shared" si="34"/>
        <v>8.5432966842877885E-3</v>
      </c>
      <c r="W39" s="2"/>
      <c r="X39" s="6">
        <f t="shared" si="35"/>
        <v>-4143.6299999999992</v>
      </c>
      <c r="Y39" s="2"/>
      <c r="Z39" s="7">
        <f t="shared" si="36"/>
        <v>-0.96746424218651494</v>
      </c>
    </row>
    <row r="40" spans="1:26" s="26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29"/>
        <v>0</v>
      </c>
      <c r="G40" s="1"/>
      <c r="H40" s="1">
        <f>SUM(OSRRefH22_3x_0)</f>
        <v>-3.62</v>
      </c>
      <c r="I40" s="1"/>
      <c r="J40" s="5">
        <f t="shared" si="30"/>
        <v>-7.3305647288865564E-5</v>
      </c>
      <c r="K40" s="1"/>
      <c r="L40" s="1">
        <f t="shared" si="31"/>
        <v>3.62</v>
      </c>
      <c r="M40" s="1"/>
      <c r="N40" s="5">
        <f t="shared" si="32"/>
        <v>-1</v>
      </c>
      <c r="O40" s="13"/>
      <c r="P40" s="1">
        <f>SUM(OSRRefP22_3x_0)</f>
        <v>8.7899999999999991</v>
      </c>
      <c r="Q40" s="1"/>
      <c r="R40" s="5">
        <f t="shared" si="33"/>
        <v>1.9474606575282978E-4</v>
      </c>
      <c r="S40" s="1"/>
      <c r="T40" s="1">
        <f>SUM(OSRRefT22_3x_0)</f>
        <v>-20.93</v>
      </c>
      <c r="U40" s="1"/>
      <c r="V40" s="5">
        <f t="shared" si="34"/>
        <v>-4.1749249261528982E-5</v>
      </c>
      <c r="W40" s="1"/>
      <c r="X40" s="1">
        <f t="shared" si="35"/>
        <v>29.72</v>
      </c>
      <c r="Y40" s="1"/>
      <c r="Z40" s="5">
        <f t="shared" si="36"/>
        <v>-1.4199713330148112</v>
      </c>
    </row>
    <row r="41" spans="1:26" s="24" customFormat="1" hidden="1" outlineLevel="2" x14ac:dyDescent="0.25">
      <c r="A41" s="25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29"/>
        <v>0</v>
      </c>
      <c r="G41" s="2"/>
      <c r="H41" s="6">
        <v>-3.62</v>
      </c>
      <c r="I41" s="2"/>
      <c r="J41" s="7">
        <f t="shared" si="30"/>
        <v>-7.3305647288865564E-5</v>
      </c>
      <c r="K41" s="2"/>
      <c r="L41" s="6">
        <f t="shared" si="31"/>
        <v>3.62</v>
      </c>
      <c r="M41" s="2"/>
      <c r="N41" s="7">
        <f t="shared" si="32"/>
        <v>-1</v>
      </c>
      <c r="O41" s="11"/>
      <c r="P41" s="6">
        <v>8.7899999999999991</v>
      </c>
      <c r="Q41" s="2"/>
      <c r="R41" s="7">
        <f t="shared" si="33"/>
        <v>1.9474606575282978E-4</v>
      </c>
      <c r="S41" s="2"/>
      <c r="T41" s="6">
        <v>-20.93</v>
      </c>
      <c r="U41" s="2"/>
      <c r="V41" s="7">
        <f t="shared" si="34"/>
        <v>-4.1749249261528982E-5</v>
      </c>
      <c r="W41" s="2"/>
      <c r="X41" s="6">
        <f t="shared" si="35"/>
        <v>29.72</v>
      </c>
      <c r="Y41" s="2"/>
      <c r="Z41" s="7">
        <f t="shared" si="36"/>
        <v>-1.4199713330148112</v>
      </c>
    </row>
    <row r="42" spans="1:26" s="26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179.1</v>
      </c>
      <c r="E42" s="1"/>
      <c r="F42" s="5">
        <f t="shared" si="29"/>
        <v>0</v>
      </c>
      <c r="G42" s="1"/>
      <c r="H42" s="1">
        <f>SUM(OSRRefH22_4x_0)</f>
        <v>1820.16</v>
      </c>
      <c r="I42" s="1"/>
      <c r="J42" s="5">
        <f t="shared" si="30"/>
        <v>3.6858565461133024E-2</v>
      </c>
      <c r="K42" s="1"/>
      <c r="L42" s="1">
        <f t="shared" si="31"/>
        <v>-1641.0600000000002</v>
      </c>
      <c r="M42" s="1"/>
      <c r="N42" s="5">
        <f t="shared" si="32"/>
        <v>-0.90160205696202533</v>
      </c>
      <c r="O42" s="13"/>
      <c r="P42" s="1">
        <f>SUM(OSRRefP22_4x_0)</f>
        <v>1245.95</v>
      </c>
      <c r="Q42" s="1"/>
      <c r="R42" s="5">
        <f t="shared" si="33"/>
        <v>2.7604534769594801E-2</v>
      </c>
      <c r="S42" s="1"/>
      <c r="T42" s="1">
        <f>SUM(OSRRefT22_4x_0)</f>
        <v>21069.63</v>
      </c>
      <c r="U42" s="1"/>
      <c r="V42" s="5">
        <f t="shared" si="34"/>
        <v>4.2027770411762491E-2</v>
      </c>
      <c r="W42" s="1"/>
      <c r="X42" s="1">
        <f t="shared" si="35"/>
        <v>-19823.68</v>
      </c>
      <c r="Y42" s="1"/>
      <c r="Z42" s="5">
        <f t="shared" si="36"/>
        <v>-0.94086512197888617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6">
        <v>179.1</v>
      </c>
      <c r="E43" s="2"/>
      <c r="F43" s="7">
        <f t="shared" si="29"/>
        <v>0</v>
      </c>
      <c r="G43" s="2"/>
      <c r="H43" s="6">
        <v>1820.16</v>
      </c>
      <c r="I43" s="2"/>
      <c r="J43" s="7">
        <f t="shared" si="30"/>
        <v>3.6858565461133024E-2</v>
      </c>
      <c r="K43" s="2"/>
      <c r="L43" s="6">
        <f t="shared" si="31"/>
        <v>-1641.0600000000002</v>
      </c>
      <c r="M43" s="2"/>
      <c r="N43" s="7">
        <f t="shared" si="32"/>
        <v>-0.90160205696202533</v>
      </c>
      <c r="O43" s="11"/>
      <c r="P43" s="6">
        <v>1245.95</v>
      </c>
      <c r="Q43" s="2"/>
      <c r="R43" s="7">
        <f t="shared" si="33"/>
        <v>2.7604534769594801E-2</v>
      </c>
      <c r="S43" s="2"/>
      <c r="T43" s="6">
        <v>21069.63</v>
      </c>
      <c r="U43" s="2"/>
      <c r="V43" s="7">
        <f t="shared" si="34"/>
        <v>4.2027770411762491E-2</v>
      </c>
      <c r="W43" s="2"/>
      <c r="X43" s="6">
        <f t="shared" si="35"/>
        <v>-19823.68</v>
      </c>
      <c r="Y43" s="2"/>
      <c r="Z43" s="7">
        <f t="shared" si="36"/>
        <v>-0.94086512197888617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13902.32</v>
      </c>
      <c r="E44" s="1"/>
      <c r="F44" s="5">
        <f t="shared" si="29"/>
        <v>0</v>
      </c>
      <c r="G44" s="1"/>
      <c r="H44" s="1">
        <f>SUM(OSRRefH22_5x_0)</f>
        <v>13580.689999999999</v>
      </c>
      <c r="I44" s="1"/>
      <c r="J44" s="5">
        <f t="shared" si="30"/>
        <v>0.2750114008506695</v>
      </c>
      <c r="K44" s="1"/>
      <c r="L44" s="1">
        <f t="shared" si="31"/>
        <v>321.63000000000102</v>
      </c>
      <c r="M44" s="1"/>
      <c r="N44" s="5">
        <f t="shared" si="32"/>
        <v>2.3682890928222428E-2</v>
      </c>
      <c r="O44" s="13"/>
      <c r="P44" s="1">
        <f>SUM(OSRRefP22_5x_0)</f>
        <v>97281.51999999999</v>
      </c>
      <c r="Q44" s="1"/>
      <c r="R44" s="5">
        <f t="shared" si="33"/>
        <v>2.1553120922019597</v>
      </c>
      <c r="S44" s="1"/>
      <c r="T44" s="1">
        <f>SUM(OSRRefT22_5x_0)</f>
        <v>93495.930000000008</v>
      </c>
      <c r="U44" s="1"/>
      <c r="V44" s="5">
        <f t="shared" si="34"/>
        <v>0.1864971278790476</v>
      </c>
      <c r="W44" s="1"/>
      <c r="X44" s="1">
        <f t="shared" si="35"/>
        <v>3785.589999999982</v>
      </c>
      <c r="Y44" s="1"/>
      <c r="Z44" s="5">
        <f t="shared" si="36"/>
        <v>4.0489356060739563E-2</v>
      </c>
    </row>
    <row r="45" spans="1:26" s="24" customFormat="1" hidden="1" outlineLevel="2" x14ac:dyDescent="0.25">
      <c r="A45" s="25"/>
      <c r="B45" s="11" t="str">
        <f>CONCATENATE("          ", "6321", " - ", "BUILDING DEPRECIATION")</f>
        <v xml:space="preserve">          6321 - BUILDING DEPRECIATION</v>
      </c>
      <c r="C45" s="11"/>
      <c r="D45" s="6">
        <v>10597.26</v>
      </c>
      <c r="E45" s="2"/>
      <c r="F45" s="7">
        <f t="shared" si="29"/>
        <v>0</v>
      </c>
      <c r="G45" s="2"/>
      <c r="H45" s="6">
        <v>10612.46</v>
      </c>
      <c r="I45" s="2"/>
      <c r="J45" s="7">
        <f t="shared" si="30"/>
        <v>0.21490421260419729</v>
      </c>
      <c r="K45" s="2"/>
      <c r="L45" s="6">
        <f t="shared" si="31"/>
        <v>-15.199999999998909</v>
      </c>
      <c r="M45" s="2"/>
      <c r="N45" s="7">
        <f t="shared" si="32"/>
        <v>-1.4322786611208815E-3</v>
      </c>
      <c r="O45" s="11"/>
      <c r="P45" s="6">
        <v>74180.819999999992</v>
      </c>
      <c r="Q45" s="2"/>
      <c r="R45" s="7">
        <f t="shared" si="33"/>
        <v>1.643506581264941</v>
      </c>
      <c r="S45" s="2"/>
      <c r="T45" s="6">
        <v>74287.22</v>
      </c>
      <c r="U45" s="2"/>
      <c r="V45" s="7">
        <f t="shared" si="34"/>
        <v>0.14818135044080466</v>
      </c>
      <c r="W45" s="2"/>
      <c r="X45" s="6">
        <f t="shared" si="35"/>
        <v>-106.40000000000873</v>
      </c>
      <c r="Y45" s="2"/>
      <c r="Z45" s="7">
        <f t="shared" si="36"/>
        <v>-1.4322786611211018E-3</v>
      </c>
    </row>
    <row r="46" spans="1:26" s="24" customFormat="1" hidden="1" outlineLevel="2" x14ac:dyDescent="0.25">
      <c r="A46" s="25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3305.06</v>
      </c>
      <c r="E46" s="2"/>
      <c r="F46" s="7">
        <f t="shared" si="29"/>
        <v>0</v>
      </c>
      <c r="G46" s="2"/>
      <c r="H46" s="6">
        <v>2968.23</v>
      </c>
      <c r="I46" s="2"/>
      <c r="J46" s="7">
        <f t="shared" si="30"/>
        <v>6.0107188246472217E-2</v>
      </c>
      <c r="K46" s="2"/>
      <c r="L46" s="6">
        <f t="shared" si="31"/>
        <v>336.82999999999993</v>
      </c>
      <c r="M46" s="2"/>
      <c r="N46" s="7">
        <f t="shared" si="32"/>
        <v>0.11347840295394897</v>
      </c>
      <c r="O46" s="11"/>
      <c r="P46" s="6">
        <v>23100.7</v>
      </c>
      <c r="Q46" s="2"/>
      <c r="R46" s="7">
        <f t="shared" si="33"/>
        <v>0.51180551093701887</v>
      </c>
      <c r="S46" s="2"/>
      <c r="T46" s="6">
        <v>19208.710000000003</v>
      </c>
      <c r="U46" s="2"/>
      <c r="V46" s="7">
        <f t="shared" si="34"/>
        <v>3.831577743824293E-2</v>
      </c>
      <c r="W46" s="2"/>
      <c r="X46" s="6">
        <f t="shared" si="35"/>
        <v>3891.989999999998</v>
      </c>
      <c r="Y46" s="2"/>
      <c r="Z46" s="7">
        <f t="shared" si="36"/>
        <v>0.20261589664272081</v>
      </c>
    </row>
    <row r="47" spans="1:26" s="26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ref="F47:F61" si="37">IF(D$12=0,0,D47/D$12)</f>
        <v>0</v>
      </c>
      <c r="G47" s="1"/>
      <c r="H47" s="1">
        <f>SUM(OSRRefH22_6x_0)</f>
        <v>0</v>
      </c>
      <c r="I47" s="1"/>
      <c r="J47" s="5">
        <f t="shared" ref="J47:J61" si="38">IF(H$12=0,0,H47/H$12)</f>
        <v>0</v>
      </c>
      <c r="K47" s="1"/>
      <c r="L47" s="1">
        <f t="shared" ref="L47:L61" si="39">+D47-H47</f>
        <v>0</v>
      </c>
      <c r="M47" s="1"/>
      <c r="N47" s="5">
        <f t="shared" ref="N47:N61" si="40">IF(H47=0,0,L47/H47)</f>
        <v>0</v>
      </c>
      <c r="O47" s="13"/>
      <c r="P47" s="1">
        <f>SUM(OSRRefP22_6x_0)</f>
        <v>10</v>
      </c>
      <c r="Q47" s="1"/>
      <c r="R47" s="5">
        <f t="shared" ref="R47:R61" si="41">IF(P$12=0,0,P47/P$12)</f>
        <v>2.2155411348444802E-4</v>
      </c>
      <c r="S47" s="1"/>
      <c r="T47" s="1">
        <f>SUM(OSRRefT22_6x_0)</f>
        <v>96.36</v>
      </c>
      <c r="U47" s="1"/>
      <c r="V47" s="5">
        <f t="shared" ref="V47:V61" si="42">IF(T$12=0,0,T47/T$12)</f>
        <v>1.9221011270143014E-4</v>
      </c>
      <c r="W47" s="1"/>
      <c r="X47" s="1">
        <f t="shared" ref="X47:X61" si="43">+P47-T47</f>
        <v>-86.36</v>
      </c>
      <c r="Y47" s="1"/>
      <c r="Z47" s="5">
        <f t="shared" ref="Z47:Z61" si="44">IF(T47=0,0,X47/T47)</f>
        <v>-0.89622249896222494</v>
      </c>
    </row>
    <row r="48" spans="1:26" s="24" customFormat="1" hidden="1" outlineLevel="2" x14ac:dyDescent="0.25">
      <c r="A48" s="25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37"/>
        <v>0</v>
      </c>
      <c r="G48" s="2"/>
      <c r="H48" s="6"/>
      <c r="I48" s="2"/>
      <c r="J48" s="7">
        <f t="shared" si="38"/>
        <v>0</v>
      </c>
      <c r="K48" s="2"/>
      <c r="L48" s="6">
        <f t="shared" si="39"/>
        <v>0</v>
      </c>
      <c r="M48" s="2"/>
      <c r="N48" s="7">
        <f t="shared" si="40"/>
        <v>0</v>
      </c>
      <c r="O48" s="11"/>
      <c r="P48" s="6">
        <v>10</v>
      </c>
      <c r="Q48" s="2"/>
      <c r="R48" s="7">
        <f t="shared" si="41"/>
        <v>2.2155411348444802E-4</v>
      </c>
      <c r="S48" s="2"/>
      <c r="T48" s="6">
        <v>96.36</v>
      </c>
      <c r="U48" s="2"/>
      <c r="V48" s="7">
        <f t="shared" si="42"/>
        <v>1.9221011270143014E-4</v>
      </c>
      <c r="W48" s="2"/>
      <c r="X48" s="6">
        <f t="shared" si="43"/>
        <v>-86.36</v>
      </c>
      <c r="Y48" s="2"/>
      <c r="Z48" s="7">
        <f t="shared" si="44"/>
        <v>-0.89622249896222494</v>
      </c>
    </row>
    <row r="49" spans="1:26" s="26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0</v>
      </c>
      <c r="E49" s="1"/>
      <c r="F49" s="5">
        <f t="shared" si="37"/>
        <v>0</v>
      </c>
      <c r="G49" s="1"/>
      <c r="H49" s="1">
        <f>SUM(OSRRefH22_7x_0)</f>
        <v>165.53</v>
      </c>
      <c r="I49" s="1"/>
      <c r="J49" s="5">
        <f t="shared" si="38"/>
        <v>3.352012098266828E-3</v>
      </c>
      <c r="K49" s="1"/>
      <c r="L49" s="1">
        <f t="shared" si="39"/>
        <v>-165.53</v>
      </c>
      <c r="M49" s="1"/>
      <c r="N49" s="5">
        <f t="shared" si="40"/>
        <v>-1</v>
      </c>
      <c r="O49" s="13"/>
      <c r="P49" s="1">
        <f>SUM(OSRRefP22_7x_0)</f>
        <v>1000.07</v>
      </c>
      <c r="Q49" s="1"/>
      <c r="R49" s="5">
        <f t="shared" si="41"/>
        <v>2.2156962227239195E-2</v>
      </c>
      <c r="S49" s="1"/>
      <c r="T49" s="1">
        <f>SUM(OSRRefT22_7x_0)</f>
        <v>834.49</v>
      </c>
      <c r="U49" s="1"/>
      <c r="V49" s="5">
        <f t="shared" si="42"/>
        <v>1.6645643103799963E-3</v>
      </c>
      <c r="W49" s="1"/>
      <c r="X49" s="1">
        <f t="shared" si="43"/>
        <v>165.58000000000004</v>
      </c>
      <c r="Y49" s="1"/>
      <c r="Z49" s="5">
        <f t="shared" si="44"/>
        <v>0.19842059221800146</v>
      </c>
    </row>
    <row r="50" spans="1:26" s="24" customFormat="1" hidden="1" outlineLevel="2" x14ac:dyDescent="0.25">
      <c r="A50" s="25"/>
      <c r="B50" s="11" t="str">
        <f>CONCATENATE("          ", "6351", " - ", "EQUIPMENT RENTAL")</f>
        <v xml:space="preserve">          6351 - EQUIPMENT RENTAL</v>
      </c>
      <c r="C50" s="11"/>
      <c r="D50" s="6"/>
      <c r="E50" s="2"/>
      <c r="F50" s="7">
        <f t="shared" si="37"/>
        <v>0</v>
      </c>
      <c r="G50" s="2"/>
      <c r="H50" s="6">
        <v>165.53</v>
      </c>
      <c r="I50" s="2"/>
      <c r="J50" s="7">
        <f t="shared" si="38"/>
        <v>3.352012098266828E-3</v>
      </c>
      <c r="K50" s="2"/>
      <c r="L50" s="6">
        <f t="shared" si="39"/>
        <v>-165.53</v>
      </c>
      <c r="M50" s="2"/>
      <c r="N50" s="7">
        <f t="shared" si="40"/>
        <v>-1</v>
      </c>
      <c r="O50" s="11"/>
      <c r="P50" s="6">
        <v>1000.07</v>
      </c>
      <c r="Q50" s="2"/>
      <c r="R50" s="7">
        <f t="shared" si="41"/>
        <v>2.2156962227239195E-2</v>
      </c>
      <c r="S50" s="2"/>
      <c r="T50" s="6">
        <v>834.49</v>
      </c>
      <c r="U50" s="2"/>
      <c r="V50" s="7">
        <f t="shared" si="42"/>
        <v>1.6645643103799963E-3</v>
      </c>
      <c r="W50" s="2"/>
      <c r="X50" s="6">
        <f t="shared" si="43"/>
        <v>165.58000000000004</v>
      </c>
      <c r="Y50" s="2"/>
      <c r="Z50" s="7">
        <f t="shared" si="44"/>
        <v>0.19842059221800146</v>
      </c>
    </row>
    <row r="51" spans="1:26" s="26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0</v>
      </c>
      <c r="E51" s="1"/>
      <c r="F51" s="5">
        <f t="shared" si="37"/>
        <v>0</v>
      </c>
      <c r="G51" s="1"/>
      <c r="H51" s="1">
        <f>SUM(OSRRefH22_8x_0)</f>
        <v>16.8</v>
      </c>
      <c r="I51" s="1"/>
      <c r="J51" s="5">
        <f t="shared" si="38"/>
        <v>3.402030039925253E-4</v>
      </c>
      <c r="K51" s="1"/>
      <c r="L51" s="1">
        <f t="shared" si="39"/>
        <v>-16.8</v>
      </c>
      <c r="M51" s="1"/>
      <c r="N51" s="5">
        <f t="shared" si="40"/>
        <v>-1</v>
      </c>
      <c r="O51" s="13"/>
      <c r="P51" s="1">
        <f>SUM(OSRRefP22_8x_0)</f>
        <v>2410.0700000000002</v>
      </c>
      <c r="Q51" s="1"/>
      <c r="R51" s="5">
        <f t="shared" si="41"/>
        <v>5.3396092228546368E-2</v>
      </c>
      <c r="S51" s="1"/>
      <c r="T51" s="1">
        <f>SUM(OSRRefT22_8x_0)</f>
        <v>1843.41</v>
      </c>
      <c r="U51" s="1"/>
      <c r="V51" s="5">
        <f t="shared" si="42"/>
        <v>3.677065627386295E-3</v>
      </c>
      <c r="W51" s="1"/>
      <c r="X51" s="1">
        <f t="shared" si="43"/>
        <v>566.66000000000008</v>
      </c>
      <c r="Y51" s="1"/>
      <c r="Z51" s="5">
        <f t="shared" si="44"/>
        <v>0.3073977031696693</v>
      </c>
    </row>
    <row r="52" spans="1:26" s="24" customFormat="1" hidden="1" outlineLevel="2" x14ac:dyDescent="0.25">
      <c r="A52" s="25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37"/>
        <v>0</v>
      </c>
      <c r="G52" s="2"/>
      <c r="H52" s="6">
        <v>16.8</v>
      </c>
      <c r="I52" s="2"/>
      <c r="J52" s="7">
        <f t="shared" si="38"/>
        <v>3.402030039925253E-4</v>
      </c>
      <c r="K52" s="2"/>
      <c r="L52" s="6">
        <f t="shared" si="39"/>
        <v>-16.8</v>
      </c>
      <c r="M52" s="2"/>
      <c r="N52" s="7">
        <f t="shared" si="40"/>
        <v>-1</v>
      </c>
      <c r="O52" s="11"/>
      <c r="P52" s="6">
        <v>2410.0700000000002</v>
      </c>
      <c r="Q52" s="2"/>
      <c r="R52" s="7">
        <f t="shared" si="41"/>
        <v>5.3396092228546368E-2</v>
      </c>
      <c r="S52" s="2"/>
      <c r="T52" s="6">
        <v>1843.41</v>
      </c>
      <c r="U52" s="2"/>
      <c r="V52" s="7">
        <f t="shared" si="42"/>
        <v>3.677065627386295E-3</v>
      </c>
      <c r="W52" s="2"/>
      <c r="X52" s="6">
        <f t="shared" si="43"/>
        <v>566.66000000000008</v>
      </c>
      <c r="Y52" s="2"/>
      <c r="Z52" s="7">
        <f t="shared" si="44"/>
        <v>0.3073977031696693</v>
      </c>
    </row>
    <row r="53" spans="1:26" s="26" customFormat="1" outlineLevel="1" collapsed="1" x14ac:dyDescent="0.25">
      <c r="A53" s="27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SUM(OSRRefD22_9x_0)</f>
        <v>641.28</v>
      </c>
      <c r="E53" s="1"/>
      <c r="F53" s="5">
        <f t="shared" si="37"/>
        <v>0</v>
      </c>
      <c r="G53" s="1"/>
      <c r="H53" s="1">
        <f>SUM(OSRRefH22_9x_0)</f>
        <v>641.28</v>
      </c>
      <c r="I53" s="1"/>
      <c r="J53" s="5">
        <f t="shared" si="38"/>
        <v>1.2986034666686106E-2</v>
      </c>
      <c r="K53" s="1"/>
      <c r="L53" s="1">
        <f t="shared" si="39"/>
        <v>0</v>
      </c>
      <c r="M53" s="1"/>
      <c r="N53" s="5">
        <f t="shared" si="40"/>
        <v>0</v>
      </c>
      <c r="O53" s="13"/>
      <c r="P53" s="1">
        <f>SUM(OSRRefP22_9x_0)</f>
        <v>4488.96</v>
      </c>
      <c r="Q53" s="1"/>
      <c r="R53" s="5">
        <f t="shared" si="41"/>
        <v>9.9454755326714786E-2</v>
      </c>
      <c r="S53" s="1"/>
      <c r="T53" s="1">
        <f>SUM(OSRRefT22_9x_0)</f>
        <v>4488.96</v>
      </c>
      <c r="U53" s="1"/>
      <c r="V53" s="5">
        <f t="shared" si="42"/>
        <v>8.9541667446265249E-3</v>
      </c>
      <c r="W53" s="1"/>
      <c r="X53" s="1">
        <f t="shared" si="43"/>
        <v>0</v>
      </c>
      <c r="Y53" s="1"/>
      <c r="Z53" s="5">
        <f t="shared" si="44"/>
        <v>0</v>
      </c>
    </row>
    <row r="54" spans="1:26" s="24" customFormat="1" hidden="1" outlineLevel="2" x14ac:dyDescent="0.25">
      <c r="A54" s="25"/>
      <c r="B54" s="11" t="str">
        <f>CONCATENATE("          ", "6314", " - ", "LIABILITY INSURANCE")</f>
        <v xml:space="preserve">          6314 - LIABILITY INSURANCE</v>
      </c>
      <c r="C54" s="11"/>
      <c r="D54" s="6">
        <v>641.28</v>
      </c>
      <c r="E54" s="2"/>
      <c r="F54" s="7">
        <f t="shared" si="37"/>
        <v>0</v>
      </c>
      <c r="G54" s="2"/>
      <c r="H54" s="6">
        <v>641.28</v>
      </c>
      <c r="I54" s="2"/>
      <c r="J54" s="7">
        <f t="shared" si="38"/>
        <v>1.2986034666686106E-2</v>
      </c>
      <c r="K54" s="2"/>
      <c r="L54" s="6">
        <f t="shared" si="39"/>
        <v>0</v>
      </c>
      <c r="M54" s="2"/>
      <c r="N54" s="7">
        <f t="shared" si="40"/>
        <v>0</v>
      </c>
      <c r="O54" s="11"/>
      <c r="P54" s="6">
        <v>4488.96</v>
      </c>
      <c r="Q54" s="2"/>
      <c r="R54" s="7">
        <f t="shared" si="41"/>
        <v>9.9454755326714786E-2</v>
      </c>
      <c r="S54" s="2"/>
      <c r="T54" s="6">
        <v>4488.96</v>
      </c>
      <c r="U54" s="2"/>
      <c r="V54" s="7">
        <f t="shared" si="42"/>
        <v>8.9541667446265249E-3</v>
      </c>
      <c r="W54" s="2"/>
      <c r="X54" s="6">
        <f t="shared" si="43"/>
        <v>0</v>
      </c>
      <c r="Y54" s="2"/>
      <c r="Z54" s="7">
        <f t="shared" si="44"/>
        <v>0</v>
      </c>
    </row>
    <row r="55" spans="1:26" s="26" customFormat="1" outlineLevel="1" collapsed="1" x14ac:dyDescent="0.25">
      <c r="A55" s="27"/>
      <c r="B55" s="13" t="str">
        <f>CONCATENATE("     ","Interest                                          ")</f>
        <v xml:space="preserve">     Interest                                          </v>
      </c>
      <c r="C55" s="13"/>
      <c r="D55" s="1">
        <f>SUM(OSRRefD22_10x_0)</f>
        <v>7510</v>
      </c>
      <c r="E55" s="1"/>
      <c r="F55" s="5">
        <f t="shared" si="37"/>
        <v>0</v>
      </c>
      <c r="G55" s="1"/>
      <c r="H55" s="1">
        <f>SUM(OSRRefH22_10x_0)</f>
        <v>7754</v>
      </c>
      <c r="I55" s="1"/>
      <c r="J55" s="5">
        <f t="shared" si="38"/>
        <v>0.15701988648559767</v>
      </c>
      <c r="K55" s="1"/>
      <c r="L55" s="1">
        <f t="shared" si="39"/>
        <v>-244</v>
      </c>
      <c r="M55" s="1"/>
      <c r="N55" s="5">
        <f t="shared" si="40"/>
        <v>-3.1467629610523601E-2</v>
      </c>
      <c r="O55" s="13"/>
      <c r="P55" s="1">
        <f>SUM(OSRRefP22_10x_0)</f>
        <v>52083.15</v>
      </c>
      <c r="Q55" s="1"/>
      <c r="R55" s="5">
        <f t="shared" si="41"/>
        <v>1.153923612572753</v>
      </c>
      <c r="S55" s="1"/>
      <c r="T55" s="1">
        <f>SUM(OSRRefT22_10x_0)</f>
        <v>53885.049999999996</v>
      </c>
      <c r="U55" s="1"/>
      <c r="V55" s="5">
        <f t="shared" si="42"/>
        <v>0.1074849681758219</v>
      </c>
      <c r="W55" s="1"/>
      <c r="X55" s="1">
        <f t="shared" si="43"/>
        <v>-1801.8999999999942</v>
      </c>
      <c r="Y55" s="1"/>
      <c r="Z55" s="5">
        <f t="shared" si="44"/>
        <v>-3.3439701735453423E-2</v>
      </c>
    </row>
    <row r="56" spans="1:26" s="24" customFormat="1" hidden="1" outlineLevel="2" x14ac:dyDescent="0.25">
      <c r="A56" s="25"/>
      <c r="B56" s="11" t="str">
        <f>CONCATENATE("          ", "6401", " - ", "INTEREST EXPENSE")</f>
        <v xml:space="preserve">          6401 - INTEREST EXPENSE</v>
      </c>
      <c r="C56" s="11"/>
      <c r="D56" s="6">
        <v>7510</v>
      </c>
      <c r="E56" s="2"/>
      <c r="F56" s="7">
        <f t="shared" si="37"/>
        <v>0</v>
      </c>
      <c r="G56" s="2"/>
      <c r="H56" s="6">
        <v>7754</v>
      </c>
      <c r="I56" s="2"/>
      <c r="J56" s="7">
        <f t="shared" si="38"/>
        <v>0.15701988648559767</v>
      </c>
      <c r="K56" s="2"/>
      <c r="L56" s="6">
        <f t="shared" si="39"/>
        <v>-244</v>
      </c>
      <c r="M56" s="2"/>
      <c r="N56" s="7">
        <f t="shared" si="40"/>
        <v>-3.1467629610523601E-2</v>
      </c>
      <c r="O56" s="11"/>
      <c r="P56" s="6">
        <v>52083.15</v>
      </c>
      <c r="Q56" s="2"/>
      <c r="R56" s="7">
        <f t="shared" si="41"/>
        <v>1.153923612572753</v>
      </c>
      <c r="S56" s="2"/>
      <c r="T56" s="6">
        <v>53885.049999999996</v>
      </c>
      <c r="U56" s="2"/>
      <c r="V56" s="7">
        <f t="shared" si="42"/>
        <v>0.1074849681758219</v>
      </c>
      <c r="W56" s="2"/>
      <c r="X56" s="6">
        <f t="shared" si="43"/>
        <v>-1801.8999999999942</v>
      </c>
      <c r="Y56" s="2"/>
      <c r="Z56" s="7">
        <f t="shared" si="44"/>
        <v>-3.3439701735453423E-2</v>
      </c>
    </row>
    <row r="57" spans="1:26" s="26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SUM(OSRRefD22_11x_0)</f>
        <v>2871.11</v>
      </c>
      <c r="E57" s="1"/>
      <c r="F57" s="5">
        <f t="shared" si="37"/>
        <v>0</v>
      </c>
      <c r="G57" s="1"/>
      <c r="H57" s="1">
        <f>SUM(OSRRefH22_11x_0)</f>
        <v>3433.27</v>
      </c>
      <c r="I57" s="1"/>
      <c r="J57" s="5">
        <f t="shared" si="38"/>
        <v>6.9524331399846262E-2</v>
      </c>
      <c r="K57" s="1"/>
      <c r="L57" s="1">
        <f t="shared" si="39"/>
        <v>-562.15999999999985</v>
      </c>
      <c r="M57" s="1"/>
      <c r="N57" s="5">
        <f t="shared" si="40"/>
        <v>-0.16373894275719644</v>
      </c>
      <c r="O57" s="13"/>
      <c r="P57" s="1">
        <f>SUM(OSRRefP22_11x_0)</f>
        <v>15442.7</v>
      </c>
      <c r="Q57" s="1"/>
      <c r="R57" s="5">
        <f t="shared" si="41"/>
        <v>0.34213937083062856</v>
      </c>
      <c r="S57" s="1"/>
      <c r="T57" s="1">
        <f>SUM(OSRRefT22_11x_0)</f>
        <v>22515.279999999999</v>
      </c>
      <c r="U57" s="1"/>
      <c r="V57" s="5">
        <f t="shared" si="42"/>
        <v>4.4911420779413201E-2</v>
      </c>
      <c r="W57" s="1"/>
      <c r="X57" s="1">
        <f t="shared" si="43"/>
        <v>-7072.5799999999981</v>
      </c>
      <c r="Y57" s="1"/>
      <c r="Z57" s="5">
        <f t="shared" si="44"/>
        <v>-0.31412356408625602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37"/>
        <v>0</v>
      </c>
      <c r="G58" s="2"/>
      <c r="H58" s="6"/>
      <c r="I58" s="2"/>
      <c r="J58" s="7">
        <f t="shared" si="38"/>
        <v>0</v>
      </c>
      <c r="K58" s="2"/>
      <c r="L58" s="6">
        <f t="shared" si="39"/>
        <v>0</v>
      </c>
      <c r="M58" s="2"/>
      <c r="N58" s="7">
        <f t="shared" si="40"/>
        <v>0</v>
      </c>
      <c r="O58" s="11"/>
      <c r="P58" s="6"/>
      <c r="Q58" s="2"/>
      <c r="R58" s="7">
        <f t="shared" si="41"/>
        <v>0</v>
      </c>
      <c r="S58" s="2"/>
      <c r="T58" s="6">
        <v>2623.84</v>
      </c>
      <c r="U58" s="2"/>
      <c r="V58" s="7">
        <f t="shared" si="42"/>
        <v>5.2337959953354142E-3</v>
      </c>
      <c r="W58" s="2"/>
      <c r="X58" s="6">
        <f t="shared" si="43"/>
        <v>-2623.84</v>
      </c>
      <c r="Y58" s="2"/>
      <c r="Z58" s="7">
        <f t="shared" si="44"/>
        <v>-1</v>
      </c>
    </row>
    <row r="59" spans="1:26" s="24" customFormat="1" hidden="1" outlineLevel="2" x14ac:dyDescent="0.25">
      <c r="A59" s="25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37"/>
        <v>0</v>
      </c>
      <c r="G59" s="2"/>
      <c r="H59" s="6">
        <v>-0.01</v>
      </c>
      <c r="I59" s="2"/>
      <c r="J59" s="7">
        <f t="shared" si="38"/>
        <v>-2.0250178809078885E-7</v>
      </c>
      <c r="K59" s="2"/>
      <c r="L59" s="6">
        <f t="shared" si="39"/>
        <v>0.01</v>
      </c>
      <c r="M59" s="2"/>
      <c r="N59" s="7">
        <f t="shared" si="40"/>
        <v>-1</v>
      </c>
      <c r="O59" s="11"/>
      <c r="P59" s="6"/>
      <c r="Q59" s="2"/>
      <c r="R59" s="7">
        <f t="shared" si="41"/>
        <v>0</v>
      </c>
      <c r="S59" s="2"/>
      <c r="T59" s="6">
        <v>-0.01</v>
      </c>
      <c r="U59" s="2"/>
      <c r="V59" s="7">
        <f t="shared" si="42"/>
        <v>-1.9947085170343521E-8</v>
      </c>
      <c r="W59" s="2"/>
      <c r="X59" s="6">
        <f t="shared" si="43"/>
        <v>0.01</v>
      </c>
      <c r="Y59" s="2"/>
      <c r="Z59" s="7">
        <f t="shared" si="44"/>
        <v>-1</v>
      </c>
    </row>
    <row r="60" spans="1:26" s="24" customFormat="1" hidden="1" outlineLevel="2" x14ac:dyDescent="0.25">
      <c r="A60" s="25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6596.34</v>
      </c>
      <c r="Q60" s="2"/>
      <c r="R60" s="7">
        <f t="shared" si="41"/>
        <v>0.1461446260942004</v>
      </c>
      <c r="S60" s="2"/>
      <c r="T60" s="6">
        <v>3768.74</v>
      </c>
      <c r="U60" s="2"/>
      <c r="V60" s="7">
        <f t="shared" si="42"/>
        <v>7.5175377764880435E-3</v>
      </c>
      <c r="W60" s="2"/>
      <c r="X60" s="6">
        <f t="shared" si="43"/>
        <v>2827.6000000000004</v>
      </c>
      <c r="Y60" s="2"/>
      <c r="Z60" s="7">
        <f t="shared" si="44"/>
        <v>0.75027728100107738</v>
      </c>
    </row>
    <row r="61" spans="1:26" s="24" customFormat="1" hidden="1" outlineLevel="2" x14ac:dyDescent="0.25">
      <c r="A61" s="25"/>
      <c r="B61" s="11" t="str">
        <f>CONCATENATE("          ", "6375", " - ", "OUTSIDE REPAIRS &amp; MAINTENANCE")</f>
        <v xml:space="preserve">          6375 - OUTSIDE REPAIRS &amp; MAINTENANCE</v>
      </c>
      <c r="C61" s="11"/>
      <c r="D61" s="6">
        <v>2871.11</v>
      </c>
      <c r="E61" s="2"/>
      <c r="F61" s="7">
        <f t="shared" si="37"/>
        <v>0</v>
      </c>
      <c r="G61" s="2"/>
      <c r="H61" s="6">
        <v>3433.28</v>
      </c>
      <c r="I61" s="2"/>
      <c r="J61" s="7">
        <f t="shared" si="38"/>
        <v>6.9524533901634364E-2</v>
      </c>
      <c r="K61" s="2"/>
      <c r="L61" s="6">
        <f t="shared" si="39"/>
        <v>-562.17000000000007</v>
      </c>
      <c r="M61" s="2"/>
      <c r="N61" s="7">
        <f t="shared" si="40"/>
        <v>-0.16374137850685061</v>
      </c>
      <c r="O61" s="11"/>
      <c r="P61" s="6">
        <v>8846.36</v>
      </c>
      <c r="Q61" s="2"/>
      <c r="R61" s="7">
        <f t="shared" si="41"/>
        <v>0.19599474473642817</v>
      </c>
      <c r="S61" s="2"/>
      <c r="T61" s="6">
        <v>16122.710000000001</v>
      </c>
      <c r="U61" s="2"/>
      <c r="V61" s="7">
        <f t="shared" si="42"/>
        <v>3.2160106954674916E-2</v>
      </c>
      <c r="W61" s="2"/>
      <c r="X61" s="6">
        <f t="shared" si="43"/>
        <v>-7276.35</v>
      </c>
      <c r="Y61" s="2"/>
      <c r="Z61" s="7">
        <f t="shared" si="44"/>
        <v>-0.45131060473084239</v>
      </c>
    </row>
    <row r="62" spans="1:26" s="26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SUM(OSRRefD22_12x_0)</f>
        <v>2314.16</v>
      </c>
      <c r="E62" s="1"/>
      <c r="F62" s="5">
        <f t="shared" ref="F62:F67" si="45">IF(D$12=0,0,D62/D$12)</f>
        <v>0</v>
      </c>
      <c r="G62" s="1"/>
      <c r="H62" s="1">
        <f>SUM(OSRRefH22_12x_0)</f>
        <v>5178.8100000000004</v>
      </c>
      <c r="I62" s="1"/>
      <c r="J62" s="5">
        <f t="shared" ref="J62:J67" si="46">IF(H$12=0,0,H62/H$12)</f>
        <v>0.10487182851824582</v>
      </c>
      <c r="K62" s="1"/>
      <c r="L62" s="1">
        <f t="shared" ref="L62:L67" si="47">+D62-H62</f>
        <v>-2864.6500000000005</v>
      </c>
      <c r="M62" s="1"/>
      <c r="N62" s="5">
        <f t="shared" ref="N62:N67" si="48">IF(H62=0,0,L62/H62)</f>
        <v>-0.5531483101330229</v>
      </c>
      <c r="O62" s="13"/>
      <c r="P62" s="1">
        <f>SUM(OSRRefP22_12x_0)</f>
        <v>22784.18</v>
      </c>
      <c r="Q62" s="1"/>
      <c r="R62" s="5">
        <f t="shared" ref="R62:R67" si="49">IF(P$12=0,0,P62/P$12)</f>
        <v>0.50479288013700907</v>
      </c>
      <c r="S62" s="1"/>
      <c r="T62" s="1">
        <f>SUM(OSRRefT22_12x_0)</f>
        <v>32283.629999999997</v>
      </c>
      <c r="U62" s="1"/>
      <c r="V62" s="5">
        <f t="shared" ref="V62:V67" si="50">IF(T$12=0,0,T62/T$12)</f>
        <v>6.4396431721785705E-2</v>
      </c>
      <c r="W62" s="1"/>
      <c r="X62" s="1">
        <f t="shared" ref="X62:X67" si="51">+P62-T62</f>
        <v>-9499.4499999999971</v>
      </c>
      <c r="Y62" s="1"/>
      <c r="Z62" s="5">
        <f t="shared" ref="Z62:Z67" si="52">IF(T62=0,0,X62/T62)</f>
        <v>-0.29424974824702171</v>
      </c>
    </row>
    <row r="63" spans="1:26" s="24" customFormat="1" hidden="1" outlineLevel="2" x14ac:dyDescent="0.25">
      <c r="A63" s="25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1314.16</v>
      </c>
      <c r="E63" s="2"/>
      <c r="F63" s="7">
        <f t="shared" si="45"/>
        <v>0</v>
      </c>
      <c r="G63" s="2"/>
      <c r="H63" s="6"/>
      <c r="I63" s="2"/>
      <c r="J63" s="7">
        <f t="shared" si="46"/>
        <v>0</v>
      </c>
      <c r="K63" s="2"/>
      <c r="L63" s="6">
        <f t="shared" si="47"/>
        <v>1314.16</v>
      </c>
      <c r="M63" s="2"/>
      <c r="N63" s="7">
        <f t="shared" si="48"/>
        <v>0</v>
      </c>
      <c r="O63" s="11"/>
      <c r="P63" s="6">
        <v>2780.19</v>
      </c>
      <c r="Q63" s="2"/>
      <c r="R63" s="7">
        <f t="shared" si="49"/>
        <v>6.1596253076832759E-2</v>
      </c>
      <c r="S63" s="2"/>
      <c r="T63" s="6">
        <v>2299.7800000000002</v>
      </c>
      <c r="U63" s="2"/>
      <c r="V63" s="7">
        <f t="shared" si="50"/>
        <v>4.5873907533052621E-3</v>
      </c>
      <c r="W63" s="2"/>
      <c r="X63" s="6">
        <f t="shared" si="51"/>
        <v>480.40999999999985</v>
      </c>
      <c r="Y63" s="2"/>
      <c r="Z63" s="7">
        <f t="shared" si="52"/>
        <v>0.20889389419857543</v>
      </c>
    </row>
    <row r="64" spans="1:26" s="24" customFormat="1" hidden="1" outlineLevel="2" x14ac:dyDescent="0.25">
      <c r="A64" s="25"/>
      <c r="B64" s="11" t="str">
        <f>CONCATENATE("          ", "6283", " - ", "PLANT SERVICE")</f>
        <v xml:space="preserve">          6283 - PLANT SERVICE</v>
      </c>
      <c r="C64" s="11"/>
      <c r="D64" s="6"/>
      <c r="E64" s="2"/>
      <c r="F64" s="7">
        <f t="shared" si="45"/>
        <v>0</v>
      </c>
      <c r="G64" s="2"/>
      <c r="H64" s="6"/>
      <c r="I64" s="2"/>
      <c r="J64" s="7">
        <f t="shared" si="46"/>
        <v>0</v>
      </c>
      <c r="K64" s="2"/>
      <c r="L64" s="6">
        <f t="shared" si="47"/>
        <v>0</v>
      </c>
      <c r="M64" s="2"/>
      <c r="N64" s="7">
        <f t="shared" si="48"/>
        <v>0</v>
      </c>
      <c r="O64" s="11"/>
      <c r="P64" s="6"/>
      <c r="Q64" s="2"/>
      <c r="R64" s="7">
        <f t="shared" si="49"/>
        <v>0</v>
      </c>
      <c r="S64" s="2"/>
      <c r="T64" s="6">
        <v>246.2</v>
      </c>
      <c r="U64" s="2"/>
      <c r="V64" s="7">
        <f t="shared" si="50"/>
        <v>4.9109723689385741E-4</v>
      </c>
      <c r="W64" s="2"/>
      <c r="X64" s="6">
        <f t="shared" si="51"/>
        <v>-246.2</v>
      </c>
      <c r="Y64" s="2"/>
      <c r="Z64" s="7">
        <f t="shared" si="52"/>
        <v>-1</v>
      </c>
    </row>
    <row r="65" spans="1:26" s="24" customFormat="1" hidden="1" outlineLevel="2" x14ac:dyDescent="0.25">
      <c r="A65" s="25"/>
      <c r="B65" s="11" t="str">
        <f>CONCATENATE("          ", "6284", " - ", "TRASH REMOVAL EXPENSE")</f>
        <v xml:space="preserve">          6284 - TRASH REMOVAL EXPENSE</v>
      </c>
      <c r="C65" s="11"/>
      <c r="D65" s="6">
        <v>1000</v>
      </c>
      <c r="E65" s="2"/>
      <c r="F65" s="7">
        <f t="shared" si="45"/>
        <v>0</v>
      </c>
      <c r="G65" s="2"/>
      <c r="H65" s="6">
        <v>761</v>
      </c>
      <c r="I65" s="2"/>
      <c r="J65" s="7">
        <f t="shared" si="46"/>
        <v>1.5410386073709032E-2</v>
      </c>
      <c r="K65" s="2"/>
      <c r="L65" s="6">
        <f t="shared" si="47"/>
        <v>239</v>
      </c>
      <c r="M65" s="2"/>
      <c r="N65" s="7">
        <f t="shared" si="48"/>
        <v>0.31406044678055189</v>
      </c>
      <c r="O65" s="11"/>
      <c r="P65" s="6">
        <v>6761</v>
      </c>
      <c r="Q65" s="2"/>
      <c r="R65" s="7">
        <f t="shared" si="49"/>
        <v>0.1497927361268353</v>
      </c>
      <c r="S65" s="2"/>
      <c r="T65" s="6">
        <v>5319</v>
      </c>
      <c r="U65" s="2"/>
      <c r="V65" s="7">
        <f t="shared" si="50"/>
        <v>1.0609854602105718E-2</v>
      </c>
      <c r="W65" s="2"/>
      <c r="X65" s="6">
        <f t="shared" si="51"/>
        <v>1442</v>
      </c>
      <c r="Y65" s="2"/>
      <c r="Z65" s="7">
        <f t="shared" si="52"/>
        <v>0.2711035909005452</v>
      </c>
    </row>
    <row r="66" spans="1:26" s="24" customFormat="1" hidden="1" outlineLevel="2" x14ac:dyDescent="0.25">
      <c r="A66" s="25"/>
      <c r="B66" s="11" t="str">
        <f>CONCATENATE("          ", "6285", " - ", "JANITORIAL SERVICES")</f>
        <v xml:space="preserve">          6285 - JANITORIAL SERVICES</v>
      </c>
      <c r="C66" s="11"/>
      <c r="D66" s="6"/>
      <c r="E66" s="2"/>
      <c r="F66" s="7">
        <f t="shared" si="45"/>
        <v>0</v>
      </c>
      <c r="G66" s="2"/>
      <c r="H66" s="6">
        <v>4049.35</v>
      </c>
      <c r="I66" s="2"/>
      <c r="J66" s="7">
        <f t="shared" si="46"/>
        <v>8.2000061560543583E-2</v>
      </c>
      <c r="K66" s="2"/>
      <c r="L66" s="6">
        <f t="shared" si="47"/>
        <v>-4049.35</v>
      </c>
      <c r="M66" s="2"/>
      <c r="N66" s="7">
        <f t="shared" si="48"/>
        <v>-1</v>
      </c>
      <c r="O66" s="11"/>
      <c r="P66" s="6">
        <v>12770.81</v>
      </c>
      <c r="Q66" s="2"/>
      <c r="R66" s="7">
        <f t="shared" si="49"/>
        <v>0.28294254880283237</v>
      </c>
      <c r="S66" s="2"/>
      <c r="T66" s="6">
        <v>22595.05</v>
      </c>
      <c r="U66" s="2"/>
      <c r="V66" s="7">
        <f t="shared" si="50"/>
        <v>4.5070538677817032E-2</v>
      </c>
      <c r="W66" s="2"/>
      <c r="X66" s="6">
        <f t="shared" si="51"/>
        <v>-9824.24</v>
      </c>
      <c r="Y66" s="2"/>
      <c r="Z66" s="7">
        <f t="shared" si="52"/>
        <v>-0.43479611684860181</v>
      </c>
    </row>
    <row r="67" spans="1:26" s="24" customFormat="1" hidden="1" outlineLevel="2" x14ac:dyDescent="0.25">
      <c r="A67" s="25"/>
      <c r="B67" s="11" t="str">
        <f>CONCATENATE("          ", "6286", " - ", "LAUNDRY EXPENSE")</f>
        <v xml:space="preserve">          6286 - LAUNDRY EXPENSE</v>
      </c>
      <c r="C67" s="11"/>
      <c r="D67" s="6"/>
      <c r="E67" s="2"/>
      <c r="F67" s="7">
        <f t="shared" si="45"/>
        <v>0</v>
      </c>
      <c r="G67" s="2"/>
      <c r="H67" s="6">
        <v>368.46</v>
      </c>
      <c r="I67" s="2"/>
      <c r="J67" s="7">
        <f t="shared" si="46"/>
        <v>7.4613808839932051E-3</v>
      </c>
      <c r="K67" s="2"/>
      <c r="L67" s="6">
        <f t="shared" si="47"/>
        <v>-368.46</v>
      </c>
      <c r="M67" s="2"/>
      <c r="N67" s="7">
        <f t="shared" si="48"/>
        <v>-1</v>
      </c>
      <c r="O67" s="11"/>
      <c r="P67" s="6">
        <v>472.18</v>
      </c>
      <c r="Q67" s="2"/>
      <c r="R67" s="7">
        <f t="shared" si="49"/>
        <v>1.0461342130508667E-2</v>
      </c>
      <c r="S67" s="2"/>
      <c r="T67" s="6">
        <v>1823.6</v>
      </c>
      <c r="U67" s="2"/>
      <c r="V67" s="7">
        <f t="shared" si="50"/>
        <v>3.6375504516638442E-3</v>
      </c>
      <c r="W67" s="2"/>
      <c r="X67" s="6">
        <f t="shared" si="51"/>
        <v>-1351.4199999999998</v>
      </c>
      <c r="Y67" s="2"/>
      <c r="Z67" s="7">
        <f t="shared" si="52"/>
        <v>-0.74107260364114935</v>
      </c>
    </row>
    <row r="68" spans="1:26" s="26" customFormat="1" outlineLevel="1" collapsed="1" x14ac:dyDescent="0.25">
      <c r="A68" s="27"/>
      <c r="B68" s="13" t="str">
        <f>CONCATENATE("     ","Subscriptions &amp; Dues                              ")</f>
        <v xml:space="preserve">     Subscriptions &amp; Dues                              </v>
      </c>
      <c r="C68" s="13"/>
      <c r="D68" s="1">
        <f>SUM(OSRRefD22_13x_0)</f>
        <v>0</v>
      </c>
      <c r="E68" s="1"/>
      <c r="F68" s="5">
        <f t="shared" ref="F68:F70" si="53">IF(D$12=0,0,D68/D$12)</f>
        <v>0</v>
      </c>
      <c r="G68" s="1"/>
      <c r="H68" s="1">
        <f>SUM(OSRRefH22_13x_0)</f>
        <v>327.90999999999997</v>
      </c>
      <c r="I68" s="1"/>
      <c r="J68" s="5">
        <f t="shared" ref="J68:J70" si="54">IF(H$12=0,0,H68/H$12)</f>
        <v>6.6402361332850565E-3</v>
      </c>
      <c r="K68" s="1"/>
      <c r="L68" s="1">
        <f t="shared" ref="L68:L70" si="55">+D68-H68</f>
        <v>-327.90999999999997</v>
      </c>
      <c r="M68" s="1"/>
      <c r="N68" s="5">
        <f t="shared" ref="N68:N70" si="56">IF(H68=0,0,L68/H68)</f>
        <v>-1</v>
      </c>
      <c r="O68" s="13"/>
      <c r="P68" s="1">
        <f>SUM(OSRRefP22_13x_0)</f>
        <v>534.16999999999996</v>
      </c>
      <c r="Q68" s="1"/>
      <c r="R68" s="5">
        <f t="shared" ref="R68:R70" si="57">IF(P$12=0,0,P68/P$12)</f>
        <v>1.1834756079998759E-2</v>
      </c>
      <c r="S68" s="1"/>
      <c r="T68" s="1">
        <f>SUM(OSRRefT22_13x_0)</f>
        <v>2486.17</v>
      </c>
      <c r="U68" s="1"/>
      <c r="V68" s="5">
        <f t="shared" ref="V68:V70" si="58">IF(T$12=0,0,T68/T$12)</f>
        <v>4.9591844737952948E-3</v>
      </c>
      <c r="W68" s="1"/>
      <c r="X68" s="1">
        <f t="shared" ref="X68:X70" si="59">+P68-T68</f>
        <v>-1952</v>
      </c>
      <c r="Y68" s="1"/>
      <c r="Z68" s="5">
        <f t="shared" ref="Z68:Z70" si="60">IF(T68=0,0,X68/T68)</f>
        <v>-0.78514341336272253</v>
      </c>
    </row>
    <row r="69" spans="1:26" s="24" customFormat="1" hidden="1" outlineLevel="2" x14ac:dyDescent="0.25">
      <c r="A69" s="25"/>
      <c r="B69" s="11" t="str">
        <f>CONCATENATE("          ", "6258", " - ", "MEMBERSHIP DUES")</f>
        <v xml:space="preserve">          6258 - MEMBERSHIP DUES</v>
      </c>
      <c r="C69" s="11"/>
      <c r="D69" s="6"/>
      <c r="E69" s="2"/>
      <c r="F69" s="7">
        <f t="shared" si="53"/>
        <v>0</v>
      </c>
      <c r="G69" s="2"/>
      <c r="H69" s="6">
        <v>131.19999999999999</v>
      </c>
      <c r="I69" s="2"/>
      <c r="J69" s="7">
        <f t="shared" si="54"/>
        <v>2.6568234597511495E-3</v>
      </c>
      <c r="K69" s="2"/>
      <c r="L69" s="6">
        <f t="shared" si="55"/>
        <v>-131.19999999999999</v>
      </c>
      <c r="M69" s="2"/>
      <c r="N69" s="7">
        <f t="shared" si="56"/>
        <v>-1</v>
      </c>
      <c r="O69" s="11"/>
      <c r="P69" s="6"/>
      <c r="Q69" s="2"/>
      <c r="R69" s="7">
        <f t="shared" si="57"/>
        <v>0</v>
      </c>
      <c r="S69" s="2"/>
      <c r="T69" s="6">
        <v>1109.2</v>
      </c>
      <c r="U69" s="2"/>
      <c r="V69" s="7">
        <f t="shared" si="58"/>
        <v>2.2125306870945031E-3</v>
      </c>
      <c r="W69" s="2"/>
      <c r="X69" s="6">
        <f t="shared" si="59"/>
        <v>-1109.2</v>
      </c>
      <c r="Y69" s="2"/>
      <c r="Z69" s="7">
        <f t="shared" si="60"/>
        <v>-1</v>
      </c>
    </row>
    <row r="70" spans="1:26" s="24" customFormat="1" hidden="1" outlineLevel="2" x14ac:dyDescent="0.25">
      <c r="A70" s="25"/>
      <c r="B70" s="11" t="str">
        <f>CONCATENATE("          ", "6275", " - ", "SUBSCRIPTIONS")</f>
        <v xml:space="preserve">          6275 - SUBSCRIPTIONS</v>
      </c>
      <c r="C70" s="11"/>
      <c r="D70" s="6"/>
      <c r="E70" s="2"/>
      <c r="F70" s="7">
        <f t="shared" si="53"/>
        <v>0</v>
      </c>
      <c r="G70" s="2"/>
      <c r="H70" s="6">
        <v>196.71</v>
      </c>
      <c r="I70" s="2"/>
      <c r="J70" s="7">
        <f t="shared" si="54"/>
        <v>3.9834126735339079E-3</v>
      </c>
      <c r="K70" s="2"/>
      <c r="L70" s="6">
        <f t="shared" si="55"/>
        <v>-196.71</v>
      </c>
      <c r="M70" s="2"/>
      <c r="N70" s="7">
        <f t="shared" si="56"/>
        <v>-1</v>
      </c>
      <c r="O70" s="11"/>
      <c r="P70" s="6">
        <v>534.16999999999996</v>
      </c>
      <c r="Q70" s="2"/>
      <c r="R70" s="7">
        <f t="shared" si="57"/>
        <v>1.1834756079998759E-2</v>
      </c>
      <c r="S70" s="2"/>
      <c r="T70" s="6">
        <v>1376.97</v>
      </c>
      <c r="U70" s="2"/>
      <c r="V70" s="7">
        <f t="shared" si="58"/>
        <v>2.7466537867007917E-3</v>
      </c>
      <c r="W70" s="2"/>
      <c r="X70" s="6">
        <f t="shared" si="59"/>
        <v>-842.80000000000007</v>
      </c>
      <c r="Y70" s="2"/>
      <c r="Z70" s="7">
        <f t="shared" si="60"/>
        <v>-0.61206852727365157</v>
      </c>
    </row>
    <row r="71" spans="1:26" s="26" customFormat="1" outlineLevel="1" collapsed="1" x14ac:dyDescent="0.25">
      <c r="A71" s="27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SUM(OSRRefD22_14x_0)</f>
        <v>80.47</v>
      </c>
      <c r="E71" s="1"/>
      <c r="F71" s="5">
        <f t="shared" ref="F71:F79" si="61">IF(D$12=0,0,D71/D$12)</f>
        <v>0</v>
      </c>
      <c r="G71" s="1"/>
      <c r="H71" s="1">
        <f>SUM(OSRRefH22_14x_0)</f>
        <v>2781.96</v>
      </c>
      <c r="I71" s="1"/>
      <c r="J71" s="5">
        <f t="shared" ref="J71:J79" si="62">IF(H$12=0,0,H71/H$12)</f>
        <v>5.6335187439705094E-2</v>
      </c>
      <c r="K71" s="1"/>
      <c r="L71" s="1">
        <f t="shared" ref="L71:L79" si="63">+D71-H71</f>
        <v>-2701.4900000000002</v>
      </c>
      <c r="M71" s="1"/>
      <c r="N71" s="5">
        <f t="shared" ref="N71:N79" si="64">IF(H71=0,0,L71/H71)</f>
        <v>-0.97107435045795054</v>
      </c>
      <c r="O71" s="13"/>
      <c r="P71" s="1">
        <f>SUM(OSRRefP22_14x_0)</f>
        <v>7585.83</v>
      </c>
      <c r="Q71" s="1"/>
      <c r="R71" s="5">
        <f t="shared" ref="R71:R79" si="65">IF(P$12=0,0,P71/P$12)</f>
        <v>0.16806718406937304</v>
      </c>
      <c r="S71" s="1"/>
      <c r="T71" s="1">
        <f>SUM(OSRRefT22_14x_0)</f>
        <v>17937.330000000005</v>
      </c>
      <c r="U71" s="1"/>
      <c r="V71" s="5">
        <f t="shared" ref="V71:V79" si="66">IF(T$12=0,0,T71/T$12)</f>
        <v>3.57797449238558E-2</v>
      </c>
      <c r="W71" s="1"/>
      <c r="X71" s="1">
        <f t="shared" ref="X71:X79" si="67">+P71-T71</f>
        <v>-10351.500000000005</v>
      </c>
      <c r="Y71" s="1"/>
      <c r="Z71" s="5">
        <f t="shared" ref="Z71:Z79" si="68">IF(T71=0,0,X71/T71)</f>
        <v>-0.57709257732338104</v>
      </c>
    </row>
    <row r="72" spans="1:26" s="24" customFormat="1" hidden="1" outlineLevel="2" x14ac:dyDescent="0.25">
      <c r="A72" s="25"/>
      <c r="B72" s="11" t="str">
        <f>CONCATENATE("          ", "6234", " - ", "EXPENDABLE SUPPLIES &amp; EQUIPMEN")</f>
        <v xml:space="preserve">          6234 - EXPENDABLE SUPPLIES &amp; EQUIPMEN</v>
      </c>
      <c r="C72" s="11"/>
      <c r="D72" s="6"/>
      <c r="E72" s="2"/>
      <c r="F72" s="7">
        <f t="shared" si="61"/>
        <v>0</v>
      </c>
      <c r="G72" s="2"/>
      <c r="H72" s="6">
        <v>1008.79</v>
      </c>
      <c r="I72" s="2"/>
      <c r="J72" s="7">
        <f t="shared" si="62"/>
        <v>2.0428177880810687E-2</v>
      </c>
      <c r="K72" s="2"/>
      <c r="L72" s="6">
        <f t="shared" si="63"/>
        <v>-1008.79</v>
      </c>
      <c r="M72" s="2"/>
      <c r="N72" s="7">
        <f t="shared" si="64"/>
        <v>-1</v>
      </c>
      <c r="O72" s="11"/>
      <c r="P72" s="6">
        <v>310.91000000000003</v>
      </c>
      <c r="Q72" s="2"/>
      <c r="R72" s="7">
        <f t="shared" si="65"/>
        <v>6.8883389423449737E-3</v>
      </c>
      <c r="S72" s="2"/>
      <c r="T72" s="6">
        <v>1076.51</v>
      </c>
      <c r="U72" s="2"/>
      <c r="V72" s="7">
        <f t="shared" si="66"/>
        <v>2.1473236656726503E-3</v>
      </c>
      <c r="W72" s="2"/>
      <c r="X72" s="6">
        <f t="shared" si="67"/>
        <v>-765.59999999999991</v>
      </c>
      <c r="Y72" s="2"/>
      <c r="Z72" s="7">
        <f t="shared" si="68"/>
        <v>-0.71118707675729897</v>
      </c>
    </row>
    <row r="73" spans="1:26" s="24" customFormat="1" hidden="1" outlineLevel="2" x14ac:dyDescent="0.25">
      <c r="A73" s="25"/>
      <c r="B73" s="11" t="str">
        <f>CONCATENATE("          ", "6235", " - ", "COVID-19 EXPENSES")</f>
        <v xml:space="preserve">          6235 - COVID-19 EXPENSES</v>
      </c>
      <c r="C73" s="11"/>
      <c r="D73" s="6"/>
      <c r="E73" s="2"/>
      <c r="F73" s="7">
        <f t="shared" si="61"/>
        <v>0</v>
      </c>
      <c r="G73" s="2"/>
      <c r="H73" s="6"/>
      <c r="I73" s="2"/>
      <c r="J73" s="7">
        <f t="shared" si="62"/>
        <v>0</v>
      </c>
      <c r="K73" s="2"/>
      <c r="L73" s="6">
        <f t="shared" si="63"/>
        <v>0</v>
      </c>
      <c r="M73" s="2"/>
      <c r="N73" s="7">
        <f t="shared" si="64"/>
        <v>0</v>
      </c>
      <c r="O73" s="11"/>
      <c r="P73" s="6">
        <v>6753.97</v>
      </c>
      <c r="Q73" s="2"/>
      <c r="R73" s="7">
        <f t="shared" si="65"/>
        <v>0.14963698358505576</v>
      </c>
      <c r="S73" s="2"/>
      <c r="T73" s="6"/>
      <c r="U73" s="2"/>
      <c r="V73" s="7">
        <f t="shared" si="66"/>
        <v>0</v>
      </c>
      <c r="W73" s="2"/>
      <c r="X73" s="6">
        <f t="shared" si="67"/>
        <v>6753.97</v>
      </c>
      <c r="Y73" s="2"/>
      <c r="Z73" s="7">
        <f t="shared" si="68"/>
        <v>0</v>
      </c>
    </row>
    <row r="74" spans="1:26" s="24" customFormat="1" hidden="1" outlineLevel="2" x14ac:dyDescent="0.25">
      <c r="A74" s="25"/>
      <c r="B74" s="11" t="str">
        <f>CONCATENATE("          ", "6237", " - ", "JANITORIAL SUPPLIES")</f>
        <v xml:space="preserve">          6237 - JANITORIAL SUPPLIES</v>
      </c>
      <c r="C74" s="11"/>
      <c r="D74" s="6"/>
      <c r="E74" s="2"/>
      <c r="F74" s="7">
        <f t="shared" si="61"/>
        <v>0</v>
      </c>
      <c r="G74" s="2"/>
      <c r="H74" s="6">
        <v>819.57</v>
      </c>
      <c r="I74" s="2"/>
      <c r="J74" s="7">
        <f t="shared" si="62"/>
        <v>1.6596439046556784E-2</v>
      </c>
      <c r="K74" s="2"/>
      <c r="L74" s="6">
        <f t="shared" si="63"/>
        <v>-819.57</v>
      </c>
      <c r="M74" s="2"/>
      <c r="N74" s="7">
        <f t="shared" si="64"/>
        <v>-1</v>
      </c>
      <c r="O74" s="11"/>
      <c r="P74" s="6">
        <v>286.91000000000003</v>
      </c>
      <c r="Q74" s="2"/>
      <c r="R74" s="7">
        <f t="shared" si="65"/>
        <v>6.3566090699822986E-3</v>
      </c>
      <c r="S74" s="2"/>
      <c r="T74" s="6">
        <v>6528.27</v>
      </c>
      <c r="U74" s="2"/>
      <c r="V74" s="7">
        <f t="shared" si="66"/>
        <v>1.3021995770499849E-2</v>
      </c>
      <c r="W74" s="2"/>
      <c r="X74" s="6">
        <f t="shared" si="67"/>
        <v>-6241.3600000000006</v>
      </c>
      <c r="Y74" s="2"/>
      <c r="Z74" s="7">
        <f t="shared" si="68"/>
        <v>-0.95605114371801414</v>
      </c>
    </row>
    <row r="75" spans="1:26" s="24" customFormat="1" hidden="1" outlineLevel="2" x14ac:dyDescent="0.25">
      <c r="A75" s="25"/>
      <c r="B75" s="11" t="str">
        <f>CONCATENATE("          ", "6239", " - ", "KITCHEN SUPPLIES")</f>
        <v xml:space="preserve">          6239 - KITCHEN SUPPLIES</v>
      </c>
      <c r="C75" s="11"/>
      <c r="D75" s="6"/>
      <c r="E75" s="2"/>
      <c r="F75" s="7">
        <f t="shared" si="61"/>
        <v>0</v>
      </c>
      <c r="G75" s="2"/>
      <c r="H75" s="6"/>
      <c r="I75" s="2"/>
      <c r="J75" s="7">
        <f t="shared" si="62"/>
        <v>0</v>
      </c>
      <c r="K75" s="2"/>
      <c r="L75" s="6">
        <f t="shared" si="63"/>
        <v>0</v>
      </c>
      <c r="M75" s="2"/>
      <c r="N75" s="7">
        <f t="shared" si="64"/>
        <v>0</v>
      </c>
      <c r="O75" s="11"/>
      <c r="P75" s="6">
        <v>19.829999999999998</v>
      </c>
      <c r="Q75" s="2"/>
      <c r="R75" s="7">
        <f t="shared" si="65"/>
        <v>4.3934180703966041E-4</v>
      </c>
      <c r="S75" s="2"/>
      <c r="T75" s="6">
        <v>231.26</v>
      </c>
      <c r="U75" s="2"/>
      <c r="V75" s="7">
        <f t="shared" si="66"/>
        <v>4.612962916493642E-4</v>
      </c>
      <c r="W75" s="2"/>
      <c r="X75" s="6">
        <f t="shared" si="67"/>
        <v>-211.43</v>
      </c>
      <c r="Y75" s="2"/>
      <c r="Z75" s="7">
        <f t="shared" si="68"/>
        <v>-0.91425235665484739</v>
      </c>
    </row>
    <row r="76" spans="1:26" s="24" customFormat="1" hidden="1" outlineLevel="2" x14ac:dyDescent="0.25">
      <c r="A76" s="25"/>
      <c r="B76" s="11" t="str">
        <f>CONCATENATE("          ", "6241", " - ", "OFFICE EXPENSE")</f>
        <v xml:space="preserve">          6241 - OFFICE EXPENSE</v>
      </c>
      <c r="C76" s="11"/>
      <c r="D76" s="6">
        <v>14.98</v>
      </c>
      <c r="E76" s="2"/>
      <c r="F76" s="7">
        <f t="shared" si="61"/>
        <v>0</v>
      </c>
      <c r="G76" s="2"/>
      <c r="H76" s="6">
        <v>51.44</v>
      </c>
      <c r="I76" s="2"/>
      <c r="J76" s="7">
        <f t="shared" si="62"/>
        <v>1.0416691979390179E-3</v>
      </c>
      <c r="K76" s="2"/>
      <c r="L76" s="6">
        <f t="shared" si="63"/>
        <v>-36.459999999999994</v>
      </c>
      <c r="M76" s="2"/>
      <c r="N76" s="7">
        <f t="shared" si="64"/>
        <v>-0.70878693623639177</v>
      </c>
      <c r="O76" s="11"/>
      <c r="P76" s="6">
        <v>148.72</v>
      </c>
      <c r="Q76" s="2"/>
      <c r="R76" s="7">
        <f t="shared" si="65"/>
        <v>3.2949527757407111E-3</v>
      </c>
      <c r="S76" s="2"/>
      <c r="T76" s="6">
        <v>5626.26</v>
      </c>
      <c r="U76" s="2"/>
      <c r="V76" s="7">
        <f t="shared" si="66"/>
        <v>1.1222748741049693E-2</v>
      </c>
      <c r="W76" s="2"/>
      <c r="X76" s="6">
        <f t="shared" si="67"/>
        <v>-5477.54</v>
      </c>
      <c r="Y76" s="2"/>
      <c r="Z76" s="7">
        <f t="shared" si="68"/>
        <v>-0.973566809923466</v>
      </c>
    </row>
    <row r="77" spans="1:26" s="24" customFormat="1" hidden="1" outlineLevel="2" x14ac:dyDescent="0.25">
      <c r="A77" s="25"/>
      <c r="B77" s="11" t="str">
        <f>CONCATENATE("          ", "6243", " - ", "PAPER SUPPLIES")</f>
        <v xml:space="preserve">          6243 - PAPER SUPPLIES</v>
      </c>
      <c r="C77" s="11"/>
      <c r="D77" s="6">
        <v>65.489999999999995</v>
      </c>
      <c r="E77" s="2"/>
      <c r="F77" s="7">
        <f t="shared" si="61"/>
        <v>0</v>
      </c>
      <c r="G77" s="2"/>
      <c r="H77" s="6">
        <v>842.16</v>
      </c>
      <c r="I77" s="2"/>
      <c r="J77" s="7">
        <f t="shared" si="62"/>
        <v>1.7053890585853874E-2</v>
      </c>
      <c r="K77" s="2"/>
      <c r="L77" s="6">
        <f t="shared" si="63"/>
        <v>-776.67</v>
      </c>
      <c r="M77" s="2"/>
      <c r="N77" s="7">
        <f t="shared" si="64"/>
        <v>-0.92223567968082076</v>
      </c>
      <c r="O77" s="11"/>
      <c r="P77" s="6">
        <v>65.489999999999995</v>
      </c>
      <c r="Q77" s="2"/>
      <c r="R77" s="7">
        <f t="shared" si="65"/>
        <v>1.45095788920965E-3</v>
      </c>
      <c r="S77" s="2"/>
      <c r="T77" s="6">
        <v>3989</v>
      </c>
      <c r="U77" s="2"/>
      <c r="V77" s="7">
        <f t="shared" si="66"/>
        <v>7.9568922744500305E-3</v>
      </c>
      <c r="W77" s="2"/>
      <c r="X77" s="6">
        <f t="shared" si="67"/>
        <v>-3923.51</v>
      </c>
      <c r="Y77" s="2"/>
      <c r="Z77" s="7">
        <f t="shared" si="68"/>
        <v>-0.98358235146653306</v>
      </c>
    </row>
    <row r="78" spans="1:26" s="24" customFormat="1" hidden="1" outlineLevel="2" x14ac:dyDescent="0.25">
      <c r="A78" s="25"/>
      <c r="B78" s="11" t="str">
        <f>CONCATENATE("          ", "6247", " - ", "STORE SUPPLIES")</f>
        <v xml:space="preserve">          6247 - STORE SUPPLIES</v>
      </c>
      <c r="C78" s="11"/>
      <c r="D78" s="6"/>
      <c r="E78" s="2"/>
      <c r="F78" s="7">
        <f t="shared" si="61"/>
        <v>0</v>
      </c>
      <c r="G78" s="2"/>
      <c r="H78" s="6">
        <v>60</v>
      </c>
      <c r="I78" s="2"/>
      <c r="J78" s="7">
        <f t="shared" si="62"/>
        <v>1.2150107285447331E-3</v>
      </c>
      <c r="K78" s="2"/>
      <c r="L78" s="6">
        <f t="shared" si="63"/>
        <v>-60</v>
      </c>
      <c r="M78" s="2"/>
      <c r="N78" s="7">
        <f t="shared" si="64"/>
        <v>-1</v>
      </c>
      <c r="O78" s="11"/>
      <c r="P78" s="6"/>
      <c r="Q78" s="2"/>
      <c r="R78" s="7">
        <f t="shared" si="65"/>
        <v>0</v>
      </c>
      <c r="S78" s="2"/>
      <c r="T78" s="6">
        <v>470.56</v>
      </c>
      <c r="U78" s="2"/>
      <c r="V78" s="7">
        <f t="shared" si="66"/>
        <v>9.3863003977568468E-4</v>
      </c>
      <c r="W78" s="2"/>
      <c r="X78" s="6">
        <f t="shared" si="67"/>
        <v>-470.56</v>
      </c>
      <c r="Y78" s="2"/>
      <c r="Z78" s="7">
        <f t="shared" si="68"/>
        <v>-1</v>
      </c>
    </row>
    <row r="79" spans="1:26" s="24" customFormat="1" hidden="1" outlineLevel="2" x14ac:dyDescent="0.25">
      <c r="A79" s="25"/>
      <c r="B79" s="11" t="str">
        <f>CONCATENATE("          ", "6248", " - ", "UNIFORMS")</f>
        <v xml:space="preserve">          6248 - UNIFORMS</v>
      </c>
      <c r="C79" s="11"/>
      <c r="D79" s="6"/>
      <c r="E79" s="2"/>
      <c r="F79" s="7">
        <f t="shared" si="61"/>
        <v>0</v>
      </c>
      <c r="G79" s="2"/>
      <c r="H79" s="6"/>
      <c r="I79" s="2"/>
      <c r="J79" s="7">
        <f t="shared" si="62"/>
        <v>0</v>
      </c>
      <c r="K79" s="2"/>
      <c r="L79" s="6">
        <f t="shared" si="63"/>
        <v>0</v>
      </c>
      <c r="M79" s="2"/>
      <c r="N79" s="7">
        <f t="shared" si="64"/>
        <v>0</v>
      </c>
      <c r="O79" s="11"/>
      <c r="P79" s="6"/>
      <c r="Q79" s="2"/>
      <c r="R79" s="7">
        <f t="shared" si="65"/>
        <v>0</v>
      </c>
      <c r="S79" s="2"/>
      <c r="T79" s="6">
        <v>15.47</v>
      </c>
      <c r="U79" s="2"/>
      <c r="V79" s="7">
        <f t="shared" si="66"/>
        <v>3.0858140758521424E-5</v>
      </c>
      <c r="W79" s="2"/>
      <c r="X79" s="6">
        <f t="shared" si="67"/>
        <v>-15.47</v>
      </c>
      <c r="Y79" s="2"/>
      <c r="Z79" s="7">
        <f t="shared" si="68"/>
        <v>-1</v>
      </c>
    </row>
    <row r="80" spans="1:26" s="26" customFormat="1" outlineLevel="1" collapsed="1" x14ac:dyDescent="0.25">
      <c r="A80" s="27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SUM(OSRRefD22_15x_0)</f>
        <v>233</v>
      </c>
      <c r="E80" s="1"/>
      <c r="F80" s="5">
        <f t="shared" ref="F80:F85" si="69">IF(D$12=0,0,D80/D$12)</f>
        <v>0</v>
      </c>
      <c r="G80" s="1"/>
      <c r="H80" s="1">
        <f>SUM(OSRRefH22_15x_0)</f>
        <v>134.19999999999999</v>
      </c>
      <c r="I80" s="1"/>
      <c r="J80" s="5">
        <f t="shared" ref="J80:J85" si="70">IF(H$12=0,0,H80/H$12)</f>
        <v>2.7175739961783859E-3</v>
      </c>
      <c r="K80" s="1"/>
      <c r="L80" s="1">
        <f t="shared" ref="L80:L85" si="71">+D80-H80</f>
        <v>98.800000000000011</v>
      </c>
      <c r="M80" s="1"/>
      <c r="N80" s="5">
        <f t="shared" ref="N80:N85" si="72">IF(H80=0,0,L80/H80)</f>
        <v>0.73621460506706426</v>
      </c>
      <c r="O80" s="13"/>
      <c r="P80" s="1">
        <f>SUM(OSRRefP22_15x_0)</f>
        <v>1677</v>
      </c>
      <c r="Q80" s="1"/>
      <c r="R80" s="5">
        <f t="shared" ref="R80:R85" si="73">IF(P$12=0,0,P80/P$12)</f>
        <v>3.7154624831341937E-2</v>
      </c>
      <c r="S80" s="1"/>
      <c r="T80" s="1">
        <f>SUM(OSRRefT22_15x_0)</f>
        <v>986.2</v>
      </c>
      <c r="U80" s="1"/>
      <c r="V80" s="5">
        <f t="shared" ref="V80:V85" si="74">IF(T$12=0,0,T80/T$12)</f>
        <v>1.9671815394992779E-3</v>
      </c>
      <c r="W80" s="1"/>
      <c r="X80" s="1">
        <f t="shared" ref="X80:X85" si="75">+P80-T80</f>
        <v>690.8</v>
      </c>
      <c r="Y80" s="1"/>
      <c r="Z80" s="5">
        <f t="shared" ref="Z80:Z85" si="76">IF(T80=0,0,X80/T80)</f>
        <v>0.70046643682822951</v>
      </c>
    </row>
    <row r="81" spans="1:26" s="24" customFormat="1" hidden="1" outlineLevel="2" x14ac:dyDescent="0.25">
      <c r="A81" s="25"/>
      <c r="B81" s="11" t="str">
        <f>CONCATENATE("          ", "6309", " - ", "TELEPHONE")</f>
        <v xml:space="preserve">          6309 - TELEPHONE</v>
      </c>
      <c r="C81" s="11"/>
      <c r="D81" s="6">
        <v>233</v>
      </c>
      <c r="E81" s="2"/>
      <c r="F81" s="7">
        <f t="shared" si="69"/>
        <v>0</v>
      </c>
      <c r="G81" s="2"/>
      <c r="H81" s="6">
        <v>134.19999999999999</v>
      </c>
      <c r="I81" s="2"/>
      <c r="J81" s="7">
        <f t="shared" si="70"/>
        <v>2.7175739961783859E-3</v>
      </c>
      <c r="K81" s="2"/>
      <c r="L81" s="6">
        <f t="shared" si="71"/>
        <v>98.800000000000011</v>
      </c>
      <c r="M81" s="2"/>
      <c r="N81" s="7">
        <f t="shared" si="72"/>
        <v>0.73621460506706426</v>
      </c>
      <c r="O81" s="11"/>
      <c r="P81" s="6">
        <v>1677</v>
      </c>
      <c r="Q81" s="2"/>
      <c r="R81" s="7">
        <f t="shared" si="73"/>
        <v>3.7154624831341937E-2</v>
      </c>
      <c r="S81" s="2"/>
      <c r="T81" s="6">
        <v>986.2</v>
      </c>
      <c r="U81" s="2"/>
      <c r="V81" s="7">
        <f t="shared" si="74"/>
        <v>1.9671815394992779E-3</v>
      </c>
      <c r="W81" s="2"/>
      <c r="X81" s="6">
        <f t="shared" si="75"/>
        <v>690.8</v>
      </c>
      <c r="Y81" s="2"/>
      <c r="Z81" s="7">
        <f t="shared" si="76"/>
        <v>0.70046643682822951</v>
      </c>
    </row>
    <row r="82" spans="1:26" s="26" customFormat="1" outlineLevel="1" collapsed="1" x14ac:dyDescent="0.25">
      <c r="A82" s="27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SUM(OSRRefD22_16x_0)</f>
        <v>0</v>
      </c>
      <c r="E82" s="1"/>
      <c r="F82" s="5">
        <f t="shared" si="69"/>
        <v>0</v>
      </c>
      <c r="G82" s="1"/>
      <c r="H82" s="1">
        <f>SUM(OSRRefH22_16x_0)</f>
        <v>0</v>
      </c>
      <c r="I82" s="1"/>
      <c r="J82" s="5">
        <f t="shared" si="70"/>
        <v>0</v>
      </c>
      <c r="K82" s="1"/>
      <c r="L82" s="1">
        <f t="shared" si="71"/>
        <v>0</v>
      </c>
      <c r="M82" s="1"/>
      <c r="N82" s="5">
        <f t="shared" si="72"/>
        <v>0</v>
      </c>
      <c r="O82" s="13"/>
      <c r="P82" s="1">
        <f>SUM(OSRRefP22_16x_0)</f>
        <v>400</v>
      </c>
      <c r="Q82" s="1"/>
      <c r="R82" s="5">
        <f t="shared" si="73"/>
        <v>8.8621645393779213E-3</v>
      </c>
      <c r="S82" s="1"/>
      <c r="T82" s="1">
        <f>SUM(OSRRefT22_16x_0)</f>
        <v>164</v>
      </c>
      <c r="U82" s="1"/>
      <c r="V82" s="5">
        <f t="shared" si="74"/>
        <v>3.2713219679363374E-4</v>
      </c>
      <c r="W82" s="1"/>
      <c r="X82" s="1">
        <f t="shared" si="75"/>
        <v>236</v>
      </c>
      <c r="Y82" s="1"/>
      <c r="Z82" s="5">
        <f t="shared" si="76"/>
        <v>1.4390243902439024</v>
      </c>
    </row>
    <row r="83" spans="1:26" s="24" customFormat="1" hidden="1" outlineLevel="2" x14ac:dyDescent="0.25">
      <c r="A83" s="25"/>
      <c r="B83" s="11" t="str">
        <f>CONCATENATE("          ", "6376", " - ", "TRAINING")</f>
        <v xml:space="preserve">          6376 - TRAINING</v>
      </c>
      <c r="C83" s="11"/>
      <c r="D83" s="6"/>
      <c r="E83" s="2"/>
      <c r="F83" s="7">
        <f t="shared" si="69"/>
        <v>0</v>
      </c>
      <c r="G83" s="2"/>
      <c r="H83" s="6"/>
      <c r="I83" s="2"/>
      <c r="J83" s="7">
        <f t="shared" si="70"/>
        <v>0</v>
      </c>
      <c r="K83" s="2"/>
      <c r="L83" s="6">
        <f t="shared" si="71"/>
        <v>0</v>
      </c>
      <c r="M83" s="2"/>
      <c r="N83" s="7">
        <f t="shared" si="72"/>
        <v>0</v>
      </c>
      <c r="O83" s="11"/>
      <c r="P83" s="6">
        <v>400</v>
      </c>
      <c r="Q83" s="2"/>
      <c r="R83" s="7">
        <f t="shared" si="73"/>
        <v>8.8621645393779213E-3</v>
      </c>
      <c r="S83" s="2"/>
      <c r="T83" s="6">
        <v>164</v>
      </c>
      <c r="U83" s="2"/>
      <c r="V83" s="7">
        <f t="shared" si="74"/>
        <v>3.2713219679363374E-4</v>
      </c>
      <c r="W83" s="2"/>
      <c r="X83" s="6">
        <f t="shared" si="75"/>
        <v>236</v>
      </c>
      <c r="Y83" s="2"/>
      <c r="Z83" s="7">
        <f t="shared" si="76"/>
        <v>1.4390243902439024</v>
      </c>
    </row>
    <row r="84" spans="1:26" s="26" customFormat="1" outlineLevel="1" collapsed="1" x14ac:dyDescent="0.25">
      <c r="A84" s="27"/>
      <c r="B84" s="13" t="str">
        <f>CONCATENATE("     ","Utilities                                         ")</f>
        <v xml:space="preserve">     Utilities                                         </v>
      </c>
      <c r="C84" s="13"/>
      <c r="D84" s="1">
        <f>SUM(OSRRefD22_17x_0)</f>
        <v>2312</v>
      </c>
      <c r="E84" s="1"/>
      <c r="F84" s="5">
        <f t="shared" si="69"/>
        <v>0</v>
      </c>
      <c r="G84" s="1"/>
      <c r="H84" s="1">
        <f>SUM(OSRRefH22_17x_0)</f>
        <v>2312</v>
      </c>
      <c r="I84" s="1"/>
      <c r="J84" s="5">
        <f t="shared" si="70"/>
        <v>4.6818413406590383E-2</v>
      </c>
      <c r="K84" s="1"/>
      <c r="L84" s="1">
        <f t="shared" si="71"/>
        <v>0</v>
      </c>
      <c r="M84" s="1"/>
      <c r="N84" s="5">
        <f t="shared" si="72"/>
        <v>0</v>
      </c>
      <c r="O84" s="13"/>
      <c r="P84" s="1">
        <f>SUM(OSRRefP22_17x_0)</f>
        <v>16136</v>
      </c>
      <c r="Q84" s="1"/>
      <c r="R84" s="5">
        <f t="shared" si="73"/>
        <v>0.35749971751850534</v>
      </c>
      <c r="S84" s="1"/>
      <c r="T84" s="1">
        <f>SUM(OSRRefT22_17x_0)</f>
        <v>15524</v>
      </c>
      <c r="U84" s="1"/>
      <c r="V84" s="5">
        <f t="shared" si="74"/>
        <v>3.096585501844128E-2</v>
      </c>
      <c r="W84" s="1"/>
      <c r="X84" s="1">
        <f t="shared" si="75"/>
        <v>612</v>
      </c>
      <c r="Y84" s="1"/>
      <c r="Z84" s="5">
        <f t="shared" si="76"/>
        <v>3.9422829167740273E-2</v>
      </c>
    </row>
    <row r="85" spans="1:26" s="24" customFormat="1" hidden="1" outlineLevel="2" x14ac:dyDescent="0.25">
      <c r="A85" s="25"/>
      <c r="B85" s="11" t="str">
        <f>CONCATENATE("          ", "6274", " - ", "UTILITIES")</f>
        <v xml:space="preserve">          6274 - UTILITIES</v>
      </c>
      <c r="C85" s="11"/>
      <c r="D85" s="6">
        <v>2312</v>
      </c>
      <c r="E85" s="2"/>
      <c r="F85" s="7">
        <f t="shared" si="69"/>
        <v>0</v>
      </c>
      <c r="G85" s="2"/>
      <c r="H85" s="6">
        <v>2312</v>
      </c>
      <c r="I85" s="2"/>
      <c r="J85" s="7">
        <f t="shared" si="70"/>
        <v>4.6818413406590383E-2</v>
      </c>
      <c r="K85" s="2"/>
      <c r="L85" s="6">
        <f t="shared" si="71"/>
        <v>0</v>
      </c>
      <c r="M85" s="2"/>
      <c r="N85" s="7">
        <f t="shared" si="72"/>
        <v>0</v>
      </c>
      <c r="O85" s="11"/>
      <c r="P85" s="6">
        <v>16136</v>
      </c>
      <c r="Q85" s="2"/>
      <c r="R85" s="7">
        <f t="shared" si="73"/>
        <v>0.35749971751850534</v>
      </c>
      <c r="S85" s="2"/>
      <c r="T85" s="6">
        <v>15524</v>
      </c>
      <c r="U85" s="2"/>
      <c r="V85" s="7">
        <f t="shared" si="74"/>
        <v>3.096585501844128E-2</v>
      </c>
      <c r="W85" s="2"/>
      <c r="X85" s="6">
        <f t="shared" si="75"/>
        <v>612</v>
      </c>
      <c r="Y85" s="2"/>
      <c r="Z85" s="7">
        <f t="shared" si="76"/>
        <v>3.9422829167740273E-2</v>
      </c>
    </row>
    <row r="86" spans="1:26" s="61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25">
      <c r="A87" s="10"/>
      <c r="B87" s="29" t="s">
        <v>0</v>
      </c>
      <c r="C87" s="10"/>
      <c r="D87" s="4">
        <f>SUM(OSRRefD25x_0)</f>
        <v>0</v>
      </c>
      <c r="E87" s="4"/>
      <c r="F87" s="12">
        <f t="shared" ref="F87:F88" si="77">IF(D$12=0,0,D87/D$12)</f>
        <v>0</v>
      </c>
      <c r="G87" s="4"/>
      <c r="H87" s="4">
        <f>SUM(OSRRefH25x_0)</f>
        <v>0</v>
      </c>
      <c r="I87" s="4"/>
      <c r="J87" s="12">
        <f t="shared" ref="J87:J88" si="78">IF(H$12=0,0,H87/H$12)</f>
        <v>0</v>
      </c>
      <c r="K87" s="4"/>
      <c r="L87" s="4">
        <f t="shared" ref="L87:L88" si="79">+D87-H87</f>
        <v>0</v>
      </c>
      <c r="M87" s="4"/>
      <c r="N87" s="12">
        <f t="shared" ref="N87:N88" si="80">IF(H87=0,0,L87/H87)</f>
        <v>0</v>
      </c>
      <c r="O87" s="10"/>
      <c r="P87" s="4">
        <f>SUM(OSRRefP25x_0)</f>
        <v>0</v>
      </c>
      <c r="Q87" s="4"/>
      <c r="R87" s="12">
        <f t="shared" ref="R87:R88" si="81">IF(P$12=0,0,P87/P$12)</f>
        <v>0</v>
      </c>
      <c r="S87" s="4"/>
      <c r="T87" s="4">
        <f>SUM(OSRRefT25x_0)</f>
        <v>68.760000000000005</v>
      </c>
      <c r="U87" s="4"/>
      <c r="V87" s="12">
        <f t="shared" ref="V87:V88" si="82">IF(T$12=0,0,T87/T$12)</f>
        <v>1.3715615763128204E-4</v>
      </c>
      <c r="W87" s="4"/>
      <c r="X87" s="4">
        <f t="shared" ref="X87:X88" si="83">+P87-T87</f>
        <v>-68.760000000000005</v>
      </c>
      <c r="Y87" s="4"/>
      <c r="Z87" s="12">
        <f t="shared" ref="Z87:Z88" si="84">IF(T87=0,0,X87/T87)</f>
        <v>-1</v>
      </c>
    </row>
    <row r="88" spans="1:26" s="24" customFormat="1" hidden="1" outlineLevel="1" x14ac:dyDescent="0.25">
      <c r="A88" s="44"/>
      <c r="B88" s="11" t="str">
        <f>CONCATENATE("          ", "9150", " - ", "MISC. INCOME")</f>
        <v xml:space="preserve">          9150 - MISC. INCOME</v>
      </c>
      <c r="C88" s="11"/>
      <c r="D88" s="2">
        <f>0</f>
        <v>0</v>
      </c>
      <c r="E88" s="2"/>
      <c r="F88" s="19">
        <f t="shared" si="77"/>
        <v>0</v>
      </c>
      <c r="G88" s="2"/>
      <c r="H88" s="2">
        <f>0</f>
        <v>0</v>
      </c>
      <c r="I88" s="2"/>
      <c r="J88" s="19">
        <f t="shared" si="78"/>
        <v>0</v>
      </c>
      <c r="K88" s="2"/>
      <c r="L88" s="2">
        <f t="shared" si="79"/>
        <v>0</v>
      </c>
      <c r="M88" s="2"/>
      <c r="N88" s="19">
        <f t="shared" si="80"/>
        <v>0</v>
      </c>
      <c r="O88" s="11"/>
      <c r="P88" s="2">
        <f>0</f>
        <v>0</v>
      </c>
      <c r="Q88" s="2"/>
      <c r="R88" s="19">
        <f t="shared" si="81"/>
        <v>0</v>
      </c>
      <c r="S88" s="2"/>
      <c r="T88" s="2">
        <f>--68.76</f>
        <v>68.760000000000005</v>
      </c>
      <c r="U88" s="2"/>
      <c r="V88" s="19">
        <f t="shared" si="82"/>
        <v>1.3715615763128204E-4</v>
      </c>
      <c r="W88" s="2"/>
      <c r="X88" s="2">
        <f t="shared" si="83"/>
        <v>-68.760000000000005</v>
      </c>
      <c r="Y88" s="2"/>
      <c r="Z88" s="19">
        <f t="shared" si="84"/>
        <v>-1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8" t="s">
        <v>3</v>
      </c>
      <c r="C90" s="28"/>
      <c r="D90" s="20">
        <f>+D20-D22+D87</f>
        <v>-59314.130000000005</v>
      </c>
      <c r="E90" s="14"/>
      <c r="F90" s="22">
        <f>IF(D$12=0,0,D90/D$12)</f>
        <v>0</v>
      </c>
      <c r="G90" s="14"/>
      <c r="H90" s="20">
        <f>+H20-H22+H87</f>
        <v>-32970.949999999997</v>
      </c>
      <c r="I90" s="14"/>
      <c r="J90" s="22">
        <f>IF(H$12=0,0,H90/H$12)</f>
        <v>-0.66766763300519938</v>
      </c>
      <c r="K90" s="15"/>
      <c r="L90" s="20">
        <f>+D90-H90</f>
        <v>-26343.180000000008</v>
      </c>
      <c r="M90" s="15"/>
      <c r="N90" s="22">
        <f>IF(H90=0,0,L90/H90)</f>
        <v>0.79898152767815334</v>
      </c>
      <c r="O90" s="29"/>
      <c r="P90" s="20">
        <f>+P20-P22+P87</f>
        <v>-416406.47000000003</v>
      </c>
      <c r="Q90" s="14"/>
      <c r="R90" s="22">
        <f>IF(P$12=0,0,P90/P$12)</f>
        <v>-9.2256566310038401</v>
      </c>
      <c r="S90" s="14"/>
      <c r="T90" s="20">
        <f>+T20-T22+T87</f>
        <v>-151764.90999999997</v>
      </c>
      <c r="U90" s="14"/>
      <c r="V90" s="22">
        <f>IF(T$12=0,0,T90/T$12)</f>
        <v>-0.30272675856395181</v>
      </c>
      <c r="W90" s="15"/>
      <c r="X90" s="20">
        <f>+P90-T90</f>
        <v>-264641.56000000006</v>
      </c>
      <c r="Y90" s="15"/>
      <c r="Z90" s="22">
        <f>IF(T90=0,0,X90/T90)</f>
        <v>1.7437598717648244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1"/>
      <c r="B92" s="10" t="s">
        <v>13</v>
      </c>
      <c r="C92" s="10"/>
      <c r="D92" s="4">
        <v>-157.74</v>
      </c>
      <c r="E92" s="4"/>
      <c r="F92" s="12">
        <f>IF(D$12=0,0,D92/D$12)</f>
        <v>0</v>
      </c>
      <c r="G92" s="4"/>
      <c r="H92" s="4">
        <v>3467.8</v>
      </c>
      <c r="I92" s="4"/>
      <c r="J92" s="12">
        <f>IF(H$12=0,0,H92/H$12)</f>
        <v>7.0223570074123762E-2</v>
      </c>
      <c r="K92" s="4"/>
      <c r="L92" s="4">
        <f>+D92-H92</f>
        <v>-3625.54</v>
      </c>
      <c r="M92" s="4"/>
      <c r="N92" s="12">
        <f>IF(H92=0,0,L92/H92)</f>
        <v>-1.0454870523098216</v>
      </c>
      <c r="O92" s="10"/>
      <c r="P92" s="4">
        <v>8193.32</v>
      </c>
      <c r="Q92" s="4"/>
      <c r="R92" s="12">
        <f>IF(P$12=0,0,P92/P$12)</f>
        <v>0.18152637490943976</v>
      </c>
      <c r="S92" s="4"/>
      <c r="T92" s="4">
        <v>52281.24</v>
      </c>
      <c r="U92" s="4"/>
      <c r="V92" s="12">
        <f>IF(T$12=0,0,T92/T$12)</f>
        <v>0.10428583470911704</v>
      </c>
      <c r="W92" s="4"/>
      <c r="X92" s="4">
        <f>+P92-T92</f>
        <v>-44087.92</v>
      </c>
      <c r="Y92" s="4"/>
      <c r="Z92" s="12">
        <f>IF(T92=0,0,X92/T92)</f>
        <v>-0.84328374766933611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4</v>
      </c>
      <c r="C94" s="28"/>
      <c r="D94" s="30">
        <f>+D90-D92</f>
        <v>-59156.390000000007</v>
      </c>
      <c r="E94" s="14"/>
      <c r="F94" s="36">
        <f>IF(D$12=0,0,D94/D$12)</f>
        <v>0</v>
      </c>
      <c r="G94" s="14"/>
      <c r="H94" s="30">
        <f>+H90-H92</f>
        <v>-36438.75</v>
      </c>
      <c r="I94" s="14"/>
      <c r="J94" s="36">
        <f>IF(H$12=0,0,H94/H$12)</f>
        <v>-0.73789120307932321</v>
      </c>
      <c r="K94" s="15"/>
      <c r="L94" s="30">
        <f>D94-H94</f>
        <v>-22717.640000000007</v>
      </c>
      <c r="M94" s="15"/>
      <c r="N94" s="36">
        <f>IF(H94=0,0,L94/H94)</f>
        <v>0.62344729168810697</v>
      </c>
      <c r="O94" s="29"/>
      <c r="P94" s="30">
        <f>+P90-P92</f>
        <v>-424599.79000000004</v>
      </c>
      <c r="Q94" s="14"/>
      <c r="R94" s="36">
        <f>IF(P$12=0,0,P94/P$12)</f>
        <v>-9.4071830059132804</v>
      </c>
      <c r="S94" s="14"/>
      <c r="T94" s="30">
        <f>+T90-T92</f>
        <v>-204046.14999999997</v>
      </c>
      <c r="U94" s="14"/>
      <c r="V94" s="36">
        <f>IF(T$12=0,0,T94/T$12)</f>
        <v>-0.40701259327306888</v>
      </c>
      <c r="W94" s="15"/>
      <c r="X94" s="30">
        <f>P94-T94</f>
        <v>-220553.64000000007</v>
      </c>
      <c r="Y94" s="15"/>
      <c r="Z94" s="36">
        <f>IF(T94=0,0,X94/T94)</f>
        <v>1.0809007668118222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5</v>
      </c>
      <c r="C97" s="28"/>
      <c r="D97" s="32">
        <f>SUM(D94:D96)</f>
        <v>-59156.390000000007</v>
      </c>
      <c r="E97" s="14"/>
      <c r="F97" s="31">
        <f>IF(D$12=0,0,D97/D$12)</f>
        <v>0</v>
      </c>
      <c r="G97" s="14"/>
      <c r="H97" s="32">
        <f>SUM(H94:H96)</f>
        <v>-36438.75</v>
      </c>
      <c r="I97" s="14"/>
      <c r="J97" s="31">
        <f>IF(H$12=0,0,H97/H$12)</f>
        <v>-0.73789120307932321</v>
      </c>
      <c r="K97" s="15"/>
      <c r="L97" s="32">
        <f>+D97-H97</f>
        <v>-22717.640000000007</v>
      </c>
      <c r="M97" s="15"/>
      <c r="N97" s="31">
        <f>IF(H97=0,0,L97/H97)</f>
        <v>0.62344729168810697</v>
      </c>
      <c r="O97" s="29"/>
      <c r="P97" s="32">
        <f>SUM(P94:P96)</f>
        <v>-424599.79000000004</v>
      </c>
      <c r="Q97" s="14"/>
      <c r="R97" s="31">
        <f>IF(P$12=0,0,P97/P$12)</f>
        <v>-9.4071830059132804</v>
      </c>
      <c r="S97" s="14"/>
      <c r="T97" s="32">
        <f>SUM(T94:T96)</f>
        <v>-204046.14999999997</v>
      </c>
      <c r="U97" s="14"/>
      <c r="V97" s="31">
        <f>IF(T$12=0,0,T97/T$12)</f>
        <v>-0.40701259327306888</v>
      </c>
      <c r="W97" s="15"/>
      <c r="X97" s="32">
        <f>+P97-T97</f>
        <v>-220553.64000000007</v>
      </c>
      <c r="Y97" s="15"/>
      <c r="Z97" s="31">
        <f>IF(T97=0,0,X97/T97)</f>
        <v>1.0809007668118222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6" x14ac:dyDescent="0.25">
      <c r="A99" s="9"/>
      <c r="B99" s="62">
        <v>44238.496492789352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59" t="s">
        <v>313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6"/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","418", " - ", "Nugget")</f>
        <v>Department 418 - Nugget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89800.709999999992</v>
      </c>
      <c r="I12" s="4"/>
      <c r="J12" s="12"/>
      <c r="K12" s="4"/>
      <c r="L12" s="4">
        <f t="shared" ref="L12:L14" si="0">+D12-H12</f>
        <v>-89800.709999999992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846375.1100000001</v>
      </c>
      <c r="U12" s="4"/>
      <c r="V12" s="12"/>
      <c r="W12" s="4"/>
      <c r="X12" s="4">
        <f t="shared" ref="X12:X14" si="2">+P12-T12</f>
        <v>-846375.1100000001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4" si="4">0</f>
        <v>0</v>
      </c>
      <c r="E13" s="2"/>
      <c r="F13" s="19"/>
      <c r="G13" s="2"/>
      <c r="H13" s="2">
        <f>--31360</f>
        <v>31360</v>
      </c>
      <c r="I13" s="2"/>
      <c r="J13" s="19"/>
      <c r="K13" s="2"/>
      <c r="L13" s="2">
        <f t="shared" si="0"/>
        <v>-31360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--303213.95</f>
        <v>303213.95</v>
      </c>
      <c r="U13" s="2"/>
      <c r="V13" s="19"/>
      <c r="W13" s="2"/>
      <c r="X13" s="2">
        <f t="shared" si="2"/>
        <v>-303213.95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 t="shared" si="4"/>
        <v>0</v>
      </c>
      <c r="E14" s="2"/>
      <c r="F14" s="19"/>
      <c r="G14" s="2"/>
      <c r="H14" s="2">
        <f>--58440.71</f>
        <v>58440.71</v>
      </c>
      <c r="I14" s="2"/>
      <c r="J14" s="19"/>
      <c r="K14" s="2"/>
      <c r="L14" s="2">
        <f t="shared" si="0"/>
        <v>-58440.71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--543161.16</f>
        <v>543161.16</v>
      </c>
      <c r="U14" s="2"/>
      <c r="V14" s="19"/>
      <c r="W14" s="2"/>
      <c r="X14" s="2">
        <f t="shared" si="2"/>
        <v>-543161.16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36191.35</v>
      </c>
      <c r="I16" s="4"/>
      <c r="J16" s="12">
        <f t="shared" ref="J16:J18" si="7">IF(H$12=0,0,H16/H$12)</f>
        <v>0.40301852847265907</v>
      </c>
      <c r="K16" s="4"/>
      <c r="L16" s="4">
        <f t="shared" ref="L16:L18" si="8">+D16-H16</f>
        <v>-36191.35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282237.07999999996</v>
      </c>
      <c r="U16" s="4"/>
      <c r="V16" s="12">
        <f t="shared" ref="V16:V18" si="11">IF(T$12=0,0,T16/T$12)</f>
        <v>0.33346571356522986</v>
      </c>
      <c r="W16" s="4"/>
      <c r="X16" s="4">
        <f t="shared" ref="X16:X18" si="12">+P16-T16</f>
        <v>-282237.07999999996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31746.68</v>
      </c>
      <c r="I17" s="2"/>
      <c r="J17" s="19">
        <f t="shared" si="7"/>
        <v>0.35352370822012436</v>
      </c>
      <c r="K17" s="2"/>
      <c r="L17" s="2">
        <f t="shared" si="8"/>
        <v>-31746.68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286893.40999999997</v>
      </c>
      <c r="U17" s="2"/>
      <c r="V17" s="19">
        <f t="shared" si="11"/>
        <v>0.33896721041335909</v>
      </c>
      <c r="W17" s="2"/>
      <c r="X17" s="2">
        <f t="shared" si="12"/>
        <v>-286893.40999999997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4444.67</v>
      </c>
      <c r="I18" s="2"/>
      <c r="J18" s="19">
        <f t="shared" si="7"/>
        <v>4.9494820252534759E-2</v>
      </c>
      <c r="K18" s="2"/>
      <c r="L18" s="2">
        <f t="shared" si="8"/>
        <v>-4444.67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-4656.33</v>
      </c>
      <c r="U18" s="2"/>
      <c r="V18" s="19">
        <f t="shared" si="11"/>
        <v>-5.5014968481291934E-3</v>
      </c>
      <c r="W18" s="2"/>
      <c r="X18" s="2">
        <f t="shared" si="12"/>
        <v>4656.33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53609.359999999993</v>
      </c>
      <c r="I20" s="14"/>
      <c r="J20" s="22">
        <f>IF(H$12=0,0,H20/H$12)</f>
        <v>0.59698147152734093</v>
      </c>
      <c r="K20" s="15"/>
      <c r="L20" s="20">
        <f>+D20-H20</f>
        <v>-53609.359999999993</v>
      </c>
      <c r="M20" s="15"/>
      <c r="N20" s="22">
        <f>IF(H20=0,0,L20/H20)</f>
        <v>-1</v>
      </c>
      <c r="O20" s="29"/>
      <c r="P20" s="20">
        <f>P12-P16</f>
        <v>0</v>
      </c>
      <c r="Q20" s="14"/>
      <c r="R20" s="22">
        <f>IF(P$12=0,0,P20/P$12)</f>
        <v>0</v>
      </c>
      <c r="S20" s="14"/>
      <c r="T20" s="20">
        <f>T12-T16</f>
        <v>564138.03000000014</v>
      </c>
      <c r="U20" s="14"/>
      <c r="V20" s="22">
        <f>IF(T$12=0,0,T20/T$12)</f>
        <v>0.66653428643477008</v>
      </c>
      <c r="W20" s="15"/>
      <c r="X20" s="20">
        <f>+P20-T20</f>
        <v>-564138.03000000014</v>
      </c>
      <c r="Y20" s="15"/>
      <c r="Z20" s="22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6745.17</v>
      </c>
      <c r="E22" s="21"/>
      <c r="F22" s="35">
        <f t="shared" ref="F22:F31" si="14">IF(D$12=0,0,D22/D$12)</f>
        <v>0</v>
      </c>
      <c r="G22" s="21"/>
      <c r="H22" s="21">
        <f>SUM(OSRRefH22x_0)</f>
        <v>65696.899999999994</v>
      </c>
      <c r="I22" s="21"/>
      <c r="J22" s="35">
        <f t="shared" ref="J22:J31" si="15">IF(H$12=0,0,H22/H$12)</f>
        <v>0.73158552978033242</v>
      </c>
      <c r="K22" s="4"/>
      <c r="L22" s="21">
        <f t="shared" ref="L22:L31" si="16">+D22-H22</f>
        <v>-58951.729999999996</v>
      </c>
      <c r="M22" s="4"/>
      <c r="N22" s="35">
        <f t="shared" ref="N22:N31" si="17">IF(H22=0,0,L22/H22)</f>
        <v>-0.89732894550580011</v>
      </c>
      <c r="O22" s="10"/>
      <c r="P22" s="21">
        <f>SUM(OSRRefP22x_0)</f>
        <v>59026.820000000007</v>
      </c>
      <c r="Q22" s="21"/>
      <c r="R22" s="35">
        <f t="shared" ref="R22:R31" si="18">IF(P$12=0,0,P22/P$12)</f>
        <v>0</v>
      </c>
      <c r="S22" s="21"/>
      <c r="T22" s="21">
        <f>SUM(OSRRefT22x_0)</f>
        <v>432665.19000000006</v>
      </c>
      <c r="U22" s="21"/>
      <c r="V22" s="35">
        <f t="shared" ref="V22:V31" si="19">IF(T$12=0,0,T22/T$12)</f>
        <v>0.51119791318059904</v>
      </c>
      <c r="W22" s="4"/>
      <c r="X22" s="21">
        <f t="shared" ref="X22:X31" si="20">+P22-T22</f>
        <v>-373638.37000000005</v>
      </c>
      <c r="Y22" s="4"/>
      <c r="Z22" s="35">
        <f t="shared" ref="Z22:Z31" si="21">IF(T22=0,0,X22/T22)</f>
        <v>-0.8635739103485538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10893.82</v>
      </c>
      <c r="I23" s="1"/>
      <c r="J23" s="5">
        <f t="shared" si="15"/>
        <v>0.12131106758510039</v>
      </c>
      <c r="K23" s="1"/>
      <c r="L23" s="1">
        <f t="shared" si="16"/>
        <v>-10893.82</v>
      </c>
      <c r="M23" s="1"/>
      <c r="N23" s="5">
        <f t="shared" si="17"/>
        <v>-1</v>
      </c>
      <c r="O23" s="13"/>
      <c r="P23" s="1">
        <f>SUM(OSRRefP22_0x_0)</f>
        <v>6086.32</v>
      </c>
      <c r="Q23" s="1"/>
      <c r="R23" s="5">
        <f t="shared" si="18"/>
        <v>0</v>
      </c>
      <c r="S23" s="1"/>
      <c r="T23" s="1">
        <f>SUM(OSRRefT22_0x_0)</f>
        <v>60778.11</v>
      </c>
      <c r="U23" s="1"/>
      <c r="V23" s="5">
        <f t="shared" si="19"/>
        <v>7.1809897623289029E-2</v>
      </c>
      <c r="W23" s="1"/>
      <c r="X23" s="1">
        <f t="shared" si="20"/>
        <v>-54691.79</v>
      </c>
      <c r="Y23" s="1"/>
      <c r="Z23" s="5">
        <f t="shared" si="21"/>
        <v>-0.89985999893711732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1613.91</v>
      </c>
      <c r="I24" s="2"/>
      <c r="J24" s="7">
        <f t="shared" si="15"/>
        <v>1.7972129619019717E-2</v>
      </c>
      <c r="K24" s="2"/>
      <c r="L24" s="6">
        <f t="shared" si="16"/>
        <v>-1613.91</v>
      </c>
      <c r="M24" s="2"/>
      <c r="N24" s="7">
        <f t="shared" si="17"/>
        <v>-1</v>
      </c>
      <c r="O24" s="11"/>
      <c r="P24" s="6">
        <v>237.51</v>
      </c>
      <c r="Q24" s="2"/>
      <c r="R24" s="7">
        <f t="shared" si="18"/>
        <v>0</v>
      </c>
      <c r="S24" s="2"/>
      <c r="T24" s="6">
        <v>12666.18</v>
      </c>
      <c r="U24" s="2"/>
      <c r="V24" s="7">
        <f t="shared" si="19"/>
        <v>1.4965208511389234E-2</v>
      </c>
      <c r="W24" s="2"/>
      <c r="X24" s="6">
        <f t="shared" si="20"/>
        <v>-12428.67</v>
      </c>
      <c r="Y24" s="2"/>
      <c r="Z24" s="7">
        <f t="shared" si="21"/>
        <v>-0.98124849007356596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918.44</v>
      </c>
      <c r="I25" s="2"/>
      <c r="J25" s="7">
        <f t="shared" si="15"/>
        <v>1.0227536062910863E-2</v>
      </c>
      <c r="K25" s="2"/>
      <c r="L25" s="6">
        <f t="shared" si="16"/>
        <v>-918.44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6724.77</v>
      </c>
      <c r="U25" s="2"/>
      <c r="V25" s="7">
        <f t="shared" si="19"/>
        <v>7.9453777888151746E-3</v>
      </c>
      <c r="W25" s="2"/>
      <c r="X25" s="6">
        <f t="shared" si="20"/>
        <v>-6724.77</v>
      </c>
      <c r="Y25" s="2"/>
      <c r="Z25" s="7">
        <f t="shared" si="21"/>
        <v>-1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5413.82</v>
      </c>
      <c r="I26" s="2"/>
      <c r="J26" s="7">
        <f t="shared" si="15"/>
        <v>6.028705118255747E-2</v>
      </c>
      <c r="K26" s="2"/>
      <c r="L26" s="6">
        <f t="shared" si="16"/>
        <v>-5413.82</v>
      </c>
      <c r="M26" s="2"/>
      <c r="N26" s="7">
        <f t="shared" si="17"/>
        <v>-1</v>
      </c>
      <c r="O26" s="11"/>
      <c r="P26" s="6">
        <v>4780.67</v>
      </c>
      <c r="Q26" s="2"/>
      <c r="R26" s="7">
        <f t="shared" si="18"/>
        <v>0</v>
      </c>
      <c r="S26" s="2"/>
      <c r="T26" s="6">
        <v>25842.12</v>
      </c>
      <c r="U26" s="2"/>
      <c r="V26" s="7">
        <f t="shared" si="19"/>
        <v>3.0532703165148601E-2</v>
      </c>
      <c r="W26" s="2"/>
      <c r="X26" s="6">
        <f t="shared" si="20"/>
        <v>-21061.449999999997</v>
      </c>
      <c r="Y26" s="2"/>
      <c r="Z26" s="7">
        <f t="shared" si="21"/>
        <v>-0.81500472871420759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61.55</v>
      </c>
      <c r="I27" s="2"/>
      <c r="J27" s="7">
        <f t="shared" si="15"/>
        <v>6.8540660758695563E-4</v>
      </c>
      <c r="K27" s="2"/>
      <c r="L27" s="6">
        <f t="shared" si="16"/>
        <v>-61.55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587.9</v>
      </c>
      <c r="U27" s="2"/>
      <c r="V27" s="7">
        <f t="shared" si="19"/>
        <v>6.9460927318621161E-4</v>
      </c>
      <c r="W27" s="2"/>
      <c r="X27" s="6">
        <f t="shared" si="20"/>
        <v>-587.9</v>
      </c>
      <c r="Y27" s="2"/>
      <c r="Z27" s="7">
        <f t="shared" si="21"/>
        <v>-1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948.56</v>
      </c>
      <c r="I28" s="2"/>
      <c r="J28" s="7">
        <f t="shared" si="15"/>
        <v>1.0562945437736518E-2</v>
      </c>
      <c r="K28" s="2"/>
      <c r="L28" s="6">
        <f t="shared" si="16"/>
        <v>-948.56</v>
      </c>
      <c r="M28" s="2"/>
      <c r="N28" s="7">
        <f t="shared" si="17"/>
        <v>-1</v>
      </c>
      <c r="O28" s="11"/>
      <c r="P28" s="6">
        <v>678.15</v>
      </c>
      <c r="Q28" s="2"/>
      <c r="R28" s="7">
        <f t="shared" si="18"/>
        <v>0</v>
      </c>
      <c r="S28" s="2"/>
      <c r="T28" s="6">
        <v>3850.11</v>
      </c>
      <c r="U28" s="2"/>
      <c r="V28" s="7">
        <f t="shared" si="19"/>
        <v>4.548940481012018E-3</v>
      </c>
      <c r="W28" s="2"/>
      <c r="X28" s="6">
        <f t="shared" si="20"/>
        <v>-3171.96</v>
      </c>
      <c r="Y28" s="2"/>
      <c r="Z28" s="7">
        <f t="shared" si="21"/>
        <v>-0.82386217536641804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647.76</v>
      </c>
      <c r="I29" s="2"/>
      <c r="J29" s="7">
        <f t="shared" si="15"/>
        <v>7.2133059972465706E-3</v>
      </c>
      <c r="K29" s="2"/>
      <c r="L29" s="6">
        <f t="shared" si="16"/>
        <v>-647.76</v>
      </c>
      <c r="M29" s="2"/>
      <c r="N29" s="7">
        <f t="shared" si="17"/>
        <v>-1</v>
      </c>
      <c r="O29" s="11"/>
      <c r="P29" s="6">
        <v>248.21</v>
      </c>
      <c r="Q29" s="2"/>
      <c r="R29" s="7">
        <f t="shared" si="18"/>
        <v>0</v>
      </c>
      <c r="S29" s="2"/>
      <c r="T29" s="6">
        <v>4068.67</v>
      </c>
      <c r="U29" s="2"/>
      <c r="V29" s="7">
        <f t="shared" si="19"/>
        <v>4.8071711371569037E-3</v>
      </c>
      <c r="W29" s="2"/>
      <c r="X29" s="6">
        <f t="shared" si="20"/>
        <v>-3820.46</v>
      </c>
      <c r="Y29" s="2"/>
      <c r="Z29" s="7">
        <f t="shared" si="21"/>
        <v>-0.93899480665672075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680.72</v>
      </c>
      <c r="I30" s="2"/>
      <c r="J30" s="7">
        <f t="shared" si="15"/>
        <v>7.5803409572151497E-3</v>
      </c>
      <c r="K30" s="2"/>
      <c r="L30" s="6">
        <f t="shared" si="16"/>
        <v>-680.72</v>
      </c>
      <c r="M30" s="2"/>
      <c r="N30" s="7">
        <f t="shared" si="17"/>
        <v>-1</v>
      </c>
      <c r="O30" s="11"/>
      <c r="P30" s="6">
        <v>141.78</v>
      </c>
      <c r="Q30" s="2"/>
      <c r="R30" s="7">
        <f t="shared" si="18"/>
        <v>0</v>
      </c>
      <c r="S30" s="2"/>
      <c r="T30" s="6">
        <v>4180.62</v>
      </c>
      <c r="U30" s="2"/>
      <c r="V30" s="7">
        <f t="shared" si="19"/>
        <v>4.9394410948592283E-3</v>
      </c>
      <c r="W30" s="2"/>
      <c r="X30" s="6">
        <f t="shared" si="20"/>
        <v>-4038.8399999999997</v>
      </c>
      <c r="Y30" s="2"/>
      <c r="Z30" s="7">
        <f t="shared" si="21"/>
        <v>-0.96608636996426367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609.05999999999995</v>
      </c>
      <c r="I31" s="2"/>
      <c r="J31" s="7">
        <f t="shared" si="15"/>
        <v>6.7823517208271513E-3</v>
      </c>
      <c r="K31" s="2"/>
      <c r="L31" s="6">
        <f t="shared" si="16"/>
        <v>-609.05999999999995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2857.74</v>
      </c>
      <c r="U31" s="2"/>
      <c r="V31" s="7">
        <f t="shared" si="19"/>
        <v>3.3764461717216607E-3</v>
      </c>
      <c r="W31" s="2"/>
      <c r="X31" s="6">
        <f t="shared" si="20"/>
        <v>-2857.74</v>
      </c>
      <c r="Y31" s="2"/>
      <c r="Z31" s="7">
        <f t="shared" si="21"/>
        <v>-1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8" si="22">IF(D$12=0,0,D32/D$12)</f>
        <v>0</v>
      </c>
      <c r="G32" s="1"/>
      <c r="H32" s="1">
        <f>SUM(OSRRefH22_1x_0)</f>
        <v>33110.880000000005</v>
      </c>
      <c r="I32" s="1"/>
      <c r="J32" s="5">
        <f t="shared" ref="J32:J38" si="23">IF(H$12=0,0,H32/H$12)</f>
        <v>0.36871512485814428</v>
      </c>
      <c r="K32" s="1"/>
      <c r="L32" s="1">
        <f t="shared" ref="L32:L38" si="24">+D32-H32</f>
        <v>-33110.880000000005</v>
      </c>
      <c r="M32" s="1"/>
      <c r="N32" s="5">
        <f t="shared" ref="N32:N38" si="25">IF(H32=0,0,L32/H32)</f>
        <v>-1</v>
      </c>
      <c r="O32" s="13"/>
      <c r="P32" s="1">
        <f>SUM(OSRRefP22_1x_0)</f>
        <v>2151.69</v>
      </c>
      <c r="Q32" s="1"/>
      <c r="R32" s="5">
        <f t="shared" ref="R32:R38" si="26">IF(P$12=0,0,P32/P$12)</f>
        <v>0</v>
      </c>
      <c r="S32" s="1"/>
      <c r="T32" s="1">
        <f>SUM(OSRRefT22_1x_0)</f>
        <v>229649.16000000003</v>
      </c>
      <c r="U32" s="1"/>
      <c r="V32" s="5">
        <f t="shared" ref="V32:V38" si="27">IF(T$12=0,0,T32/T$12)</f>
        <v>0.27133260097877882</v>
      </c>
      <c r="W32" s="1"/>
      <c r="X32" s="1">
        <f t="shared" ref="X32:X38" si="28">+P32-T32</f>
        <v>-227497.47000000003</v>
      </c>
      <c r="Y32" s="1"/>
      <c r="Z32" s="5">
        <f t="shared" ref="Z32:Z38" si="29">IF(T32=0,0,X32/T32)</f>
        <v>-0.99063053398497081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10826</v>
      </c>
      <c r="I33" s="2"/>
      <c r="J33" s="7">
        <f t="shared" si="23"/>
        <v>0.12055583970327184</v>
      </c>
      <c r="K33" s="2"/>
      <c r="L33" s="6">
        <f t="shared" si="24"/>
        <v>-10826</v>
      </c>
      <c r="M33" s="2"/>
      <c r="N33" s="7">
        <f t="shared" si="25"/>
        <v>-1</v>
      </c>
      <c r="O33" s="11"/>
      <c r="P33" s="6">
        <v>2151.69</v>
      </c>
      <c r="Q33" s="2"/>
      <c r="R33" s="7">
        <f t="shared" si="26"/>
        <v>0</v>
      </c>
      <c r="S33" s="2"/>
      <c r="T33" s="6">
        <v>55442</v>
      </c>
      <c r="U33" s="2"/>
      <c r="V33" s="7">
        <f t="shared" si="27"/>
        <v>6.5505234434410517E-2</v>
      </c>
      <c r="W33" s="2"/>
      <c r="X33" s="6">
        <f t="shared" si="28"/>
        <v>-53290.31</v>
      </c>
      <c r="Y33" s="2"/>
      <c r="Z33" s="7">
        <f t="shared" si="29"/>
        <v>-0.96119025287688031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2"/>
        <v>0</v>
      </c>
      <c r="G34" s="2"/>
      <c r="H34" s="6">
        <v>4734.8599999999997</v>
      </c>
      <c r="I34" s="2"/>
      <c r="J34" s="7">
        <f t="shared" si="23"/>
        <v>5.2726309179515395E-2</v>
      </c>
      <c r="K34" s="2"/>
      <c r="L34" s="6">
        <f t="shared" si="24"/>
        <v>-4734.8599999999997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26562.070000000003</v>
      </c>
      <c r="U34" s="2"/>
      <c r="V34" s="7">
        <f t="shared" si="27"/>
        <v>3.13833307314531E-2</v>
      </c>
      <c r="W34" s="2"/>
      <c r="X34" s="6">
        <f t="shared" si="28"/>
        <v>-26562.070000000003</v>
      </c>
      <c r="Y34" s="2"/>
      <c r="Z34" s="7">
        <f t="shared" si="29"/>
        <v>-1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2"/>
        <v>0</v>
      </c>
      <c r="G35" s="2"/>
      <c r="H35" s="6">
        <v>6786.93</v>
      </c>
      <c r="I35" s="2"/>
      <c r="J35" s="7">
        <f t="shared" si="23"/>
        <v>7.5577687526078588E-2</v>
      </c>
      <c r="K35" s="2"/>
      <c r="L35" s="6">
        <f t="shared" si="24"/>
        <v>-6786.93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65194.879999999997</v>
      </c>
      <c r="U35" s="2"/>
      <c r="V35" s="7">
        <f t="shared" si="27"/>
        <v>7.7028352121555163E-2</v>
      </c>
      <c r="W35" s="2"/>
      <c r="X35" s="6">
        <f t="shared" si="28"/>
        <v>-65194.879999999997</v>
      </c>
      <c r="Y35" s="2"/>
      <c r="Z35" s="7">
        <f t="shared" si="29"/>
        <v>-1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2"/>
        <v>0</v>
      </c>
      <c r="G36" s="2"/>
      <c r="H36" s="6"/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7215.01</v>
      </c>
      <c r="U36" s="2"/>
      <c r="V36" s="7">
        <f t="shared" si="27"/>
        <v>8.524600871119661E-3</v>
      </c>
      <c r="W36" s="2"/>
      <c r="X36" s="6">
        <f t="shared" si="28"/>
        <v>-7215.01</v>
      </c>
      <c r="Y36" s="2"/>
      <c r="Z36" s="7">
        <f t="shared" si="29"/>
        <v>-1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2"/>
        <v>0</v>
      </c>
      <c r="G37" s="2"/>
      <c r="H37" s="6">
        <v>10763.09</v>
      </c>
      <c r="I37" s="2"/>
      <c r="J37" s="7">
        <f t="shared" si="23"/>
        <v>0.11985528844927842</v>
      </c>
      <c r="K37" s="2"/>
      <c r="L37" s="6">
        <f t="shared" si="24"/>
        <v>-10763.09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73405.2</v>
      </c>
      <c r="U37" s="2"/>
      <c r="V37" s="7">
        <f t="shared" si="27"/>
        <v>8.6728920939085727E-2</v>
      </c>
      <c r="W37" s="2"/>
      <c r="X37" s="6">
        <f t="shared" si="28"/>
        <v>-73405.2</v>
      </c>
      <c r="Y37" s="2"/>
      <c r="Z37" s="7">
        <f t="shared" si="29"/>
        <v>-1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1830</v>
      </c>
      <c r="U38" s="2"/>
      <c r="V38" s="7">
        <f t="shared" si="27"/>
        <v>2.1621618811545626E-3</v>
      </c>
      <c r="W38" s="2"/>
      <c r="X38" s="6">
        <f t="shared" si="28"/>
        <v>-1830</v>
      </c>
      <c r="Y38" s="2"/>
      <c r="Z38" s="7">
        <f t="shared" si="29"/>
        <v>-1</v>
      </c>
    </row>
    <row r="39" spans="1:26" s="26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47" si="30">IF(D$12=0,0,D39/D$12)</f>
        <v>0</v>
      </c>
      <c r="G39" s="1"/>
      <c r="H39" s="1">
        <f>SUM(OSRRefH22_2x_0)</f>
        <v>1054.52</v>
      </c>
      <c r="I39" s="1"/>
      <c r="J39" s="5">
        <f t="shared" ref="J39:J47" si="31">IF(H$12=0,0,H39/H$12)</f>
        <v>1.1742891565111234E-2</v>
      </c>
      <c r="K39" s="1"/>
      <c r="L39" s="1">
        <f t="shared" ref="L39:L47" si="32">+D39-H39</f>
        <v>-1054.52</v>
      </c>
      <c r="M39" s="1"/>
      <c r="N39" s="5">
        <f t="shared" ref="N39:N47" si="33">IF(H39=0,0,L39/H39)</f>
        <v>-1</v>
      </c>
      <c r="O39" s="13"/>
      <c r="P39" s="1">
        <f>SUM(OSRRefP22_2x_0)</f>
        <v>0</v>
      </c>
      <c r="Q39" s="1"/>
      <c r="R39" s="5">
        <f t="shared" ref="R39:R47" si="34">IF(P$12=0,0,P39/P$12)</f>
        <v>0</v>
      </c>
      <c r="S39" s="1"/>
      <c r="T39" s="1">
        <f>SUM(OSRRefT22_2x_0)</f>
        <v>4095.63</v>
      </c>
      <c r="U39" s="1"/>
      <c r="V39" s="5">
        <f t="shared" ref="V39:V47" si="35">IF(T$12=0,0,T39/T$12)</f>
        <v>4.8390246258541315E-3</v>
      </c>
      <c r="W39" s="1"/>
      <c r="X39" s="1">
        <f t="shared" ref="X39:X47" si="36">+P39-T39</f>
        <v>-4095.63</v>
      </c>
      <c r="Y39" s="1"/>
      <c r="Z39" s="5">
        <f t="shared" ref="Z39:Z47" si="37">IF(T39=0,0,X39/T39)</f>
        <v>-1</v>
      </c>
    </row>
    <row r="40" spans="1:26" s="24" customFormat="1" hidden="1" outlineLevel="2" x14ac:dyDescent="0.25">
      <c r="A40" s="25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30"/>
        <v>0</v>
      </c>
      <c r="G40" s="2"/>
      <c r="H40" s="6">
        <v>1054.52</v>
      </c>
      <c r="I40" s="2"/>
      <c r="J40" s="7">
        <f t="shared" si="31"/>
        <v>1.1742891565111234E-2</v>
      </c>
      <c r="K40" s="2"/>
      <c r="L40" s="6">
        <f t="shared" si="32"/>
        <v>-1054.52</v>
      </c>
      <c r="M40" s="2"/>
      <c r="N40" s="7">
        <f t="shared" si="33"/>
        <v>-1</v>
      </c>
      <c r="O40" s="11"/>
      <c r="P40" s="6"/>
      <c r="Q40" s="2"/>
      <c r="R40" s="7">
        <f t="shared" si="34"/>
        <v>0</v>
      </c>
      <c r="S40" s="2"/>
      <c r="T40" s="6">
        <v>4095.63</v>
      </c>
      <c r="U40" s="2"/>
      <c r="V40" s="7">
        <f t="shared" si="35"/>
        <v>4.8390246258541315E-3</v>
      </c>
      <c r="W40" s="2"/>
      <c r="X40" s="6">
        <f t="shared" si="36"/>
        <v>-4095.63</v>
      </c>
      <c r="Y40" s="2"/>
      <c r="Z40" s="7">
        <f t="shared" si="37"/>
        <v>-1</v>
      </c>
    </row>
    <row r="41" spans="1:26" s="26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-287.11</v>
      </c>
      <c r="I41" s="1"/>
      <c r="J41" s="5">
        <f t="shared" si="31"/>
        <v>-3.1971907571777553E-3</v>
      </c>
      <c r="K41" s="1"/>
      <c r="L41" s="1">
        <f t="shared" si="32"/>
        <v>287.11</v>
      </c>
      <c r="M41" s="1"/>
      <c r="N41" s="5">
        <f t="shared" si="33"/>
        <v>-1</v>
      </c>
      <c r="O41" s="13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-323.87</v>
      </c>
      <c r="U41" s="1"/>
      <c r="V41" s="5">
        <f t="shared" si="35"/>
        <v>-3.8265539259537058E-4</v>
      </c>
      <c r="W41" s="1"/>
      <c r="X41" s="1">
        <f t="shared" si="36"/>
        <v>323.87</v>
      </c>
      <c r="Y41" s="1"/>
      <c r="Z41" s="5">
        <f t="shared" si="37"/>
        <v>-1</v>
      </c>
    </row>
    <row r="42" spans="1:26" s="24" customFormat="1" hidden="1" outlineLevel="2" x14ac:dyDescent="0.25">
      <c r="A42" s="25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30"/>
        <v>0</v>
      </c>
      <c r="G42" s="2"/>
      <c r="H42" s="6">
        <v>-287.11</v>
      </c>
      <c r="I42" s="2"/>
      <c r="J42" s="7">
        <f t="shared" si="31"/>
        <v>-3.1971907571777553E-3</v>
      </c>
      <c r="K42" s="2"/>
      <c r="L42" s="6">
        <f t="shared" si="32"/>
        <v>287.11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-323.87</v>
      </c>
      <c r="U42" s="2"/>
      <c r="V42" s="7">
        <f t="shared" si="35"/>
        <v>-3.8265539259537058E-4</v>
      </c>
      <c r="W42" s="2"/>
      <c r="X42" s="6">
        <f t="shared" si="36"/>
        <v>323.87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3025.86</v>
      </c>
      <c r="I43" s="1"/>
      <c r="J43" s="5">
        <f t="shared" si="31"/>
        <v>3.3695279246678568E-2</v>
      </c>
      <c r="K43" s="1"/>
      <c r="L43" s="1">
        <f t="shared" si="32"/>
        <v>-3025.86</v>
      </c>
      <c r="M43" s="1"/>
      <c r="N43" s="5">
        <f t="shared" si="33"/>
        <v>-1</v>
      </c>
      <c r="O43" s="13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33916.19</v>
      </c>
      <c r="U43" s="1"/>
      <c r="V43" s="5">
        <f t="shared" si="35"/>
        <v>4.0072291350817246E-2</v>
      </c>
      <c r="W43" s="1"/>
      <c r="X43" s="1">
        <f t="shared" si="36"/>
        <v>-33916.19</v>
      </c>
      <c r="Y43" s="1"/>
      <c r="Z43" s="5">
        <f t="shared" si="37"/>
        <v>-1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30"/>
        <v>0</v>
      </c>
      <c r="G44" s="2"/>
      <c r="H44" s="6">
        <v>3025.86</v>
      </c>
      <c r="I44" s="2"/>
      <c r="J44" s="7">
        <f t="shared" si="31"/>
        <v>3.3695279246678568E-2</v>
      </c>
      <c r="K44" s="2"/>
      <c r="L44" s="6">
        <f t="shared" si="32"/>
        <v>-3025.86</v>
      </c>
      <c r="M44" s="2"/>
      <c r="N44" s="7">
        <f t="shared" si="33"/>
        <v>-1</v>
      </c>
      <c r="O44" s="11"/>
      <c r="P44" s="6"/>
      <c r="Q44" s="2"/>
      <c r="R44" s="7">
        <f t="shared" si="34"/>
        <v>0</v>
      </c>
      <c r="S44" s="2"/>
      <c r="T44" s="6">
        <v>33916.19</v>
      </c>
      <c r="U44" s="2"/>
      <c r="V44" s="7">
        <f t="shared" si="35"/>
        <v>4.0072291350817246E-2</v>
      </c>
      <c r="W44" s="2"/>
      <c r="X44" s="6">
        <f t="shared" si="36"/>
        <v>-33916.19</v>
      </c>
      <c r="Y44" s="2"/>
      <c r="Z44" s="7">
        <f t="shared" si="37"/>
        <v>-1</v>
      </c>
    </row>
    <row r="45" spans="1:26" s="26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6745.17</v>
      </c>
      <c r="E45" s="1"/>
      <c r="F45" s="5">
        <f t="shared" si="30"/>
        <v>0</v>
      </c>
      <c r="G45" s="1"/>
      <c r="H45" s="1">
        <f>SUM(OSRRefH22_5x_0)</f>
        <v>8263.4700000000012</v>
      </c>
      <c r="I45" s="1"/>
      <c r="J45" s="5">
        <f t="shared" si="31"/>
        <v>9.2020096500350632E-2</v>
      </c>
      <c r="K45" s="1"/>
      <c r="L45" s="1">
        <f t="shared" si="32"/>
        <v>-1518.3000000000011</v>
      </c>
      <c r="M45" s="1"/>
      <c r="N45" s="5">
        <f t="shared" si="33"/>
        <v>-0.18373637225039854</v>
      </c>
      <c r="O45" s="13"/>
      <c r="P45" s="1">
        <f>SUM(OSRRefP22_5x_0)</f>
        <v>48513.34</v>
      </c>
      <c r="Q45" s="1"/>
      <c r="R45" s="5">
        <f t="shared" si="34"/>
        <v>0</v>
      </c>
      <c r="S45" s="1"/>
      <c r="T45" s="1">
        <f>SUM(OSRRefT22_5x_0)</f>
        <v>57844.29</v>
      </c>
      <c r="U45" s="1"/>
      <c r="V45" s="5">
        <f t="shared" si="35"/>
        <v>6.8343562229754129E-2</v>
      </c>
      <c r="W45" s="1"/>
      <c r="X45" s="1">
        <f t="shared" si="36"/>
        <v>-9330.9500000000044</v>
      </c>
      <c r="Y45" s="1"/>
      <c r="Z45" s="5">
        <f t="shared" si="37"/>
        <v>-0.1613115140664706</v>
      </c>
    </row>
    <row r="46" spans="1:26" s="24" customFormat="1" hidden="1" outlineLevel="2" x14ac:dyDescent="0.25">
      <c r="A46" s="25"/>
      <c r="B46" s="11" t="str">
        <f>CONCATENATE("          ", "6321", " - ", "BUILDING DEPRECIATION")</f>
        <v xml:space="preserve">          6321 - BUILDING DEPRECIATION</v>
      </c>
      <c r="C46" s="11"/>
      <c r="D46" s="6">
        <v>6537.05</v>
      </c>
      <c r="E46" s="2"/>
      <c r="F46" s="7">
        <f t="shared" si="30"/>
        <v>0</v>
      </c>
      <c r="G46" s="2"/>
      <c r="H46" s="6">
        <v>6537.05</v>
      </c>
      <c r="I46" s="2"/>
      <c r="J46" s="7">
        <f t="shared" si="31"/>
        <v>7.2795081464277961E-2</v>
      </c>
      <c r="K46" s="2"/>
      <c r="L46" s="6">
        <f t="shared" si="32"/>
        <v>0</v>
      </c>
      <c r="M46" s="2"/>
      <c r="N46" s="7">
        <f t="shared" si="33"/>
        <v>0</v>
      </c>
      <c r="O46" s="11"/>
      <c r="P46" s="6">
        <v>45759.35</v>
      </c>
      <c r="Q46" s="2"/>
      <c r="R46" s="7">
        <f t="shared" si="34"/>
        <v>0</v>
      </c>
      <c r="S46" s="2"/>
      <c r="T46" s="6">
        <v>45759.35</v>
      </c>
      <c r="U46" s="2"/>
      <c r="V46" s="7">
        <f t="shared" si="35"/>
        <v>5.4065094140114768E-2</v>
      </c>
      <c r="W46" s="2"/>
      <c r="X46" s="6">
        <f t="shared" si="36"/>
        <v>0</v>
      </c>
      <c r="Y46" s="2"/>
      <c r="Z46" s="7">
        <f t="shared" si="37"/>
        <v>0</v>
      </c>
    </row>
    <row r="47" spans="1:26" s="24" customFormat="1" hidden="1" outlineLevel="2" x14ac:dyDescent="0.25">
      <c r="A47" s="25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208.12</v>
      </c>
      <c r="E47" s="2"/>
      <c r="F47" s="7">
        <f t="shared" si="30"/>
        <v>0</v>
      </c>
      <c r="G47" s="2"/>
      <c r="H47" s="6">
        <v>1726.42</v>
      </c>
      <c r="I47" s="2"/>
      <c r="J47" s="7">
        <f t="shared" si="31"/>
        <v>1.9225015036072657E-2</v>
      </c>
      <c r="K47" s="2"/>
      <c r="L47" s="6">
        <f t="shared" si="32"/>
        <v>-1518.3000000000002</v>
      </c>
      <c r="M47" s="2"/>
      <c r="N47" s="7">
        <f t="shared" si="33"/>
        <v>-0.87944996003290055</v>
      </c>
      <c r="O47" s="11"/>
      <c r="P47" s="6">
        <v>2753.99</v>
      </c>
      <c r="Q47" s="2"/>
      <c r="R47" s="7">
        <f t="shared" si="34"/>
        <v>0</v>
      </c>
      <c r="S47" s="2"/>
      <c r="T47" s="6">
        <v>12084.94</v>
      </c>
      <c r="U47" s="2"/>
      <c r="V47" s="7">
        <f t="shared" si="35"/>
        <v>1.4278468089639356E-2</v>
      </c>
      <c r="W47" s="2"/>
      <c r="X47" s="6">
        <f t="shared" si="36"/>
        <v>-9330.9500000000007</v>
      </c>
      <c r="Y47" s="2"/>
      <c r="Z47" s="7">
        <f t="shared" si="37"/>
        <v>-0.77211388720175689</v>
      </c>
    </row>
    <row r="48" spans="1:26" s="26" customFormat="1" outlineLevel="1" collapsed="1" x14ac:dyDescent="0.25">
      <c r="A48" s="27"/>
      <c r="B48" s="13" t="str">
        <f>CONCATENATE("     ","Discounts and Markdowns                           ")</f>
        <v xml:space="preserve">     Discounts and Markdowns                           </v>
      </c>
      <c r="C48" s="13"/>
      <c r="D48" s="1">
        <f>SUM(OSRRefD22_6x_0)</f>
        <v>0</v>
      </c>
      <c r="E48" s="1"/>
      <c r="F48" s="5">
        <f t="shared" ref="F48:F58" si="38">IF(D$12=0,0,D48/D$12)</f>
        <v>0</v>
      </c>
      <c r="G48" s="1"/>
      <c r="H48" s="1">
        <f>SUM(OSRRefH22_6x_0)</f>
        <v>0.09</v>
      </c>
      <c r="I48" s="1"/>
      <c r="J48" s="5">
        <f t="shared" ref="J48:J58" si="39">IF(H$12=0,0,H48/H$12)</f>
        <v>1.0022192474870189E-6</v>
      </c>
      <c r="K48" s="1"/>
      <c r="L48" s="1">
        <f t="shared" ref="L48:L58" si="40">+D48-H48</f>
        <v>-0.09</v>
      </c>
      <c r="M48" s="1"/>
      <c r="N48" s="5">
        <f t="shared" ref="N48:N58" si="41">IF(H48=0,0,L48/H48)</f>
        <v>-1</v>
      </c>
      <c r="O48" s="13"/>
      <c r="P48" s="1">
        <f>SUM(OSRRefP22_6x_0)</f>
        <v>0</v>
      </c>
      <c r="Q48" s="1"/>
      <c r="R48" s="5">
        <f t="shared" ref="R48:R58" si="42">IF(P$12=0,0,P48/P$12)</f>
        <v>0</v>
      </c>
      <c r="S48" s="1"/>
      <c r="T48" s="1">
        <f>SUM(OSRRefT22_6x_0)</f>
        <v>0.09</v>
      </c>
      <c r="U48" s="1"/>
      <c r="V48" s="5">
        <f t="shared" ref="V48:V58" si="43">IF(T$12=0,0,T48/T$12)</f>
        <v>1.0633583022071619E-7</v>
      </c>
      <c r="W48" s="1"/>
      <c r="X48" s="1">
        <f t="shared" ref="X48:X58" si="44">+P48-T48</f>
        <v>-0.09</v>
      </c>
      <c r="Y48" s="1"/>
      <c r="Z48" s="5">
        <f t="shared" ref="Z48:Z58" si="45">IF(T48=0,0,X48/T48)</f>
        <v>-1</v>
      </c>
    </row>
    <row r="49" spans="1:26" s="24" customFormat="1" hidden="1" outlineLevel="2" x14ac:dyDescent="0.25">
      <c r="A49" s="25"/>
      <c r="B49" s="11" t="str">
        <f>CONCATENATE("          ", "6382", " - ", "DISCOUNTS/MARK DOWNS")</f>
        <v xml:space="preserve">          6382 - DISCOUNTS/MARK DOWNS</v>
      </c>
      <c r="C49" s="11"/>
      <c r="D49" s="6"/>
      <c r="E49" s="2"/>
      <c r="F49" s="7">
        <f t="shared" si="38"/>
        <v>0</v>
      </c>
      <c r="G49" s="2"/>
      <c r="H49" s="6">
        <v>0.09</v>
      </c>
      <c r="I49" s="2"/>
      <c r="J49" s="7">
        <f t="shared" si="39"/>
        <v>1.0022192474870189E-6</v>
      </c>
      <c r="K49" s="2"/>
      <c r="L49" s="6">
        <f t="shared" si="40"/>
        <v>-0.09</v>
      </c>
      <c r="M49" s="2"/>
      <c r="N49" s="7">
        <f t="shared" si="41"/>
        <v>-1</v>
      </c>
      <c r="O49" s="11"/>
      <c r="P49" s="6"/>
      <c r="Q49" s="2"/>
      <c r="R49" s="7">
        <f t="shared" si="42"/>
        <v>0</v>
      </c>
      <c r="S49" s="2"/>
      <c r="T49" s="6">
        <v>0.09</v>
      </c>
      <c r="U49" s="2"/>
      <c r="V49" s="7">
        <f t="shared" si="43"/>
        <v>1.0633583022071619E-7</v>
      </c>
      <c r="W49" s="2"/>
      <c r="X49" s="6">
        <f t="shared" si="44"/>
        <v>-0.09</v>
      </c>
      <c r="Y49" s="2"/>
      <c r="Z49" s="7">
        <f t="shared" si="45"/>
        <v>-1</v>
      </c>
    </row>
    <row r="50" spans="1:26" s="26" customFormat="1" outlineLevel="1" collapsed="1" x14ac:dyDescent="0.25">
      <c r="A50" s="27"/>
      <c r="B50" s="13" t="str">
        <f>CONCATENATE("     ","Donations                                         ")</f>
        <v xml:space="preserve">     Donations                                         </v>
      </c>
      <c r="C50" s="13"/>
      <c r="D50" s="1">
        <f>SUM(OSRRefD22_7x_0)</f>
        <v>0</v>
      </c>
      <c r="E50" s="1"/>
      <c r="F50" s="5">
        <f t="shared" si="38"/>
        <v>0</v>
      </c>
      <c r="G50" s="1"/>
      <c r="H50" s="1">
        <f>SUM(OSRRefH22_7x_0)</f>
        <v>0</v>
      </c>
      <c r="I50" s="1"/>
      <c r="J50" s="5">
        <f t="shared" si="39"/>
        <v>0</v>
      </c>
      <c r="K50" s="1"/>
      <c r="L50" s="1">
        <f t="shared" si="40"/>
        <v>0</v>
      </c>
      <c r="M50" s="1"/>
      <c r="N50" s="5">
        <f t="shared" si="41"/>
        <v>0</v>
      </c>
      <c r="O50" s="13"/>
      <c r="P50" s="1">
        <f>SUM(OSRRefP22_7x_0)</f>
        <v>0</v>
      </c>
      <c r="Q50" s="1"/>
      <c r="R50" s="5">
        <f t="shared" si="42"/>
        <v>0</v>
      </c>
      <c r="S50" s="1"/>
      <c r="T50" s="1">
        <f>SUM(OSRRefT22_7x_0)</f>
        <v>73</v>
      </c>
      <c r="U50" s="1"/>
      <c r="V50" s="5">
        <f t="shared" si="43"/>
        <v>8.625017340124758E-5</v>
      </c>
      <c r="W50" s="1"/>
      <c r="X50" s="1">
        <f t="shared" si="44"/>
        <v>-73</v>
      </c>
      <c r="Y50" s="1"/>
      <c r="Z50" s="5">
        <f t="shared" si="45"/>
        <v>-1</v>
      </c>
    </row>
    <row r="51" spans="1:26" s="24" customFormat="1" hidden="1" outlineLevel="2" x14ac:dyDescent="0.25">
      <c r="A51" s="25"/>
      <c r="B51" s="11" t="str">
        <f>CONCATENATE("          ", "6399", " - ", "DONATION-ON CAMPUS")</f>
        <v xml:space="preserve">          6399 - DONATION-ON CAMPUS</v>
      </c>
      <c r="C51" s="11"/>
      <c r="D51" s="6"/>
      <c r="E51" s="2"/>
      <c r="F51" s="7">
        <f t="shared" si="38"/>
        <v>0</v>
      </c>
      <c r="G51" s="2"/>
      <c r="H51" s="6"/>
      <c r="I51" s="2"/>
      <c r="J51" s="7">
        <f t="shared" si="39"/>
        <v>0</v>
      </c>
      <c r="K51" s="2"/>
      <c r="L51" s="6">
        <f t="shared" si="40"/>
        <v>0</v>
      </c>
      <c r="M51" s="2"/>
      <c r="N51" s="7">
        <f t="shared" si="41"/>
        <v>0</v>
      </c>
      <c r="O51" s="11"/>
      <c r="P51" s="6"/>
      <c r="Q51" s="2"/>
      <c r="R51" s="7">
        <f t="shared" si="42"/>
        <v>0</v>
      </c>
      <c r="S51" s="2"/>
      <c r="T51" s="6">
        <v>73</v>
      </c>
      <c r="U51" s="2"/>
      <c r="V51" s="7">
        <f t="shared" si="43"/>
        <v>8.625017340124758E-5</v>
      </c>
      <c r="W51" s="2"/>
      <c r="X51" s="6">
        <f t="shared" si="44"/>
        <v>-73</v>
      </c>
      <c r="Y51" s="2"/>
      <c r="Z51" s="7">
        <f t="shared" si="45"/>
        <v>-1</v>
      </c>
    </row>
    <row r="52" spans="1:26" s="26" customFormat="1" outlineLevel="1" collapsed="1" x14ac:dyDescent="0.25">
      <c r="A52" s="27"/>
      <c r="B52" s="13" t="str">
        <f>CONCATENATE("     ","Employees' Appreciation                           ")</f>
        <v xml:space="preserve">     Employees' Appreciation                           </v>
      </c>
      <c r="C52" s="13"/>
      <c r="D52" s="1">
        <f>SUM(OSRRefD22_8x_0)</f>
        <v>0</v>
      </c>
      <c r="E52" s="1"/>
      <c r="F52" s="5">
        <f t="shared" si="38"/>
        <v>0</v>
      </c>
      <c r="G52" s="1"/>
      <c r="H52" s="1">
        <f>SUM(OSRRefH22_8x_0)</f>
        <v>0</v>
      </c>
      <c r="I52" s="1"/>
      <c r="J52" s="5">
        <f t="shared" si="39"/>
        <v>0</v>
      </c>
      <c r="K52" s="1"/>
      <c r="L52" s="1">
        <f t="shared" si="40"/>
        <v>0</v>
      </c>
      <c r="M52" s="1"/>
      <c r="N52" s="5">
        <f t="shared" si="41"/>
        <v>0</v>
      </c>
      <c r="O52" s="13"/>
      <c r="P52" s="1">
        <f>SUM(OSRRefP22_8x_0)</f>
        <v>0</v>
      </c>
      <c r="Q52" s="1"/>
      <c r="R52" s="5">
        <f t="shared" si="42"/>
        <v>0</v>
      </c>
      <c r="S52" s="1"/>
      <c r="T52" s="1">
        <f>SUM(OSRRefT22_8x_0)</f>
        <v>8.25</v>
      </c>
      <c r="U52" s="1"/>
      <c r="V52" s="5">
        <f t="shared" si="43"/>
        <v>9.7474511035656499E-6</v>
      </c>
      <c r="W52" s="1"/>
      <c r="X52" s="1">
        <f t="shared" si="44"/>
        <v>-8.25</v>
      </c>
      <c r="Y52" s="1"/>
      <c r="Z52" s="5">
        <f t="shared" si="45"/>
        <v>-1</v>
      </c>
    </row>
    <row r="53" spans="1:26" s="24" customFormat="1" hidden="1" outlineLevel="2" x14ac:dyDescent="0.25">
      <c r="A53" s="25"/>
      <c r="B53" s="11" t="str">
        <f>CONCATENATE("          ", "6277", " - ", "EMPLOYEE APPRECIATION")</f>
        <v xml:space="preserve">          6277 - EMPLOYEE APPRECIATION</v>
      </c>
      <c r="C53" s="11"/>
      <c r="D53" s="6"/>
      <c r="E53" s="2"/>
      <c r="F53" s="7">
        <f t="shared" si="38"/>
        <v>0</v>
      </c>
      <c r="G53" s="2"/>
      <c r="H53" s="6"/>
      <c r="I53" s="2"/>
      <c r="J53" s="7">
        <f t="shared" si="39"/>
        <v>0</v>
      </c>
      <c r="K53" s="2"/>
      <c r="L53" s="6">
        <f t="shared" si="40"/>
        <v>0</v>
      </c>
      <c r="M53" s="2"/>
      <c r="N53" s="7">
        <f t="shared" si="41"/>
        <v>0</v>
      </c>
      <c r="O53" s="11"/>
      <c r="P53" s="6"/>
      <c r="Q53" s="2"/>
      <c r="R53" s="7">
        <f t="shared" si="42"/>
        <v>0</v>
      </c>
      <c r="S53" s="2"/>
      <c r="T53" s="6">
        <v>8.25</v>
      </c>
      <c r="U53" s="2"/>
      <c r="V53" s="7">
        <f t="shared" si="43"/>
        <v>9.7474511035656499E-6</v>
      </c>
      <c r="W53" s="2"/>
      <c r="X53" s="6">
        <f t="shared" si="44"/>
        <v>-8.25</v>
      </c>
      <c r="Y53" s="2"/>
      <c r="Z53" s="7">
        <f t="shared" si="45"/>
        <v>-1</v>
      </c>
    </row>
    <row r="54" spans="1:26" s="26" customFormat="1" outlineLevel="1" collapsed="1" x14ac:dyDescent="0.25">
      <c r="A54" s="27"/>
      <c r="B54" s="13" t="str">
        <f>CONCATENATE("     ","Equipment Rental                                  ")</f>
        <v xml:space="preserve">     Equipment Rental                                  </v>
      </c>
      <c r="C54" s="13"/>
      <c r="D54" s="1">
        <f>SUM(OSRRefD22_9x_0)</f>
        <v>0</v>
      </c>
      <c r="E54" s="1"/>
      <c r="F54" s="5">
        <f t="shared" si="38"/>
        <v>0</v>
      </c>
      <c r="G54" s="1"/>
      <c r="H54" s="1">
        <f>SUM(OSRRefH22_9x_0)</f>
        <v>2316.36</v>
      </c>
      <c r="I54" s="1"/>
      <c r="J54" s="5">
        <f t="shared" si="39"/>
        <v>2.5794450845655899E-2</v>
      </c>
      <c r="K54" s="1"/>
      <c r="L54" s="1">
        <f t="shared" si="40"/>
        <v>-2316.36</v>
      </c>
      <c r="M54" s="1"/>
      <c r="N54" s="5">
        <f t="shared" si="41"/>
        <v>-1</v>
      </c>
      <c r="O54" s="13"/>
      <c r="P54" s="1">
        <f>SUM(OSRRefP22_9x_0)</f>
        <v>263.72000000000003</v>
      </c>
      <c r="Q54" s="1"/>
      <c r="R54" s="5">
        <f t="shared" si="42"/>
        <v>0</v>
      </c>
      <c r="S54" s="1"/>
      <c r="T54" s="1">
        <f>SUM(OSRRefT22_9x_0)</f>
        <v>5304.03</v>
      </c>
      <c r="U54" s="1"/>
      <c r="V54" s="5">
        <f t="shared" si="43"/>
        <v>6.2667603729509476E-3</v>
      </c>
      <c r="W54" s="1"/>
      <c r="X54" s="1">
        <f t="shared" si="44"/>
        <v>-5040.3099999999995</v>
      </c>
      <c r="Y54" s="1"/>
      <c r="Z54" s="5">
        <f t="shared" si="45"/>
        <v>-0.95027931591638803</v>
      </c>
    </row>
    <row r="55" spans="1:26" s="24" customFormat="1" hidden="1" outlineLevel="2" x14ac:dyDescent="0.25">
      <c r="A55" s="25"/>
      <c r="B55" s="11" t="str">
        <f>CONCATENATE("          ", "6351", " - ", "EQUIPMENT RENTAL")</f>
        <v xml:space="preserve">          6351 - EQUIPMENT RENTAL</v>
      </c>
      <c r="C55" s="11"/>
      <c r="D55" s="6"/>
      <c r="E55" s="2"/>
      <c r="F55" s="7">
        <f t="shared" si="38"/>
        <v>0</v>
      </c>
      <c r="G55" s="2"/>
      <c r="H55" s="6">
        <v>2316.36</v>
      </c>
      <c r="I55" s="2"/>
      <c r="J55" s="7">
        <f t="shared" si="39"/>
        <v>2.5794450845655899E-2</v>
      </c>
      <c r="K55" s="2"/>
      <c r="L55" s="6">
        <f t="shared" si="40"/>
        <v>-2316.36</v>
      </c>
      <c r="M55" s="2"/>
      <c r="N55" s="7">
        <f t="shared" si="41"/>
        <v>-1</v>
      </c>
      <c r="O55" s="11"/>
      <c r="P55" s="6">
        <v>263.72000000000003</v>
      </c>
      <c r="Q55" s="2"/>
      <c r="R55" s="7">
        <f t="shared" si="42"/>
        <v>0</v>
      </c>
      <c r="S55" s="2"/>
      <c r="T55" s="6">
        <v>5304.03</v>
      </c>
      <c r="U55" s="2"/>
      <c r="V55" s="7">
        <f t="shared" si="43"/>
        <v>6.2667603729509476E-3</v>
      </c>
      <c r="W55" s="2"/>
      <c r="X55" s="6">
        <f t="shared" si="44"/>
        <v>-5040.3099999999995</v>
      </c>
      <c r="Y55" s="2"/>
      <c r="Z55" s="7">
        <f t="shared" si="45"/>
        <v>-0.95027931591638803</v>
      </c>
    </row>
    <row r="56" spans="1:26" s="26" customFormat="1" outlineLevel="1" collapsed="1" x14ac:dyDescent="0.25">
      <c r="A56" s="27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0</v>
      </c>
      <c r="E56" s="1"/>
      <c r="F56" s="5">
        <f t="shared" si="38"/>
        <v>0</v>
      </c>
      <c r="G56" s="1"/>
      <c r="H56" s="1">
        <f>SUM(OSRRefH22_10x_0)</f>
        <v>1780.7</v>
      </c>
      <c r="I56" s="1"/>
      <c r="J56" s="5">
        <f t="shared" si="39"/>
        <v>1.9829464600001494E-2</v>
      </c>
      <c r="K56" s="1"/>
      <c r="L56" s="1">
        <f t="shared" si="40"/>
        <v>-1780.7</v>
      </c>
      <c r="M56" s="1"/>
      <c r="N56" s="5">
        <f t="shared" si="41"/>
        <v>-1</v>
      </c>
      <c r="O56" s="13"/>
      <c r="P56" s="1">
        <f>SUM(OSRRefP22_10x_0)</f>
        <v>1284.55</v>
      </c>
      <c r="Q56" s="1"/>
      <c r="R56" s="5">
        <f t="shared" si="42"/>
        <v>0</v>
      </c>
      <c r="S56" s="1"/>
      <c r="T56" s="1">
        <f>SUM(OSRRefT22_10x_0)</f>
        <v>10559.48</v>
      </c>
      <c r="U56" s="1"/>
      <c r="V56" s="5">
        <f t="shared" si="43"/>
        <v>1.2476123027767202E-2</v>
      </c>
      <c r="W56" s="1"/>
      <c r="X56" s="1">
        <f t="shared" si="44"/>
        <v>-9274.93</v>
      </c>
      <c r="Y56" s="1"/>
      <c r="Z56" s="5">
        <f t="shared" si="45"/>
        <v>-0.87835101728494214</v>
      </c>
    </row>
    <row r="57" spans="1:26" s="24" customFormat="1" hidden="1" outlineLevel="2" x14ac:dyDescent="0.25">
      <c r="A57" s="25"/>
      <c r="B57" s="11" t="str">
        <f>CONCATENATE("          ", "6269", " - ", "ENTERTAINMENT")</f>
        <v xml:space="preserve">          6269 - ENTERTAINMENT</v>
      </c>
      <c r="C57" s="11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1"/>
      <c r="P57" s="6"/>
      <c r="Q57" s="2"/>
      <c r="R57" s="7">
        <f t="shared" si="42"/>
        <v>0</v>
      </c>
      <c r="S57" s="2"/>
      <c r="T57" s="6">
        <v>7350</v>
      </c>
      <c r="U57" s="2"/>
      <c r="V57" s="7">
        <f t="shared" si="43"/>
        <v>8.6840928013584891E-3</v>
      </c>
      <c r="W57" s="2"/>
      <c r="X57" s="6">
        <f t="shared" si="44"/>
        <v>-7350</v>
      </c>
      <c r="Y57" s="2"/>
      <c r="Z57" s="7">
        <f t="shared" si="45"/>
        <v>-1</v>
      </c>
    </row>
    <row r="58" spans="1:26" s="24" customFormat="1" hidden="1" outlineLevel="2" x14ac:dyDescent="0.25">
      <c r="A58" s="25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38"/>
        <v>0</v>
      </c>
      <c r="G58" s="2"/>
      <c r="H58" s="6">
        <v>1780.7</v>
      </c>
      <c r="I58" s="2"/>
      <c r="J58" s="7">
        <f t="shared" si="39"/>
        <v>1.9829464600001494E-2</v>
      </c>
      <c r="K58" s="2"/>
      <c r="L58" s="6">
        <f t="shared" si="40"/>
        <v>-1780.7</v>
      </c>
      <c r="M58" s="2"/>
      <c r="N58" s="7">
        <f t="shared" si="41"/>
        <v>-1</v>
      </c>
      <c r="O58" s="11"/>
      <c r="P58" s="6">
        <v>1284.55</v>
      </c>
      <c r="Q58" s="2"/>
      <c r="R58" s="7">
        <f t="shared" si="42"/>
        <v>0</v>
      </c>
      <c r="S58" s="2"/>
      <c r="T58" s="6">
        <v>3209.48</v>
      </c>
      <c r="U58" s="2"/>
      <c r="V58" s="7">
        <f t="shared" si="43"/>
        <v>3.7920302264087134E-3</v>
      </c>
      <c r="W58" s="2"/>
      <c r="X58" s="6">
        <f t="shared" si="44"/>
        <v>-1924.93</v>
      </c>
      <c r="Y58" s="2"/>
      <c r="Z58" s="7">
        <f t="shared" si="45"/>
        <v>-0.59976382466941691</v>
      </c>
    </row>
    <row r="59" spans="1:26" s="26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0</v>
      </c>
      <c r="E59" s="1"/>
      <c r="F59" s="5">
        <f t="shared" ref="F59:F62" si="46">IF(D$12=0,0,D59/D$12)</f>
        <v>0</v>
      </c>
      <c r="G59" s="1"/>
      <c r="H59" s="1">
        <f>SUM(OSRRefH22_11x_0)</f>
        <v>3012.26</v>
      </c>
      <c r="I59" s="1"/>
      <c r="J59" s="5">
        <f t="shared" ref="J59:J62" si="47">IF(H$12=0,0,H59/H$12)</f>
        <v>3.3543832782613865E-2</v>
      </c>
      <c r="K59" s="1"/>
      <c r="L59" s="1">
        <f t="shared" ref="L59:L62" si="48">+D59-H59</f>
        <v>-3012.26</v>
      </c>
      <c r="M59" s="1"/>
      <c r="N59" s="5">
        <f t="shared" ref="N59:N62" si="49">IF(H59=0,0,L59/H59)</f>
        <v>-1</v>
      </c>
      <c r="O59" s="13"/>
      <c r="P59" s="1">
        <f>SUM(OSRRefP22_11x_0)</f>
        <v>476.33</v>
      </c>
      <c r="Q59" s="1"/>
      <c r="R59" s="5">
        <f t="shared" ref="R59:R62" si="50">IF(P$12=0,0,P59/P$12)</f>
        <v>0</v>
      </c>
      <c r="S59" s="1"/>
      <c r="T59" s="1">
        <f>SUM(OSRRefT22_11x_0)</f>
        <v>16779.79</v>
      </c>
      <c r="U59" s="1"/>
      <c r="V59" s="5">
        <f t="shared" ref="V59:V62" si="51">IF(T$12=0,0,T59/T$12)</f>
        <v>1.9825476673103016E-2</v>
      </c>
      <c r="W59" s="1"/>
      <c r="X59" s="1">
        <f t="shared" ref="X59:X62" si="52">+P59-T59</f>
        <v>-16303.460000000001</v>
      </c>
      <c r="Y59" s="1"/>
      <c r="Z59" s="5">
        <f t="shared" ref="Z59:Z62" si="53">IF(T59=0,0,X59/T59)</f>
        <v>-0.97161287477376057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46"/>
        <v>0</v>
      </c>
      <c r="G60" s="2"/>
      <c r="H60" s="6"/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1"/>
      <c r="P60" s="6"/>
      <c r="Q60" s="2"/>
      <c r="R60" s="7">
        <f t="shared" si="50"/>
        <v>0</v>
      </c>
      <c r="S60" s="2"/>
      <c r="T60" s="6">
        <v>2623.85</v>
      </c>
      <c r="U60" s="2"/>
      <c r="V60" s="7">
        <f t="shared" si="51"/>
        <v>3.1001029791625128E-3</v>
      </c>
      <c r="W60" s="2"/>
      <c r="X60" s="6">
        <f t="shared" si="52"/>
        <v>-2623.85</v>
      </c>
      <c r="Y60" s="2"/>
      <c r="Z60" s="7">
        <f t="shared" si="53"/>
        <v>-1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>
        <v>476.33</v>
      </c>
      <c r="Q61" s="2"/>
      <c r="R61" s="7">
        <f t="shared" si="50"/>
        <v>0</v>
      </c>
      <c r="S61" s="2"/>
      <c r="T61" s="6">
        <v>1245.08</v>
      </c>
      <c r="U61" s="2"/>
      <c r="V61" s="7">
        <f t="shared" si="51"/>
        <v>1.4710735054578811E-3</v>
      </c>
      <c r="W61" s="2"/>
      <c r="X61" s="6">
        <f t="shared" si="52"/>
        <v>-768.75</v>
      </c>
      <c r="Y61" s="2"/>
      <c r="Z61" s="7">
        <f t="shared" si="53"/>
        <v>-0.61743020528801362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46"/>
        <v>0</v>
      </c>
      <c r="G62" s="2"/>
      <c r="H62" s="6">
        <v>3012.26</v>
      </c>
      <c r="I62" s="2"/>
      <c r="J62" s="7">
        <f t="shared" si="47"/>
        <v>3.3543832782613865E-2</v>
      </c>
      <c r="K62" s="2"/>
      <c r="L62" s="6">
        <f t="shared" si="48"/>
        <v>-3012.26</v>
      </c>
      <c r="M62" s="2"/>
      <c r="N62" s="7">
        <f t="shared" si="49"/>
        <v>-1</v>
      </c>
      <c r="O62" s="11"/>
      <c r="P62" s="6"/>
      <c r="Q62" s="2"/>
      <c r="R62" s="7">
        <f t="shared" si="50"/>
        <v>0</v>
      </c>
      <c r="S62" s="2"/>
      <c r="T62" s="6">
        <v>12910.86</v>
      </c>
      <c r="U62" s="2"/>
      <c r="V62" s="7">
        <f t="shared" si="51"/>
        <v>1.525430018848262E-2</v>
      </c>
      <c r="W62" s="2"/>
      <c r="X62" s="6">
        <f t="shared" si="52"/>
        <v>-12910.86</v>
      </c>
      <c r="Y62" s="2"/>
      <c r="Z62" s="7">
        <f t="shared" si="53"/>
        <v>-1</v>
      </c>
    </row>
    <row r="63" spans="1:26" s="26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0</v>
      </c>
      <c r="E63" s="1"/>
      <c r="F63" s="5">
        <f t="shared" ref="F63:F66" si="54">IF(D$12=0,0,D63/D$12)</f>
        <v>0</v>
      </c>
      <c r="G63" s="1"/>
      <c r="H63" s="1">
        <f>SUM(OSRRefH22_12x_0)</f>
        <v>813.5</v>
      </c>
      <c r="I63" s="1"/>
      <c r="J63" s="5">
        <f t="shared" ref="J63:J66" si="55">IF(H$12=0,0,H63/H$12)</f>
        <v>9.0589484203409988E-3</v>
      </c>
      <c r="K63" s="1"/>
      <c r="L63" s="1">
        <f t="shared" ref="L63:L66" si="56">+D63-H63</f>
        <v>-813.5</v>
      </c>
      <c r="M63" s="1"/>
      <c r="N63" s="5">
        <f t="shared" ref="N63:N66" si="57">IF(H63=0,0,L63/H63)</f>
        <v>-1</v>
      </c>
      <c r="O63" s="13"/>
      <c r="P63" s="1">
        <f>SUM(OSRRefP22_12x_0)</f>
        <v>0</v>
      </c>
      <c r="Q63" s="1"/>
      <c r="R63" s="5">
        <f t="shared" ref="R63:R66" si="58">IF(P$12=0,0,P63/P$12)</f>
        <v>0</v>
      </c>
      <c r="S63" s="1"/>
      <c r="T63" s="1">
        <f>SUM(OSRRefT22_12x_0)</f>
        <v>2434.65</v>
      </c>
      <c r="U63" s="1"/>
      <c r="V63" s="5">
        <f t="shared" ref="V63:V66" si="59">IF(T$12=0,0,T63/T$12)</f>
        <v>2.8765614338540743E-3</v>
      </c>
      <c r="W63" s="1"/>
      <c r="X63" s="1">
        <f t="shared" ref="X63:X66" si="60">+P63-T63</f>
        <v>-2434.65</v>
      </c>
      <c r="Y63" s="1"/>
      <c r="Z63" s="5">
        <f t="shared" ref="Z63:Z66" si="61">IF(T63=0,0,X63/T63)</f>
        <v>-1</v>
      </c>
    </row>
    <row r="64" spans="1:26" s="24" customFormat="1" hidden="1" outlineLevel="2" x14ac:dyDescent="0.25">
      <c r="A64" s="25"/>
      <c r="B64" s="11" t="str">
        <f>CONCATENATE("          ", "6283", " - ", "PLANT SERVICE")</f>
        <v xml:space="preserve">          6283 - PLANT SERVICE</v>
      </c>
      <c r="C64" s="11"/>
      <c r="D64" s="6"/>
      <c r="E64" s="2"/>
      <c r="F64" s="7">
        <f t="shared" si="54"/>
        <v>0</v>
      </c>
      <c r="G64" s="2"/>
      <c r="H64" s="6"/>
      <c r="I64" s="2"/>
      <c r="J64" s="7">
        <f t="shared" si="55"/>
        <v>0</v>
      </c>
      <c r="K64" s="2"/>
      <c r="L64" s="6">
        <f t="shared" si="56"/>
        <v>0</v>
      </c>
      <c r="M64" s="2"/>
      <c r="N64" s="7">
        <f t="shared" si="57"/>
        <v>0</v>
      </c>
      <c r="O64" s="11"/>
      <c r="P64" s="6"/>
      <c r="Q64" s="2"/>
      <c r="R64" s="7">
        <f t="shared" si="58"/>
        <v>0</v>
      </c>
      <c r="S64" s="2"/>
      <c r="T64" s="6">
        <v>159</v>
      </c>
      <c r="U64" s="2"/>
      <c r="V64" s="7">
        <f t="shared" si="59"/>
        <v>1.8785996672326526E-4</v>
      </c>
      <c r="W64" s="2"/>
      <c r="X64" s="6">
        <f t="shared" si="60"/>
        <v>-159</v>
      </c>
      <c r="Y64" s="2"/>
      <c r="Z64" s="7">
        <f t="shared" si="61"/>
        <v>-1</v>
      </c>
    </row>
    <row r="65" spans="1:26" s="24" customFormat="1" hidden="1" outlineLevel="2" x14ac:dyDescent="0.25">
      <c r="A65" s="25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54"/>
        <v>0</v>
      </c>
      <c r="G65" s="2"/>
      <c r="H65" s="6">
        <v>584</v>
      </c>
      <c r="I65" s="2"/>
      <c r="J65" s="7">
        <f t="shared" si="55"/>
        <v>6.5032893392490999E-3</v>
      </c>
      <c r="K65" s="2"/>
      <c r="L65" s="6">
        <f t="shared" si="56"/>
        <v>-584</v>
      </c>
      <c r="M65" s="2"/>
      <c r="N65" s="7">
        <f t="shared" si="57"/>
        <v>-1</v>
      </c>
      <c r="O65" s="11"/>
      <c r="P65" s="6"/>
      <c r="Q65" s="2"/>
      <c r="R65" s="7">
        <f t="shared" si="58"/>
        <v>0</v>
      </c>
      <c r="S65" s="2"/>
      <c r="T65" s="6">
        <v>934</v>
      </c>
      <c r="U65" s="2"/>
      <c r="V65" s="7">
        <f t="shared" si="59"/>
        <v>1.1035296158460992E-3</v>
      </c>
      <c r="W65" s="2"/>
      <c r="X65" s="6">
        <f t="shared" si="60"/>
        <v>-934</v>
      </c>
      <c r="Y65" s="2"/>
      <c r="Z65" s="7">
        <f t="shared" si="61"/>
        <v>-1</v>
      </c>
    </row>
    <row r="66" spans="1:26" s="24" customFormat="1" hidden="1" outlineLevel="2" x14ac:dyDescent="0.25">
      <c r="A66" s="25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54"/>
        <v>0</v>
      </c>
      <c r="G66" s="2"/>
      <c r="H66" s="6">
        <v>229.5</v>
      </c>
      <c r="I66" s="2"/>
      <c r="J66" s="7">
        <f t="shared" si="55"/>
        <v>2.555659081091898E-3</v>
      </c>
      <c r="K66" s="2"/>
      <c r="L66" s="6">
        <f t="shared" si="56"/>
        <v>-229.5</v>
      </c>
      <c r="M66" s="2"/>
      <c r="N66" s="7">
        <f t="shared" si="57"/>
        <v>-1</v>
      </c>
      <c r="O66" s="11"/>
      <c r="P66" s="6"/>
      <c r="Q66" s="2"/>
      <c r="R66" s="7">
        <f t="shared" si="58"/>
        <v>0</v>
      </c>
      <c r="S66" s="2"/>
      <c r="T66" s="6">
        <v>1341.65</v>
      </c>
      <c r="U66" s="2"/>
      <c r="V66" s="7">
        <f t="shared" si="59"/>
        <v>1.5851718512847098E-3</v>
      </c>
      <c r="W66" s="2"/>
      <c r="X66" s="6">
        <f t="shared" si="60"/>
        <v>-1341.65</v>
      </c>
      <c r="Y66" s="2"/>
      <c r="Z66" s="7">
        <f t="shared" si="61"/>
        <v>-1</v>
      </c>
    </row>
    <row r="67" spans="1:26" s="26" customFormat="1" outlineLevel="1" collapsed="1" x14ac:dyDescent="0.25">
      <c r="A67" s="27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SUM(OSRRefD22_13x_0)</f>
        <v>0</v>
      </c>
      <c r="E67" s="1"/>
      <c r="F67" s="5">
        <f t="shared" ref="F67:F69" si="62">IF(D$12=0,0,D67/D$12)</f>
        <v>0</v>
      </c>
      <c r="G67" s="1"/>
      <c r="H67" s="1">
        <f>SUM(OSRRefH22_13x_0)</f>
        <v>196.71</v>
      </c>
      <c r="I67" s="1"/>
      <c r="J67" s="5">
        <f t="shared" ref="J67:J69" si="63">IF(H$12=0,0,H67/H$12)</f>
        <v>2.1905172019241275E-3</v>
      </c>
      <c r="K67" s="1"/>
      <c r="L67" s="1">
        <f t="shared" ref="L67:L69" si="64">+D67-H67</f>
        <v>-196.71</v>
      </c>
      <c r="M67" s="1"/>
      <c r="N67" s="5">
        <f t="shared" ref="N67:N69" si="65">IF(H67=0,0,L67/H67)</f>
        <v>-1</v>
      </c>
      <c r="O67" s="13"/>
      <c r="P67" s="1">
        <f>SUM(OSRRefP22_13x_0)</f>
        <v>0</v>
      </c>
      <c r="Q67" s="1"/>
      <c r="R67" s="5">
        <f t="shared" ref="R67:R69" si="66">IF(P$12=0,0,P67/P$12)</f>
        <v>0</v>
      </c>
      <c r="S67" s="1"/>
      <c r="T67" s="1">
        <f>SUM(OSRRefT22_13x_0)</f>
        <v>2354.9700000000003</v>
      </c>
      <c r="U67" s="1"/>
      <c r="V67" s="5">
        <f t="shared" ref="V67:V69" si="67">IF(T$12=0,0,T67/T$12)</f>
        <v>2.7824187788320002E-3</v>
      </c>
      <c r="W67" s="1"/>
      <c r="X67" s="1">
        <f t="shared" ref="X67:X69" si="68">+P67-T67</f>
        <v>-2354.9700000000003</v>
      </c>
      <c r="Y67" s="1"/>
      <c r="Z67" s="5">
        <f t="shared" ref="Z67:Z69" si="69">IF(T67=0,0,X67/T67)</f>
        <v>-1</v>
      </c>
    </row>
    <row r="68" spans="1:26" s="24" customFormat="1" hidden="1" outlineLevel="2" x14ac:dyDescent="0.25">
      <c r="A68" s="25"/>
      <c r="B68" s="11" t="str">
        <f>CONCATENATE("          ", "6258", " - ", "MEMBERSHIP DUES")</f>
        <v xml:space="preserve">          6258 - MEMBERSHIP DUES</v>
      </c>
      <c r="C68" s="11"/>
      <c r="D68" s="6"/>
      <c r="E68" s="2"/>
      <c r="F68" s="7">
        <f t="shared" si="62"/>
        <v>0</v>
      </c>
      <c r="G68" s="2"/>
      <c r="H68" s="6"/>
      <c r="I68" s="2"/>
      <c r="J68" s="7">
        <f t="shared" si="63"/>
        <v>0</v>
      </c>
      <c r="K68" s="2"/>
      <c r="L68" s="6">
        <f t="shared" si="64"/>
        <v>0</v>
      </c>
      <c r="M68" s="2"/>
      <c r="N68" s="7">
        <f t="shared" si="65"/>
        <v>0</v>
      </c>
      <c r="O68" s="11"/>
      <c r="P68" s="6"/>
      <c r="Q68" s="2"/>
      <c r="R68" s="7">
        <f t="shared" si="66"/>
        <v>0</v>
      </c>
      <c r="S68" s="2"/>
      <c r="T68" s="6">
        <v>978</v>
      </c>
      <c r="U68" s="2"/>
      <c r="V68" s="7">
        <f t="shared" si="67"/>
        <v>1.1555160217317825E-3</v>
      </c>
      <c r="W68" s="2"/>
      <c r="X68" s="6">
        <f t="shared" si="68"/>
        <v>-978</v>
      </c>
      <c r="Y68" s="2"/>
      <c r="Z68" s="7">
        <f t="shared" si="69"/>
        <v>-1</v>
      </c>
    </row>
    <row r="69" spans="1:26" s="24" customFormat="1" hidden="1" outlineLevel="2" x14ac:dyDescent="0.25">
      <c r="A69" s="25"/>
      <c r="B69" s="11" t="str">
        <f>CONCATENATE("          ", "6275", " - ", "SUBSCRIPTIONS")</f>
        <v xml:space="preserve">          6275 - SUBSCRIPTIONS</v>
      </c>
      <c r="C69" s="11"/>
      <c r="D69" s="6"/>
      <c r="E69" s="2"/>
      <c r="F69" s="7">
        <f t="shared" si="62"/>
        <v>0</v>
      </c>
      <c r="G69" s="2"/>
      <c r="H69" s="6">
        <v>196.71</v>
      </c>
      <c r="I69" s="2"/>
      <c r="J69" s="7">
        <f t="shared" si="63"/>
        <v>2.1905172019241275E-3</v>
      </c>
      <c r="K69" s="2"/>
      <c r="L69" s="6">
        <f t="shared" si="64"/>
        <v>-196.71</v>
      </c>
      <c r="M69" s="2"/>
      <c r="N69" s="7">
        <f t="shared" si="65"/>
        <v>-1</v>
      </c>
      <c r="O69" s="11"/>
      <c r="P69" s="6"/>
      <c r="Q69" s="2"/>
      <c r="R69" s="7">
        <f t="shared" si="66"/>
        <v>0</v>
      </c>
      <c r="S69" s="2"/>
      <c r="T69" s="6">
        <v>1376.97</v>
      </c>
      <c r="U69" s="2"/>
      <c r="V69" s="7">
        <f t="shared" si="67"/>
        <v>1.6269027571002175E-3</v>
      </c>
      <c r="W69" s="2"/>
      <c r="X69" s="6">
        <f t="shared" si="68"/>
        <v>-1376.97</v>
      </c>
      <c r="Y69" s="2"/>
      <c r="Z69" s="7">
        <f t="shared" si="69"/>
        <v>-1</v>
      </c>
    </row>
    <row r="70" spans="1:26" s="26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0</v>
      </c>
      <c r="E70" s="1"/>
      <c r="F70" s="5">
        <f t="shared" ref="F70:F77" si="70">IF(D$12=0,0,D70/D$12)</f>
        <v>0</v>
      </c>
      <c r="G70" s="1"/>
      <c r="H70" s="1">
        <f>SUM(OSRRefH22_14x_0)</f>
        <v>1358.99</v>
      </c>
      <c r="I70" s="1"/>
      <c r="J70" s="5">
        <f t="shared" ref="J70:J77" si="71">IF(H$12=0,0,H70/H$12)</f>
        <v>1.5133399279359819E-2</v>
      </c>
      <c r="K70" s="1"/>
      <c r="L70" s="1">
        <f t="shared" ref="L70:L77" si="72">+D70-H70</f>
        <v>-1358.99</v>
      </c>
      <c r="M70" s="1"/>
      <c r="N70" s="5">
        <f t="shared" ref="N70:N77" si="73">IF(H70=0,0,L70/H70)</f>
        <v>-1</v>
      </c>
      <c r="O70" s="13"/>
      <c r="P70" s="1">
        <f>SUM(OSRRefP22_14x_0)</f>
        <v>0</v>
      </c>
      <c r="Q70" s="1"/>
      <c r="R70" s="5">
        <f t="shared" ref="R70:R77" si="74">IF(P$12=0,0,P70/P$12)</f>
        <v>0</v>
      </c>
      <c r="S70" s="1"/>
      <c r="T70" s="1">
        <f>SUM(OSRRefT22_14x_0)</f>
        <v>7901.27</v>
      </c>
      <c r="U70" s="1"/>
      <c r="V70" s="5">
        <f t="shared" ref="V70:V77" si="75">IF(T$12=0,0,T70/T$12)</f>
        <v>9.33542339164487E-3</v>
      </c>
      <c r="W70" s="1"/>
      <c r="X70" s="1">
        <f t="shared" ref="X70:X77" si="76">+P70-T70</f>
        <v>-7901.27</v>
      </c>
      <c r="Y70" s="1"/>
      <c r="Z70" s="5">
        <f t="shared" ref="Z70:Z77" si="77">IF(T70=0,0,X70/T70)</f>
        <v>-1</v>
      </c>
    </row>
    <row r="71" spans="1:26" s="24" customFormat="1" hidden="1" outlineLevel="2" x14ac:dyDescent="0.25">
      <c r="A71" s="25"/>
      <c r="B71" s="11" t="str">
        <f>CONCATENATE("          ", "6237", " - ", "JANITORIAL SUPPLIES")</f>
        <v xml:space="preserve">          6237 - JANITORIAL SUPPLIES</v>
      </c>
      <c r="C71" s="11"/>
      <c r="D71" s="6"/>
      <c r="E71" s="2"/>
      <c r="F71" s="7">
        <f t="shared" si="70"/>
        <v>0</v>
      </c>
      <c r="G71" s="2"/>
      <c r="H71" s="6">
        <v>17.62</v>
      </c>
      <c r="I71" s="2"/>
      <c r="J71" s="7">
        <f t="shared" si="71"/>
        <v>1.9621225711912525E-4</v>
      </c>
      <c r="K71" s="2"/>
      <c r="L71" s="6">
        <f t="shared" si="72"/>
        <v>-17.62</v>
      </c>
      <c r="M71" s="2"/>
      <c r="N71" s="7">
        <f t="shared" si="73"/>
        <v>-1</v>
      </c>
      <c r="O71" s="11"/>
      <c r="P71" s="6"/>
      <c r="Q71" s="2"/>
      <c r="R71" s="7">
        <f t="shared" si="74"/>
        <v>0</v>
      </c>
      <c r="S71" s="2"/>
      <c r="T71" s="6">
        <v>17.62</v>
      </c>
      <c r="U71" s="2"/>
      <c r="V71" s="7">
        <f t="shared" si="75"/>
        <v>2.0818192538766881E-5</v>
      </c>
      <c r="W71" s="2"/>
      <c r="X71" s="6">
        <f t="shared" si="76"/>
        <v>-17.62</v>
      </c>
      <c r="Y71" s="2"/>
      <c r="Z71" s="7">
        <f t="shared" si="77"/>
        <v>-1</v>
      </c>
    </row>
    <row r="72" spans="1:26" s="24" customFormat="1" hidden="1" outlineLevel="2" x14ac:dyDescent="0.25">
      <c r="A72" s="25"/>
      <c r="B72" s="11" t="str">
        <f>CONCATENATE("          ", "6239", " - ", "KITCHEN SUPPLIES")</f>
        <v xml:space="preserve">          6239 - KITCHEN SUPPLIES</v>
      </c>
      <c r="C72" s="11"/>
      <c r="D72" s="6"/>
      <c r="E72" s="2"/>
      <c r="F72" s="7">
        <f t="shared" si="70"/>
        <v>0</v>
      </c>
      <c r="G72" s="2"/>
      <c r="H72" s="6">
        <v>77.55</v>
      </c>
      <c r="I72" s="2"/>
      <c r="J72" s="7">
        <f t="shared" si="71"/>
        <v>8.6357891825131455E-4</v>
      </c>
      <c r="K72" s="2"/>
      <c r="L72" s="6">
        <f t="shared" si="72"/>
        <v>-77.55</v>
      </c>
      <c r="M72" s="2"/>
      <c r="N72" s="7">
        <f t="shared" si="73"/>
        <v>-1</v>
      </c>
      <c r="O72" s="11"/>
      <c r="P72" s="6"/>
      <c r="Q72" s="2"/>
      <c r="R72" s="7">
        <f t="shared" si="74"/>
        <v>0</v>
      </c>
      <c r="S72" s="2"/>
      <c r="T72" s="6">
        <v>788.08</v>
      </c>
      <c r="U72" s="2"/>
      <c r="V72" s="7">
        <f t="shared" si="75"/>
        <v>9.3112378978157798E-4</v>
      </c>
      <c r="W72" s="2"/>
      <c r="X72" s="6">
        <f t="shared" si="76"/>
        <v>-788.08</v>
      </c>
      <c r="Y72" s="2"/>
      <c r="Z72" s="7">
        <f t="shared" si="77"/>
        <v>-1</v>
      </c>
    </row>
    <row r="73" spans="1:26" s="24" customFormat="1" hidden="1" outlineLevel="2" x14ac:dyDescent="0.25">
      <c r="A73" s="25"/>
      <c r="B73" s="11" t="str">
        <f>CONCATENATE("          ", "6241", " - ", "OFFICE EXPENSE")</f>
        <v xml:space="preserve">          6241 - OFFICE EXPENSE</v>
      </c>
      <c r="C73" s="11"/>
      <c r="D73" s="6"/>
      <c r="E73" s="2"/>
      <c r="F73" s="7">
        <f t="shared" si="70"/>
        <v>0</v>
      </c>
      <c r="G73" s="2"/>
      <c r="H73" s="6">
        <v>34.51</v>
      </c>
      <c r="I73" s="2"/>
      <c r="J73" s="7">
        <f t="shared" si="71"/>
        <v>3.8429540256418912E-4</v>
      </c>
      <c r="K73" s="2"/>
      <c r="L73" s="6">
        <f t="shared" si="72"/>
        <v>-34.51</v>
      </c>
      <c r="M73" s="2"/>
      <c r="N73" s="7">
        <f t="shared" si="73"/>
        <v>-1</v>
      </c>
      <c r="O73" s="11"/>
      <c r="P73" s="6"/>
      <c r="Q73" s="2"/>
      <c r="R73" s="7">
        <f t="shared" si="74"/>
        <v>0</v>
      </c>
      <c r="S73" s="2"/>
      <c r="T73" s="6">
        <v>1632.14</v>
      </c>
      <c r="U73" s="2"/>
      <c r="V73" s="7">
        <f t="shared" si="75"/>
        <v>1.9283884659604415E-3</v>
      </c>
      <c r="W73" s="2"/>
      <c r="X73" s="6">
        <f t="shared" si="76"/>
        <v>-1632.14</v>
      </c>
      <c r="Y73" s="2"/>
      <c r="Z73" s="7">
        <f t="shared" si="77"/>
        <v>-1</v>
      </c>
    </row>
    <row r="74" spans="1:26" s="24" customFormat="1" hidden="1" outlineLevel="2" x14ac:dyDescent="0.25">
      <c r="A74" s="25"/>
      <c r="B74" s="11" t="str">
        <f>CONCATENATE("          ", "6243", " - ", "PAPER SUPPLIES")</f>
        <v xml:space="preserve">          6243 - PAPER SUPPLIES</v>
      </c>
      <c r="C74" s="11"/>
      <c r="D74" s="6"/>
      <c r="E74" s="2"/>
      <c r="F74" s="7">
        <f t="shared" si="70"/>
        <v>0</v>
      </c>
      <c r="G74" s="2"/>
      <c r="H74" s="6">
        <v>1109.31</v>
      </c>
      <c r="I74" s="2"/>
      <c r="J74" s="7">
        <f t="shared" si="71"/>
        <v>1.2353020371442498E-2</v>
      </c>
      <c r="K74" s="2"/>
      <c r="L74" s="6">
        <f t="shared" si="72"/>
        <v>-1109.31</v>
      </c>
      <c r="M74" s="2"/>
      <c r="N74" s="7">
        <f t="shared" si="73"/>
        <v>-1</v>
      </c>
      <c r="O74" s="11"/>
      <c r="P74" s="6"/>
      <c r="Q74" s="2"/>
      <c r="R74" s="7">
        <f t="shared" si="74"/>
        <v>0</v>
      </c>
      <c r="S74" s="2"/>
      <c r="T74" s="6">
        <v>3276.53</v>
      </c>
      <c r="U74" s="2"/>
      <c r="V74" s="7">
        <f t="shared" si="75"/>
        <v>3.8712504199231472E-3</v>
      </c>
      <c r="W74" s="2"/>
      <c r="X74" s="6">
        <f t="shared" si="76"/>
        <v>-3276.53</v>
      </c>
      <c r="Y74" s="2"/>
      <c r="Z74" s="7">
        <f t="shared" si="77"/>
        <v>-1</v>
      </c>
    </row>
    <row r="75" spans="1:26" s="24" customFormat="1" hidden="1" outlineLevel="2" x14ac:dyDescent="0.25">
      <c r="A75" s="25"/>
      <c r="B75" s="11" t="str">
        <f>CONCATENATE("          ", "6245", " - ", "PRINTING")</f>
        <v xml:space="preserve">          6245 - PRINTING</v>
      </c>
      <c r="C75" s="11"/>
      <c r="D75" s="6"/>
      <c r="E75" s="2"/>
      <c r="F75" s="7">
        <f t="shared" si="70"/>
        <v>0</v>
      </c>
      <c r="G75" s="2"/>
      <c r="H75" s="6"/>
      <c r="I75" s="2"/>
      <c r="J75" s="7">
        <f t="shared" si="71"/>
        <v>0</v>
      </c>
      <c r="K75" s="2"/>
      <c r="L75" s="6">
        <f t="shared" si="72"/>
        <v>0</v>
      </c>
      <c r="M75" s="2"/>
      <c r="N75" s="7">
        <f t="shared" si="73"/>
        <v>0</v>
      </c>
      <c r="O75" s="11"/>
      <c r="P75" s="6"/>
      <c r="Q75" s="2"/>
      <c r="R75" s="7">
        <f t="shared" si="74"/>
        <v>0</v>
      </c>
      <c r="S75" s="2"/>
      <c r="T75" s="6">
        <v>22.05</v>
      </c>
      <c r="U75" s="2"/>
      <c r="V75" s="7">
        <f t="shared" si="75"/>
        <v>2.6052278404075466E-5</v>
      </c>
      <c r="W75" s="2"/>
      <c r="X75" s="6">
        <f t="shared" si="76"/>
        <v>-22.05</v>
      </c>
      <c r="Y75" s="2"/>
      <c r="Z75" s="7">
        <f t="shared" si="77"/>
        <v>-1</v>
      </c>
    </row>
    <row r="76" spans="1:26" s="24" customFormat="1" hidden="1" outlineLevel="2" x14ac:dyDescent="0.25">
      <c r="A76" s="25"/>
      <c r="B76" s="11" t="str">
        <f>CONCATENATE("          ", "6247", " - ", "STORE SUPPLIES")</f>
        <v xml:space="preserve">          6247 - STORE SUPPLIES</v>
      </c>
      <c r="C76" s="11"/>
      <c r="D76" s="6"/>
      <c r="E76" s="2"/>
      <c r="F76" s="7">
        <f t="shared" si="70"/>
        <v>0</v>
      </c>
      <c r="G76" s="2"/>
      <c r="H76" s="6">
        <v>120</v>
      </c>
      <c r="I76" s="2"/>
      <c r="J76" s="7">
        <f t="shared" si="71"/>
        <v>1.3362923299826918E-3</v>
      </c>
      <c r="K76" s="2"/>
      <c r="L76" s="6">
        <f t="shared" si="72"/>
        <v>-120</v>
      </c>
      <c r="M76" s="2"/>
      <c r="N76" s="7">
        <f t="shared" si="73"/>
        <v>-1</v>
      </c>
      <c r="O76" s="11"/>
      <c r="P76" s="6"/>
      <c r="Q76" s="2"/>
      <c r="R76" s="7">
        <f t="shared" si="74"/>
        <v>0</v>
      </c>
      <c r="S76" s="2"/>
      <c r="T76" s="6">
        <v>1384.61</v>
      </c>
      <c r="U76" s="2"/>
      <c r="V76" s="7">
        <f t="shared" si="75"/>
        <v>1.6359294875767315E-3</v>
      </c>
      <c r="W76" s="2"/>
      <c r="X76" s="6">
        <f t="shared" si="76"/>
        <v>-1384.61</v>
      </c>
      <c r="Y76" s="2"/>
      <c r="Z76" s="7">
        <f t="shared" si="77"/>
        <v>-1</v>
      </c>
    </row>
    <row r="77" spans="1:26" s="24" customFormat="1" hidden="1" outlineLevel="2" x14ac:dyDescent="0.25">
      <c r="A77" s="25"/>
      <c r="B77" s="11" t="str">
        <f>CONCATENATE("          ", "6248", " - ", "UNIFORMS")</f>
        <v xml:space="preserve">          6248 - UNIFORMS</v>
      </c>
      <c r="C77" s="11"/>
      <c r="D77" s="6"/>
      <c r="E77" s="2"/>
      <c r="F77" s="7">
        <f t="shared" si="70"/>
        <v>0</v>
      </c>
      <c r="G77" s="2"/>
      <c r="H77" s="6"/>
      <c r="I77" s="2"/>
      <c r="J77" s="7">
        <f t="shared" si="71"/>
        <v>0</v>
      </c>
      <c r="K77" s="2"/>
      <c r="L77" s="6">
        <f t="shared" si="72"/>
        <v>0</v>
      </c>
      <c r="M77" s="2"/>
      <c r="N77" s="7">
        <f t="shared" si="73"/>
        <v>0</v>
      </c>
      <c r="O77" s="11"/>
      <c r="P77" s="6"/>
      <c r="Q77" s="2"/>
      <c r="R77" s="7">
        <f t="shared" si="74"/>
        <v>0</v>
      </c>
      <c r="S77" s="2"/>
      <c r="T77" s="6">
        <v>780.24</v>
      </c>
      <c r="U77" s="2"/>
      <c r="V77" s="7">
        <f t="shared" si="75"/>
        <v>9.2186075746012895E-4</v>
      </c>
      <c r="W77" s="2"/>
      <c r="X77" s="6">
        <f t="shared" si="76"/>
        <v>-780.24</v>
      </c>
      <c r="Y77" s="2"/>
      <c r="Z77" s="7">
        <f t="shared" si="77"/>
        <v>-1</v>
      </c>
    </row>
    <row r="78" spans="1:26" s="26" customFormat="1" outlineLevel="1" collapsed="1" x14ac:dyDescent="0.25">
      <c r="A78" s="27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SUM(OSRRefD22_15x_0)</f>
        <v>0</v>
      </c>
      <c r="E78" s="1"/>
      <c r="F78" s="5">
        <f t="shared" ref="F78:F81" si="78">IF(D$12=0,0,D78/D$12)</f>
        <v>0</v>
      </c>
      <c r="G78" s="1"/>
      <c r="H78" s="1">
        <f>SUM(OSRRefH22_15x_0)</f>
        <v>156.85</v>
      </c>
      <c r="I78" s="1"/>
      <c r="J78" s="5">
        <f t="shared" ref="J78:J81" si="79">IF(H$12=0,0,H78/H$12)</f>
        <v>1.7466454329815434E-3</v>
      </c>
      <c r="K78" s="1"/>
      <c r="L78" s="1">
        <f t="shared" ref="L78:L81" si="80">+D78-H78</f>
        <v>-156.85</v>
      </c>
      <c r="M78" s="1"/>
      <c r="N78" s="5">
        <f t="shared" ref="N78:N81" si="81">IF(H78=0,0,L78/H78)</f>
        <v>-1</v>
      </c>
      <c r="O78" s="13"/>
      <c r="P78" s="1">
        <f>SUM(OSRRefP22_15x_0)</f>
        <v>250.87</v>
      </c>
      <c r="Q78" s="1"/>
      <c r="R78" s="5">
        <f t="shared" ref="R78:R81" si="82">IF(P$12=0,0,P78/P$12)</f>
        <v>0</v>
      </c>
      <c r="S78" s="1"/>
      <c r="T78" s="1">
        <f>SUM(OSRRefT22_15x_0)</f>
        <v>1010.2</v>
      </c>
      <c r="U78" s="1"/>
      <c r="V78" s="5">
        <f t="shared" ref="V78:V81" si="83">IF(T$12=0,0,T78/T$12)</f>
        <v>1.1935606187663055E-3</v>
      </c>
      <c r="W78" s="1"/>
      <c r="X78" s="1">
        <f t="shared" ref="X78:X81" si="84">+P78-T78</f>
        <v>-759.33</v>
      </c>
      <c r="Y78" s="1"/>
      <c r="Z78" s="5">
        <f t="shared" ref="Z78:Z81" si="85">IF(T78=0,0,X78/T78)</f>
        <v>-0.7516630370223718</v>
      </c>
    </row>
    <row r="79" spans="1:26" s="24" customFormat="1" hidden="1" outlineLevel="2" x14ac:dyDescent="0.25">
      <c r="A79" s="25"/>
      <c r="B79" s="11" t="str">
        <f>CONCATENATE("          ", "6309", " - ", "TELEPHONE")</f>
        <v xml:space="preserve">          6309 - TELEPHONE</v>
      </c>
      <c r="C79" s="11"/>
      <c r="D79" s="6"/>
      <c r="E79" s="2"/>
      <c r="F79" s="7">
        <f t="shared" si="78"/>
        <v>0</v>
      </c>
      <c r="G79" s="2"/>
      <c r="H79" s="6">
        <v>156.85</v>
      </c>
      <c r="I79" s="2"/>
      <c r="J79" s="7">
        <f t="shared" si="79"/>
        <v>1.7466454329815434E-3</v>
      </c>
      <c r="K79" s="2"/>
      <c r="L79" s="6">
        <f t="shared" si="80"/>
        <v>-156.85</v>
      </c>
      <c r="M79" s="2"/>
      <c r="N79" s="7">
        <f t="shared" si="81"/>
        <v>-1</v>
      </c>
      <c r="O79" s="11"/>
      <c r="P79" s="6">
        <v>250.87</v>
      </c>
      <c r="Q79" s="2"/>
      <c r="R79" s="7">
        <f t="shared" si="82"/>
        <v>0</v>
      </c>
      <c r="S79" s="2"/>
      <c r="T79" s="6">
        <v>1010.2</v>
      </c>
      <c r="U79" s="2"/>
      <c r="V79" s="7">
        <f t="shared" si="83"/>
        <v>1.1935606187663055E-3</v>
      </c>
      <c r="W79" s="2"/>
      <c r="X79" s="6">
        <f t="shared" si="84"/>
        <v>-759.33</v>
      </c>
      <c r="Y79" s="2"/>
      <c r="Z79" s="7">
        <f t="shared" si="85"/>
        <v>-0.7516630370223718</v>
      </c>
    </row>
    <row r="80" spans="1:26" s="26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SUM(OSRRefD22_16x_0)</f>
        <v>0</v>
      </c>
      <c r="E80" s="1"/>
      <c r="F80" s="5">
        <f t="shared" si="78"/>
        <v>0</v>
      </c>
      <c r="G80" s="1"/>
      <c r="H80" s="1">
        <f>SUM(OSRRefH22_16x_0)</f>
        <v>0</v>
      </c>
      <c r="I80" s="1"/>
      <c r="J80" s="5">
        <f t="shared" si="79"/>
        <v>0</v>
      </c>
      <c r="K80" s="1"/>
      <c r="L80" s="1">
        <f t="shared" si="80"/>
        <v>0</v>
      </c>
      <c r="M80" s="1"/>
      <c r="N80" s="5">
        <f t="shared" si="81"/>
        <v>0</v>
      </c>
      <c r="O80" s="13"/>
      <c r="P80" s="1">
        <f>SUM(OSRRefP22_16x_0)</f>
        <v>0</v>
      </c>
      <c r="Q80" s="1"/>
      <c r="R80" s="5">
        <f t="shared" si="82"/>
        <v>0</v>
      </c>
      <c r="S80" s="1"/>
      <c r="T80" s="1">
        <f>SUM(OSRRefT22_16x_0)</f>
        <v>279.95</v>
      </c>
      <c r="U80" s="1"/>
      <c r="V80" s="5">
        <f t="shared" si="83"/>
        <v>3.3076350744766107E-4</v>
      </c>
      <c r="W80" s="1"/>
      <c r="X80" s="1">
        <f t="shared" si="84"/>
        <v>-279.95</v>
      </c>
      <c r="Y80" s="1"/>
      <c r="Z80" s="5">
        <f t="shared" si="85"/>
        <v>-1</v>
      </c>
    </row>
    <row r="81" spans="1:26" s="24" customFormat="1" hidden="1" outlineLevel="2" x14ac:dyDescent="0.25">
      <c r="A81" s="25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78"/>
        <v>0</v>
      </c>
      <c r="G81" s="2"/>
      <c r="H81" s="6"/>
      <c r="I81" s="2"/>
      <c r="J81" s="7">
        <f t="shared" si="79"/>
        <v>0</v>
      </c>
      <c r="K81" s="2"/>
      <c r="L81" s="6">
        <f t="shared" si="80"/>
        <v>0</v>
      </c>
      <c r="M81" s="2"/>
      <c r="N81" s="7">
        <f t="shared" si="81"/>
        <v>0</v>
      </c>
      <c r="O81" s="11"/>
      <c r="P81" s="6"/>
      <c r="Q81" s="2"/>
      <c r="R81" s="7">
        <f t="shared" si="82"/>
        <v>0</v>
      </c>
      <c r="S81" s="2"/>
      <c r="T81" s="6">
        <v>279.95</v>
      </c>
      <c r="U81" s="2"/>
      <c r="V81" s="7">
        <f t="shared" si="83"/>
        <v>3.3076350744766107E-4</v>
      </c>
      <c r="W81" s="2"/>
      <c r="X81" s="6">
        <f t="shared" si="84"/>
        <v>-279.95</v>
      </c>
      <c r="Y81" s="2"/>
      <c r="Z81" s="7">
        <f t="shared" si="85"/>
        <v>-1</v>
      </c>
    </row>
    <row r="82" spans="1:26" s="61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25">
      <c r="A83" s="10"/>
      <c r="B83" s="29" t="s">
        <v>0</v>
      </c>
      <c r="C83" s="10"/>
      <c r="D83" s="4">
        <f>SUM(OSRRefD25x_0)</f>
        <v>0</v>
      </c>
      <c r="E83" s="4"/>
      <c r="F83" s="12">
        <f t="shared" ref="F83:F84" si="86">IF(D$12=0,0,D83/D$12)</f>
        <v>0</v>
      </c>
      <c r="G83" s="4"/>
      <c r="H83" s="4">
        <f>SUM(OSRRefH25x_0)</f>
        <v>0</v>
      </c>
      <c r="I83" s="4"/>
      <c r="J83" s="12">
        <f t="shared" ref="J83:J84" si="87">IF(H$12=0,0,H83/H$12)</f>
        <v>0</v>
      </c>
      <c r="K83" s="4"/>
      <c r="L83" s="4">
        <f t="shared" ref="L83:L84" si="88">+D83-H83</f>
        <v>0</v>
      </c>
      <c r="M83" s="4"/>
      <c r="N83" s="12">
        <f t="shared" ref="N83:N84" si="89">IF(H83=0,0,L83/H83)</f>
        <v>0</v>
      </c>
      <c r="O83" s="10"/>
      <c r="P83" s="4">
        <f>SUM(OSRRefP25x_0)</f>
        <v>111.42</v>
      </c>
      <c r="Q83" s="4"/>
      <c r="R83" s="12">
        <f t="shared" ref="R83:R84" si="90">IF(P$12=0,0,P83/P$12)</f>
        <v>0</v>
      </c>
      <c r="S83" s="4"/>
      <c r="T83" s="4">
        <f>SUM(OSRRefT25x_0)</f>
        <v>0</v>
      </c>
      <c r="U83" s="4"/>
      <c r="V83" s="12">
        <f t="shared" ref="V83:V84" si="91">IF(T$12=0,0,T83/T$12)</f>
        <v>0</v>
      </c>
      <c r="W83" s="4"/>
      <c r="X83" s="4">
        <f t="shared" ref="X83:X84" si="92">+P83-T83</f>
        <v>111.42</v>
      </c>
      <c r="Y83" s="4"/>
      <c r="Z83" s="12">
        <f t="shared" ref="Z83:Z84" si="93">IF(T83=0,0,X83/T83)</f>
        <v>0</v>
      </c>
    </row>
    <row r="84" spans="1:26" s="24" customFormat="1" hidden="1" outlineLevel="1" x14ac:dyDescent="0.25">
      <c r="A84" s="44"/>
      <c r="B84" s="11" t="str">
        <f>CONCATENATE("          ", "9150", " - ", "MISC. INCOME")</f>
        <v xml:space="preserve">          9150 - MISC. INCOME</v>
      </c>
      <c r="C84" s="11"/>
      <c r="D84" s="2">
        <f>0</f>
        <v>0</v>
      </c>
      <c r="E84" s="2"/>
      <c r="F84" s="19">
        <f t="shared" si="86"/>
        <v>0</v>
      </c>
      <c r="G84" s="2"/>
      <c r="H84" s="2">
        <f>0</f>
        <v>0</v>
      </c>
      <c r="I84" s="2"/>
      <c r="J84" s="19">
        <f t="shared" si="87"/>
        <v>0</v>
      </c>
      <c r="K84" s="2"/>
      <c r="L84" s="2">
        <f t="shared" si="88"/>
        <v>0</v>
      </c>
      <c r="M84" s="2"/>
      <c r="N84" s="19">
        <f t="shared" si="89"/>
        <v>0</v>
      </c>
      <c r="O84" s="11"/>
      <c r="P84" s="2">
        <f>--111.42</f>
        <v>111.42</v>
      </c>
      <c r="Q84" s="2"/>
      <c r="R84" s="19">
        <f t="shared" si="90"/>
        <v>0</v>
      </c>
      <c r="S84" s="2"/>
      <c r="T84" s="2">
        <f>0</f>
        <v>0</v>
      </c>
      <c r="U84" s="2"/>
      <c r="V84" s="19">
        <f t="shared" si="91"/>
        <v>0</v>
      </c>
      <c r="W84" s="2"/>
      <c r="X84" s="2">
        <f t="shared" si="92"/>
        <v>111.42</v>
      </c>
      <c r="Y84" s="2"/>
      <c r="Z84" s="19">
        <f t="shared" si="93"/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3</v>
      </c>
      <c r="C86" s="28"/>
      <c r="D86" s="20">
        <f>+D20-D22+D83</f>
        <v>-6745.17</v>
      </c>
      <c r="E86" s="14"/>
      <c r="F86" s="22">
        <f>IF(D$12=0,0,D86/D$12)</f>
        <v>0</v>
      </c>
      <c r="G86" s="14"/>
      <c r="H86" s="20">
        <f>+H20-H22+H83</f>
        <v>-12087.54</v>
      </c>
      <c r="I86" s="14"/>
      <c r="J86" s="22">
        <f>IF(H$12=0,0,H86/H$12)</f>
        <v>-0.13460405825299157</v>
      </c>
      <c r="K86" s="15"/>
      <c r="L86" s="20">
        <f>+D86-H86</f>
        <v>5342.3700000000008</v>
      </c>
      <c r="M86" s="15"/>
      <c r="N86" s="22">
        <f>IF(H86=0,0,L86/H86)</f>
        <v>-0.44197330474190782</v>
      </c>
      <c r="O86" s="29"/>
      <c r="P86" s="20">
        <f>+P20-P22+P83</f>
        <v>-58915.400000000009</v>
      </c>
      <c r="Q86" s="14"/>
      <c r="R86" s="22">
        <f>IF(P$12=0,0,P86/P$12)</f>
        <v>0</v>
      </c>
      <c r="S86" s="14"/>
      <c r="T86" s="20">
        <f>+T20-T22+T83</f>
        <v>131472.84000000008</v>
      </c>
      <c r="U86" s="14"/>
      <c r="V86" s="22">
        <f>IF(T$12=0,0,T86/T$12)</f>
        <v>0.15533637325417105</v>
      </c>
      <c r="W86" s="15"/>
      <c r="X86" s="20">
        <f>+P86-T86</f>
        <v>-190388.24000000011</v>
      </c>
      <c r="Y86" s="15"/>
      <c r="Z86" s="22">
        <f>IF(T86=0,0,X86/T86)</f>
        <v>-1.4481184098556019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1"/>
      <c r="B88" s="10" t="s">
        <v>13</v>
      </c>
      <c r="C88" s="10"/>
      <c r="D88" s="4"/>
      <c r="E88" s="4"/>
      <c r="F88" s="12">
        <f>IF(D$12=0,0,D88/D$12)</f>
        <v>0</v>
      </c>
      <c r="G88" s="4"/>
      <c r="H88" s="4">
        <v>6549.08</v>
      </c>
      <c r="I88" s="4"/>
      <c r="J88" s="12">
        <f>IF(H$12=0,0,H88/H$12)</f>
        <v>7.292904477035872E-2</v>
      </c>
      <c r="K88" s="4"/>
      <c r="L88" s="4">
        <f>+D88-H88</f>
        <v>-6549.08</v>
      </c>
      <c r="M88" s="4"/>
      <c r="N88" s="12">
        <f>IF(H88=0,0,L88/H88)</f>
        <v>-1</v>
      </c>
      <c r="O88" s="10"/>
      <c r="P88" s="4"/>
      <c r="Q88" s="4"/>
      <c r="R88" s="12">
        <f>IF(P$12=0,0,P88/P$12)</f>
        <v>0</v>
      </c>
      <c r="S88" s="4"/>
      <c r="T88" s="4">
        <v>88264.94</v>
      </c>
      <c r="U88" s="4"/>
      <c r="V88" s="12">
        <f>IF(T$12=0,0,T88/T$12)</f>
        <v>0.10428584082535224</v>
      </c>
      <c r="W88" s="4"/>
      <c r="X88" s="4">
        <f>+P88-T88</f>
        <v>-88264.94</v>
      </c>
      <c r="Y88" s="4"/>
      <c r="Z88" s="12">
        <f>IF(T88=0,0,X88/T88)</f>
        <v>-1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4</v>
      </c>
      <c r="C90" s="28"/>
      <c r="D90" s="30">
        <f>+D86-D88</f>
        <v>-6745.17</v>
      </c>
      <c r="E90" s="14"/>
      <c r="F90" s="36">
        <f>IF(D$12=0,0,D90/D$12)</f>
        <v>0</v>
      </c>
      <c r="G90" s="14"/>
      <c r="H90" s="30">
        <f>+H86-H88</f>
        <v>-18636.620000000003</v>
      </c>
      <c r="I90" s="14"/>
      <c r="J90" s="36">
        <f>IF(H$12=0,0,H90/H$12)</f>
        <v>-0.20753310302335032</v>
      </c>
      <c r="K90" s="15"/>
      <c r="L90" s="30">
        <f>D90-H90</f>
        <v>11891.450000000003</v>
      </c>
      <c r="M90" s="15"/>
      <c r="N90" s="36">
        <f>IF(H90=0,0,L90/H90)</f>
        <v>-0.63806902753825534</v>
      </c>
      <c r="O90" s="29"/>
      <c r="P90" s="30">
        <f>+P86-P88</f>
        <v>-58915.400000000009</v>
      </c>
      <c r="Q90" s="14"/>
      <c r="R90" s="36">
        <f>IF(P$12=0,0,P90/P$12)</f>
        <v>0</v>
      </c>
      <c r="S90" s="14"/>
      <c r="T90" s="30">
        <f>+T86-T88</f>
        <v>43207.900000000081</v>
      </c>
      <c r="U90" s="14"/>
      <c r="V90" s="36">
        <f>IF(T$12=0,0,T90/T$12)</f>
        <v>5.1050532428818796E-2</v>
      </c>
      <c r="W90" s="15"/>
      <c r="X90" s="30">
        <f>P90-T90</f>
        <v>-102123.30000000009</v>
      </c>
      <c r="Y90" s="15"/>
      <c r="Z90" s="36">
        <f>IF(T90=0,0,X90/T90)</f>
        <v>-2.3635330576121474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5</v>
      </c>
      <c r="C93" s="28"/>
      <c r="D93" s="32">
        <f>SUM(D90:D92)</f>
        <v>-6745.17</v>
      </c>
      <c r="E93" s="14"/>
      <c r="F93" s="31">
        <f>IF(D$12=0,0,D93/D$12)</f>
        <v>0</v>
      </c>
      <c r="G93" s="14"/>
      <c r="H93" s="32">
        <f>SUM(H90:H92)</f>
        <v>-18636.620000000003</v>
      </c>
      <c r="I93" s="14"/>
      <c r="J93" s="31">
        <f>IF(H$12=0,0,H93/H$12)</f>
        <v>-0.20753310302335032</v>
      </c>
      <c r="K93" s="15"/>
      <c r="L93" s="32">
        <f>+D93-H93</f>
        <v>11891.450000000003</v>
      </c>
      <c r="M93" s="15"/>
      <c r="N93" s="31">
        <f>IF(H93=0,0,L93/H93)</f>
        <v>-0.63806902753825534</v>
      </c>
      <c r="O93" s="29"/>
      <c r="P93" s="32">
        <f>SUM(P90:P92)</f>
        <v>-58915.400000000009</v>
      </c>
      <c r="Q93" s="14"/>
      <c r="R93" s="31">
        <f>IF(P$12=0,0,P93/P$12)</f>
        <v>0</v>
      </c>
      <c r="S93" s="14"/>
      <c r="T93" s="32">
        <f>SUM(T90:T92)</f>
        <v>43207.900000000081</v>
      </c>
      <c r="U93" s="14"/>
      <c r="V93" s="31">
        <f>IF(T$12=0,0,T93/T$12)</f>
        <v>5.1050532428818796E-2</v>
      </c>
      <c r="W93" s="15"/>
      <c r="X93" s="32">
        <f>+P93-T93</f>
        <v>-102123.30000000009</v>
      </c>
      <c r="Y93" s="15"/>
      <c r="Z93" s="31">
        <f>IF(T93=0,0,X93/T93)</f>
        <v>-2.3635330576121474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62">
        <v>44238.496515358798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9" t="s">
        <v>313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6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","420", " - ", "Catering")</f>
        <v>Department 420 - Catering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82073.460000000006</v>
      </c>
      <c r="E12" s="4"/>
      <c r="F12" s="12"/>
      <c r="G12" s="4"/>
      <c r="H12" s="4">
        <f>SUM(OSRRefH13x_0)</f>
        <v>28422.46</v>
      </c>
      <c r="I12" s="4"/>
      <c r="J12" s="12"/>
      <c r="K12" s="4"/>
      <c r="L12" s="4">
        <f t="shared" ref="L12:L14" si="0">+D12-H12</f>
        <v>53651.000000000007</v>
      </c>
      <c r="M12" s="4"/>
      <c r="N12" s="12">
        <f t="shared" ref="N12:N14" si="1">IF(H12=0,0,L12/H12)</f>
        <v>1.8876268978828719</v>
      </c>
      <c r="O12" s="10"/>
      <c r="P12" s="4">
        <f>SUM(OSRRefP13x_0)</f>
        <v>230176.85</v>
      </c>
      <c r="Q12" s="4"/>
      <c r="R12" s="12"/>
      <c r="S12" s="4"/>
      <c r="T12" s="4">
        <f>SUM(OSRRefT13x_0)</f>
        <v>135611.56</v>
      </c>
      <c r="U12" s="4"/>
      <c r="V12" s="12"/>
      <c r="W12" s="4"/>
      <c r="X12" s="4">
        <f t="shared" ref="X12:X14" si="2">+P12-T12</f>
        <v>94565.290000000008</v>
      </c>
      <c r="Y12" s="4"/>
      <c r="Z12" s="12">
        <f t="shared" ref="Z12:Z14" si="3">IF(T12=0,0,X12/T12)</f>
        <v>0.69732469709809408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--82073.46</f>
        <v>82073.460000000006</v>
      </c>
      <c r="E13" s="2"/>
      <c r="F13" s="19"/>
      <c r="G13" s="2"/>
      <c r="H13" s="2">
        <f>--28397.57</f>
        <v>28397.57</v>
      </c>
      <c r="I13" s="2"/>
      <c r="J13" s="19"/>
      <c r="K13" s="2"/>
      <c r="L13" s="2">
        <f t="shared" si="0"/>
        <v>53675.890000000007</v>
      </c>
      <c r="M13" s="2"/>
      <c r="N13" s="19">
        <f t="shared" si="1"/>
        <v>1.8901578550559082</v>
      </c>
      <c r="O13" s="11"/>
      <c r="P13" s="2">
        <f>--230176.85</f>
        <v>230176.85</v>
      </c>
      <c r="Q13" s="2"/>
      <c r="R13" s="19"/>
      <c r="S13" s="2"/>
      <c r="T13" s="2">
        <f>--135238.05</f>
        <v>135238.04999999999</v>
      </c>
      <c r="U13" s="2"/>
      <c r="V13" s="19"/>
      <c r="W13" s="2"/>
      <c r="X13" s="2">
        <f t="shared" si="2"/>
        <v>94938.800000000017</v>
      </c>
      <c r="Y13" s="2"/>
      <c r="Z13" s="19">
        <f t="shared" si="3"/>
        <v>0.70201248834924801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0</f>
        <v>0</v>
      </c>
      <c r="E14" s="2"/>
      <c r="F14" s="19"/>
      <c r="G14" s="2"/>
      <c r="H14" s="2">
        <f>--24.89</f>
        <v>24.89</v>
      </c>
      <c r="I14" s="2"/>
      <c r="J14" s="19"/>
      <c r="K14" s="2"/>
      <c r="L14" s="2">
        <f t="shared" si="0"/>
        <v>-24.89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--373.51</f>
        <v>373.51</v>
      </c>
      <c r="U14" s="2"/>
      <c r="V14" s="19"/>
      <c r="W14" s="2"/>
      <c r="X14" s="2">
        <f t="shared" si="2"/>
        <v>-373.51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7" si="4">IF(D$12=0,0,D16/D$12)</f>
        <v>0</v>
      </c>
      <c r="G16" s="4"/>
      <c r="H16" s="4">
        <f>SUM(OSRRefH16x_0)</f>
        <v>127.98</v>
      </c>
      <c r="I16" s="4"/>
      <c r="J16" s="12">
        <f t="shared" ref="J16:J17" si="5">IF(H$12=0,0,H16/H$12)</f>
        <v>4.5027770291522972E-3</v>
      </c>
      <c r="K16" s="4"/>
      <c r="L16" s="4">
        <f t="shared" ref="L16:L17" si="6">+D16-H16</f>
        <v>-127.98</v>
      </c>
      <c r="M16" s="4"/>
      <c r="N16" s="12">
        <f t="shared" ref="N16:N17" si="7">IF(H16=0,0,L16/H16)</f>
        <v>-1</v>
      </c>
      <c r="O16" s="10"/>
      <c r="P16" s="4">
        <f>SUM(OSRRefP16x_0)</f>
        <v>0</v>
      </c>
      <c r="Q16" s="4"/>
      <c r="R16" s="12">
        <f t="shared" ref="R16:R17" si="8">IF(P$12=0,0,P16/P$12)</f>
        <v>0</v>
      </c>
      <c r="S16" s="4"/>
      <c r="T16" s="4">
        <f>SUM(OSRRefT16x_0)</f>
        <v>303.2</v>
      </c>
      <c r="U16" s="4"/>
      <c r="V16" s="12">
        <f t="shared" ref="V16:V17" si="9">IF(T$12=0,0,T16/T$12)</f>
        <v>2.2357975971959913E-3</v>
      </c>
      <c r="W16" s="4"/>
      <c r="X16" s="4">
        <f t="shared" ref="X16:X17" si="10">+P16-T16</f>
        <v>-303.2</v>
      </c>
      <c r="Y16" s="4"/>
      <c r="Z16" s="12">
        <f t="shared" ref="Z16:Z17" si="11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4"/>
        <v>0</v>
      </c>
      <c r="G17" s="2"/>
      <c r="H17" s="2">
        <v>127.98</v>
      </c>
      <c r="I17" s="2"/>
      <c r="J17" s="19">
        <f t="shared" si="5"/>
        <v>4.5027770291522972E-3</v>
      </c>
      <c r="K17" s="2"/>
      <c r="L17" s="2">
        <f t="shared" si="6"/>
        <v>-127.98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303.2</v>
      </c>
      <c r="U17" s="2"/>
      <c r="V17" s="19">
        <f t="shared" si="9"/>
        <v>2.2357975971959913E-3</v>
      </c>
      <c r="W17" s="2"/>
      <c r="X17" s="2">
        <f t="shared" si="10"/>
        <v>-303.2</v>
      </c>
      <c r="Y17" s="2"/>
      <c r="Z17" s="19">
        <f t="shared" si="11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6</v>
      </c>
      <c r="C19" s="28"/>
      <c r="D19" s="20">
        <f>D12-D16</f>
        <v>82073.460000000006</v>
      </c>
      <c r="E19" s="14"/>
      <c r="F19" s="22">
        <f>IF(D$12=0,0,D19/D$12)</f>
        <v>1</v>
      </c>
      <c r="G19" s="14"/>
      <c r="H19" s="20">
        <f>H12-H16</f>
        <v>28294.48</v>
      </c>
      <c r="I19" s="14"/>
      <c r="J19" s="22">
        <f>IF(H$12=0,0,H19/H$12)</f>
        <v>0.99549722297084775</v>
      </c>
      <c r="K19" s="15"/>
      <c r="L19" s="20">
        <f>+D19-H19</f>
        <v>53778.98000000001</v>
      </c>
      <c r="M19" s="15"/>
      <c r="N19" s="22">
        <f>IF(H19=0,0,L19/H19)</f>
        <v>1.9006880494004488</v>
      </c>
      <c r="O19" s="29"/>
      <c r="P19" s="20">
        <f>P12-P16</f>
        <v>230176.85</v>
      </c>
      <c r="Q19" s="14"/>
      <c r="R19" s="22">
        <f>IF(P$12=0,0,P19/P$12)</f>
        <v>1</v>
      </c>
      <c r="S19" s="14"/>
      <c r="T19" s="20">
        <f>T12-T16</f>
        <v>135308.35999999999</v>
      </c>
      <c r="U19" s="14"/>
      <c r="V19" s="22">
        <f>IF(T$12=0,0,T19/T$12)</f>
        <v>0.99776420240280395</v>
      </c>
      <c r="W19" s="15"/>
      <c r="X19" s="20">
        <f>+P19-T19</f>
        <v>94868.49000000002</v>
      </c>
      <c r="Y19" s="15"/>
      <c r="Z19" s="22">
        <f>IF(T19=0,0,X19/T19)</f>
        <v>0.70112807516106201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9</v>
      </c>
      <c r="C21" s="10"/>
      <c r="D21" s="21">
        <f>SUM(OSRRefD22x_0)</f>
        <v>0</v>
      </c>
      <c r="E21" s="21"/>
      <c r="F21" s="35">
        <f t="shared" ref="F21:F30" si="12">IF(D$12=0,0,D21/D$12)</f>
        <v>0</v>
      </c>
      <c r="G21" s="21"/>
      <c r="H21" s="21">
        <f>SUM(OSRRefH22x_0)</f>
        <v>40639.26</v>
      </c>
      <c r="I21" s="21"/>
      <c r="J21" s="35">
        <f t="shared" ref="J21:J30" si="13">IF(H$12=0,0,H21/H$12)</f>
        <v>1.429829085870822</v>
      </c>
      <c r="K21" s="4"/>
      <c r="L21" s="21">
        <f t="shared" ref="L21:L30" si="14">+D21-H21</f>
        <v>-40639.26</v>
      </c>
      <c r="M21" s="4"/>
      <c r="N21" s="35">
        <f t="shared" ref="N21:N30" si="15">IF(H21=0,0,L21/H21)</f>
        <v>-1</v>
      </c>
      <c r="O21" s="10"/>
      <c r="P21" s="21">
        <f>SUM(OSRRefP22x_0)</f>
        <v>7.86</v>
      </c>
      <c r="Q21" s="21"/>
      <c r="R21" s="35">
        <f t="shared" ref="R21:R30" si="16">IF(P$12=0,0,P21/P$12)</f>
        <v>3.4147656465018091E-5</v>
      </c>
      <c r="S21" s="21"/>
      <c r="T21" s="21">
        <f>SUM(OSRRefT22x_0)</f>
        <v>151540.42000000001</v>
      </c>
      <c r="U21" s="21"/>
      <c r="V21" s="35">
        <f t="shared" ref="V21:V30" si="17">IF(T$12=0,0,T21/T$12)</f>
        <v>1.1174594555213435</v>
      </c>
      <c r="W21" s="4"/>
      <c r="X21" s="21">
        <f t="shared" ref="X21:X30" si="18">+P21-T21</f>
        <v>-151532.56000000003</v>
      </c>
      <c r="Y21" s="4"/>
      <c r="Z21" s="35">
        <f t="shared" ref="Z21:Z30" si="19">IF(T21=0,0,X21/T21)</f>
        <v>-0.9999481326500218</v>
      </c>
    </row>
    <row r="22" spans="1:26" s="26" customFormat="1" outlineLevel="1" collapsed="1" x14ac:dyDescent="0.25">
      <c r="A22" s="27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13497.560000000001</v>
      </c>
      <c r="I22" s="1"/>
      <c r="J22" s="5">
        <f t="shared" si="13"/>
        <v>0.47489063226757999</v>
      </c>
      <c r="K22" s="1"/>
      <c r="L22" s="1">
        <f t="shared" si="14"/>
        <v>-13497.560000000001</v>
      </c>
      <c r="M22" s="1"/>
      <c r="N22" s="5">
        <f t="shared" si="15"/>
        <v>-1</v>
      </c>
      <c r="O22" s="13"/>
      <c r="P22" s="1">
        <f>SUM(OSRRefP22_0x_0)</f>
        <v>7.86</v>
      </c>
      <c r="Q22" s="1"/>
      <c r="R22" s="5">
        <f t="shared" si="16"/>
        <v>3.4147656465018091E-5</v>
      </c>
      <c r="S22" s="1"/>
      <c r="T22" s="1">
        <f>SUM(OSRRefT22_0x_0)</f>
        <v>35293.46</v>
      </c>
      <c r="U22" s="1"/>
      <c r="V22" s="5">
        <f t="shared" si="17"/>
        <v>0.26025406683619007</v>
      </c>
      <c r="W22" s="1"/>
      <c r="X22" s="1">
        <f t="shared" si="18"/>
        <v>-35285.599999999999</v>
      </c>
      <c r="Y22" s="1"/>
      <c r="Z22" s="5">
        <f t="shared" si="19"/>
        <v>-0.9997772958502793</v>
      </c>
    </row>
    <row r="23" spans="1:26" s="24" customFormat="1" hidden="1" outlineLevel="2" x14ac:dyDescent="0.25">
      <c r="A23" s="25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2"/>
        <v>0</v>
      </c>
      <c r="G23" s="2"/>
      <c r="H23" s="6">
        <v>1571.92</v>
      </c>
      <c r="I23" s="2"/>
      <c r="J23" s="7">
        <f t="shared" si="13"/>
        <v>5.5305557647015779E-2</v>
      </c>
      <c r="K23" s="2"/>
      <c r="L23" s="6">
        <f t="shared" si="14"/>
        <v>-1571.92</v>
      </c>
      <c r="M23" s="2"/>
      <c r="N23" s="7">
        <f t="shared" si="15"/>
        <v>-1</v>
      </c>
      <c r="O23" s="11"/>
      <c r="P23" s="6">
        <v>7.86</v>
      </c>
      <c r="Q23" s="2"/>
      <c r="R23" s="7">
        <f t="shared" si="16"/>
        <v>3.4147656465018091E-5</v>
      </c>
      <c r="S23" s="2"/>
      <c r="T23" s="6">
        <v>8245.5300000000007</v>
      </c>
      <c r="U23" s="2"/>
      <c r="V23" s="7">
        <f t="shared" si="17"/>
        <v>6.0802559899760765E-2</v>
      </c>
      <c r="W23" s="2"/>
      <c r="X23" s="6">
        <f t="shared" si="18"/>
        <v>-8237.67</v>
      </c>
      <c r="Y23" s="2"/>
      <c r="Z23" s="7">
        <f t="shared" si="19"/>
        <v>-0.99904675624247308</v>
      </c>
    </row>
    <row r="24" spans="1:26" s="24" customFormat="1" hidden="1" outlineLevel="2" x14ac:dyDescent="0.25">
      <c r="A24" s="25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2"/>
        <v>0</v>
      </c>
      <c r="G24" s="2"/>
      <c r="H24" s="6">
        <v>923.92</v>
      </c>
      <c r="I24" s="2"/>
      <c r="J24" s="7">
        <f t="shared" si="13"/>
        <v>3.2506686613333259E-2</v>
      </c>
      <c r="K24" s="2"/>
      <c r="L24" s="6">
        <f t="shared" si="14"/>
        <v>-923.92</v>
      </c>
      <c r="M24" s="2"/>
      <c r="N24" s="7">
        <f t="shared" si="15"/>
        <v>-1</v>
      </c>
      <c r="O24" s="11"/>
      <c r="P24" s="6"/>
      <c r="Q24" s="2"/>
      <c r="R24" s="7">
        <f t="shared" si="16"/>
        <v>0</v>
      </c>
      <c r="S24" s="2"/>
      <c r="T24" s="6">
        <v>4993.8100000000004</v>
      </c>
      <c r="U24" s="2"/>
      <c r="V24" s="7">
        <f t="shared" si="17"/>
        <v>3.6824368070096682E-2</v>
      </c>
      <c r="W24" s="2"/>
      <c r="X24" s="6">
        <f t="shared" si="18"/>
        <v>-4993.8100000000004</v>
      </c>
      <c r="Y24" s="2"/>
      <c r="Z24" s="7">
        <f t="shared" si="19"/>
        <v>-1</v>
      </c>
    </row>
    <row r="25" spans="1:26" s="24" customFormat="1" hidden="1" outlineLevel="2" x14ac:dyDescent="0.25">
      <c r="A25" s="25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2"/>
        <v>0</v>
      </c>
      <c r="G25" s="2"/>
      <c r="H25" s="6">
        <v>6448.79</v>
      </c>
      <c r="I25" s="2"/>
      <c r="J25" s="7">
        <f t="shared" si="13"/>
        <v>0.22689063508225538</v>
      </c>
      <c r="K25" s="2"/>
      <c r="L25" s="6">
        <f t="shared" si="14"/>
        <v>-6448.79</v>
      </c>
      <c r="M25" s="2"/>
      <c r="N25" s="7">
        <f t="shared" si="15"/>
        <v>-1</v>
      </c>
      <c r="O25" s="11"/>
      <c r="P25" s="6"/>
      <c r="Q25" s="2"/>
      <c r="R25" s="7">
        <f t="shared" si="16"/>
        <v>0</v>
      </c>
      <c r="S25" s="2"/>
      <c r="T25" s="6">
        <v>6877.53</v>
      </c>
      <c r="U25" s="2"/>
      <c r="V25" s="7">
        <f t="shared" si="17"/>
        <v>5.0714924302913411E-2</v>
      </c>
      <c r="W25" s="2"/>
      <c r="X25" s="6">
        <f t="shared" si="18"/>
        <v>-6877.53</v>
      </c>
      <c r="Y25" s="2"/>
      <c r="Z25" s="7">
        <f t="shared" si="19"/>
        <v>-1</v>
      </c>
    </row>
    <row r="26" spans="1:26" s="24" customFormat="1" hidden="1" outlineLevel="2" x14ac:dyDescent="0.25">
      <c r="A26" s="25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2"/>
        <v>0</v>
      </c>
      <c r="G26" s="2"/>
      <c r="H26" s="6">
        <v>61.91</v>
      </c>
      <c r="I26" s="2"/>
      <c r="J26" s="7">
        <f t="shared" si="13"/>
        <v>2.1782069532334638E-3</v>
      </c>
      <c r="K26" s="2"/>
      <c r="L26" s="6">
        <f t="shared" si="14"/>
        <v>-61.91</v>
      </c>
      <c r="M26" s="2"/>
      <c r="N26" s="7">
        <f t="shared" si="15"/>
        <v>-1</v>
      </c>
      <c r="O26" s="11"/>
      <c r="P26" s="6"/>
      <c r="Q26" s="2"/>
      <c r="R26" s="7">
        <f t="shared" si="16"/>
        <v>0</v>
      </c>
      <c r="S26" s="2"/>
      <c r="T26" s="6">
        <v>334.64</v>
      </c>
      <c r="U26" s="2"/>
      <c r="V26" s="7">
        <f t="shared" si="17"/>
        <v>2.4676362398603777E-3</v>
      </c>
      <c r="W26" s="2"/>
      <c r="X26" s="6">
        <f t="shared" si="18"/>
        <v>-334.64</v>
      </c>
      <c r="Y26" s="2"/>
      <c r="Z26" s="7">
        <f t="shared" si="19"/>
        <v>-1</v>
      </c>
    </row>
    <row r="27" spans="1:26" s="24" customFormat="1" hidden="1" outlineLevel="2" x14ac:dyDescent="0.25">
      <c r="A27" s="25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2"/>
        <v>0</v>
      </c>
      <c r="G27" s="2"/>
      <c r="H27" s="6">
        <v>2079.09</v>
      </c>
      <c r="I27" s="2"/>
      <c r="J27" s="7">
        <f t="shared" si="13"/>
        <v>7.31495444095972E-2</v>
      </c>
      <c r="K27" s="2"/>
      <c r="L27" s="6">
        <f t="shared" si="14"/>
        <v>-2079.09</v>
      </c>
      <c r="M27" s="2"/>
      <c r="N27" s="7">
        <f t="shared" si="15"/>
        <v>-1</v>
      </c>
      <c r="O27" s="11"/>
      <c r="P27" s="6"/>
      <c r="Q27" s="2"/>
      <c r="R27" s="7">
        <f t="shared" si="16"/>
        <v>0</v>
      </c>
      <c r="S27" s="2"/>
      <c r="T27" s="6">
        <v>5924.36</v>
      </c>
      <c r="U27" s="2"/>
      <c r="V27" s="7">
        <f t="shared" si="17"/>
        <v>4.3686246216767949E-2</v>
      </c>
      <c r="W27" s="2"/>
      <c r="X27" s="6">
        <f t="shared" si="18"/>
        <v>-5924.36</v>
      </c>
      <c r="Y27" s="2"/>
      <c r="Z27" s="7">
        <f t="shared" si="19"/>
        <v>-1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6"/>
      <c r="E28" s="2"/>
      <c r="F28" s="7">
        <f t="shared" si="12"/>
        <v>0</v>
      </c>
      <c r="G28" s="2"/>
      <c r="H28" s="6">
        <v>1091.78</v>
      </c>
      <c r="I28" s="2"/>
      <c r="J28" s="7">
        <f t="shared" si="13"/>
        <v>3.8412579347459723E-2</v>
      </c>
      <c r="K28" s="2"/>
      <c r="L28" s="6">
        <f t="shared" si="14"/>
        <v>-1091.78</v>
      </c>
      <c r="M28" s="2"/>
      <c r="N28" s="7">
        <f t="shared" si="15"/>
        <v>-1</v>
      </c>
      <c r="O28" s="11"/>
      <c r="P28" s="6"/>
      <c r="Q28" s="2"/>
      <c r="R28" s="7">
        <f t="shared" si="16"/>
        <v>0</v>
      </c>
      <c r="S28" s="2"/>
      <c r="T28" s="6">
        <v>4610.75</v>
      </c>
      <c r="U28" s="2"/>
      <c r="V28" s="7">
        <f t="shared" si="17"/>
        <v>3.3999682622926838E-2</v>
      </c>
      <c r="W28" s="2"/>
      <c r="X28" s="6">
        <f t="shared" si="18"/>
        <v>-4610.75</v>
      </c>
      <c r="Y28" s="2"/>
      <c r="Z28" s="7">
        <f t="shared" si="19"/>
        <v>-1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6"/>
      <c r="E29" s="2"/>
      <c r="F29" s="7">
        <f t="shared" si="12"/>
        <v>0</v>
      </c>
      <c r="G29" s="2"/>
      <c r="H29" s="6">
        <v>853.34</v>
      </c>
      <c r="I29" s="2"/>
      <c r="J29" s="7">
        <f t="shared" si="13"/>
        <v>3.0023439209695434E-2</v>
      </c>
      <c r="K29" s="2"/>
      <c r="L29" s="6">
        <f t="shared" si="14"/>
        <v>-853.34</v>
      </c>
      <c r="M29" s="2"/>
      <c r="N29" s="7">
        <f t="shared" si="15"/>
        <v>-1</v>
      </c>
      <c r="O29" s="11"/>
      <c r="P29" s="6"/>
      <c r="Q29" s="2"/>
      <c r="R29" s="7">
        <f t="shared" si="16"/>
        <v>0</v>
      </c>
      <c r="S29" s="2"/>
      <c r="T29" s="6">
        <v>3840.03</v>
      </c>
      <c r="U29" s="2"/>
      <c r="V29" s="7">
        <f t="shared" si="17"/>
        <v>2.8316391316492488E-2</v>
      </c>
      <c r="W29" s="2"/>
      <c r="X29" s="6">
        <f t="shared" si="18"/>
        <v>-3840.03</v>
      </c>
      <c r="Y29" s="2"/>
      <c r="Z29" s="7">
        <f t="shared" si="19"/>
        <v>-1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6"/>
      <c r="E30" s="2"/>
      <c r="F30" s="7">
        <f t="shared" si="12"/>
        <v>0</v>
      </c>
      <c r="G30" s="2"/>
      <c r="H30" s="6">
        <v>466.81</v>
      </c>
      <c r="I30" s="2"/>
      <c r="J30" s="7">
        <f t="shared" si="13"/>
        <v>1.6423983004989717E-2</v>
      </c>
      <c r="K30" s="2"/>
      <c r="L30" s="6">
        <f t="shared" si="14"/>
        <v>-466.81</v>
      </c>
      <c r="M30" s="2"/>
      <c r="N30" s="7">
        <f t="shared" si="15"/>
        <v>-1</v>
      </c>
      <c r="O30" s="11"/>
      <c r="P30" s="6"/>
      <c r="Q30" s="2"/>
      <c r="R30" s="7">
        <f t="shared" si="16"/>
        <v>0</v>
      </c>
      <c r="S30" s="2"/>
      <c r="T30" s="6">
        <v>466.81</v>
      </c>
      <c r="U30" s="2"/>
      <c r="V30" s="7">
        <f t="shared" si="17"/>
        <v>3.442258167371572E-3</v>
      </c>
      <c r="W30" s="2"/>
      <c r="X30" s="6">
        <f t="shared" si="18"/>
        <v>-466.81</v>
      </c>
      <c r="Y30" s="2"/>
      <c r="Z30" s="7">
        <f t="shared" si="19"/>
        <v>-1</v>
      </c>
    </row>
    <row r="31" spans="1:26" s="26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0</v>
      </c>
      <c r="E31" s="1"/>
      <c r="F31" s="5">
        <f t="shared" ref="F31:F35" si="20">IF(D$12=0,0,D31/D$12)</f>
        <v>0</v>
      </c>
      <c r="G31" s="1"/>
      <c r="H31" s="1">
        <f>SUM(OSRRefH22_1x_0)</f>
        <v>26579.940000000002</v>
      </c>
      <c r="I31" s="1"/>
      <c r="J31" s="5">
        <f t="shared" ref="J31:J35" si="21">IF(H$12=0,0,H31/H$12)</f>
        <v>0.93517380268984474</v>
      </c>
      <c r="K31" s="1"/>
      <c r="L31" s="1">
        <f t="shared" ref="L31:L35" si="22">+D31-H31</f>
        <v>-26579.940000000002</v>
      </c>
      <c r="M31" s="1"/>
      <c r="N31" s="5">
        <f t="shared" ref="N31:N35" si="23">IF(H31=0,0,L31/H31)</f>
        <v>-1</v>
      </c>
      <c r="O31" s="13"/>
      <c r="P31" s="1">
        <f>SUM(OSRRefP22_1x_0)</f>
        <v>0</v>
      </c>
      <c r="Q31" s="1"/>
      <c r="R31" s="5">
        <f t="shared" ref="R31:R35" si="24">IF(P$12=0,0,P31/P$12)</f>
        <v>0</v>
      </c>
      <c r="S31" s="1"/>
      <c r="T31" s="1">
        <f>SUM(OSRRefT22_1x_0)</f>
        <v>111881.41</v>
      </c>
      <c r="U31" s="1"/>
      <c r="V31" s="5">
        <f t="shared" ref="V31:V35" si="25">IF(T$12=0,0,T31/T$12)</f>
        <v>0.82501381150692465</v>
      </c>
      <c r="W31" s="1"/>
      <c r="X31" s="1">
        <f t="shared" ref="X31:X35" si="26">+P31-T31</f>
        <v>-111881.41</v>
      </c>
      <c r="Y31" s="1"/>
      <c r="Z31" s="5">
        <f t="shared" ref="Z31:Z35" si="27">IF(T31=0,0,X31/T31)</f>
        <v>-1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20"/>
        <v>0</v>
      </c>
      <c r="G32" s="2"/>
      <c r="H32" s="6">
        <v>20655.550000000003</v>
      </c>
      <c r="I32" s="2"/>
      <c r="J32" s="7">
        <f t="shared" si="21"/>
        <v>0.72673336509225461</v>
      </c>
      <c r="K32" s="2"/>
      <c r="L32" s="6">
        <f t="shared" si="22"/>
        <v>-20655.550000000003</v>
      </c>
      <c r="M32" s="2"/>
      <c r="N32" s="7">
        <f t="shared" si="23"/>
        <v>-1</v>
      </c>
      <c r="O32" s="11"/>
      <c r="P32" s="6"/>
      <c r="Q32" s="2"/>
      <c r="R32" s="7">
        <f t="shared" si="24"/>
        <v>0</v>
      </c>
      <c r="S32" s="2"/>
      <c r="T32" s="6">
        <v>80310.37000000001</v>
      </c>
      <c r="U32" s="2"/>
      <c r="V32" s="7">
        <f t="shared" si="25"/>
        <v>0.59220887953799817</v>
      </c>
      <c r="W32" s="2"/>
      <c r="X32" s="6">
        <f t="shared" si="26"/>
        <v>-80310.37000000001</v>
      </c>
      <c r="Y32" s="2"/>
      <c r="Z32" s="7">
        <f t="shared" si="27"/>
        <v>-1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20"/>
        <v>0</v>
      </c>
      <c r="G33" s="2"/>
      <c r="H33" s="6">
        <v>2058.96</v>
      </c>
      <c r="I33" s="2"/>
      <c r="J33" s="7">
        <f t="shared" si="21"/>
        <v>7.2441301702949004E-2</v>
      </c>
      <c r="K33" s="2"/>
      <c r="L33" s="6">
        <f t="shared" si="22"/>
        <v>-2058.96</v>
      </c>
      <c r="M33" s="2"/>
      <c r="N33" s="7">
        <f t="shared" si="23"/>
        <v>-1</v>
      </c>
      <c r="O33" s="11"/>
      <c r="P33" s="6"/>
      <c r="Q33" s="2"/>
      <c r="R33" s="7">
        <f t="shared" si="24"/>
        <v>0</v>
      </c>
      <c r="S33" s="2"/>
      <c r="T33" s="6">
        <v>11445.94</v>
      </c>
      <c r="U33" s="2"/>
      <c r="V33" s="7">
        <f t="shared" si="25"/>
        <v>8.4402391654516767E-2</v>
      </c>
      <c r="W33" s="2"/>
      <c r="X33" s="6">
        <f t="shared" si="26"/>
        <v>-11445.94</v>
      </c>
      <c r="Y33" s="2"/>
      <c r="Z33" s="7">
        <f t="shared" si="27"/>
        <v>-1</v>
      </c>
    </row>
    <row r="34" spans="1:26" s="24" customFormat="1" hidden="1" outlineLevel="2" x14ac:dyDescent="0.25">
      <c r="A34" s="25"/>
      <c r="B34" s="11" t="str">
        <f>CONCATENATE("          ", "6007", " - ", "STUDENT HOURLY")</f>
        <v xml:space="preserve">          6007 - STUDENT HOURLY</v>
      </c>
      <c r="C34" s="11"/>
      <c r="D34" s="6"/>
      <c r="E34" s="2"/>
      <c r="F34" s="7">
        <f t="shared" si="20"/>
        <v>0</v>
      </c>
      <c r="G34" s="2"/>
      <c r="H34" s="6">
        <v>3865.43</v>
      </c>
      <c r="I34" s="2"/>
      <c r="J34" s="7">
        <f t="shared" si="21"/>
        <v>0.13599913589464108</v>
      </c>
      <c r="K34" s="2"/>
      <c r="L34" s="6">
        <f t="shared" si="22"/>
        <v>-3865.43</v>
      </c>
      <c r="M34" s="2"/>
      <c r="N34" s="7">
        <f t="shared" si="23"/>
        <v>-1</v>
      </c>
      <c r="O34" s="11"/>
      <c r="P34" s="6"/>
      <c r="Q34" s="2"/>
      <c r="R34" s="7">
        <f t="shared" si="24"/>
        <v>0</v>
      </c>
      <c r="S34" s="2"/>
      <c r="T34" s="6">
        <v>16317.649999999998</v>
      </c>
      <c r="U34" s="2"/>
      <c r="V34" s="7">
        <f t="shared" si="25"/>
        <v>0.12032639400357903</v>
      </c>
      <c r="W34" s="2"/>
      <c r="X34" s="6">
        <f t="shared" si="26"/>
        <v>-16317.649999999998</v>
      </c>
      <c r="Y34" s="2"/>
      <c r="Z34" s="7">
        <f t="shared" si="27"/>
        <v>-1</v>
      </c>
    </row>
    <row r="35" spans="1:26" s="24" customFormat="1" hidden="1" outlineLevel="2" x14ac:dyDescent="0.25">
      <c r="A35" s="25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20"/>
        <v>0</v>
      </c>
      <c r="G35" s="2"/>
      <c r="H35" s="6"/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3807.45</v>
      </c>
      <c r="U35" s="2"/>
      <c r="V35" s="7">
        <f t="shared" si="25"/>
        <v>2.8076146310830729E-2</v>
      </c>
      <c r="W35" s="2"/>
      <c r="X35" s="6">
        <f t="shared" si="26"/>
        <v>-3807.45</v>
      </c>
      <c r="Y35" s="2"/>
      <c r="Z35" s="7">
        <f t="shared" si="27"/>
        <v>-1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8">IF(D$12=0,0,D36/D$12)</f>
        <v>0</v>
      </c>
      <c r="G36" s="1"/>
      <c r="H36" s="1">
        <f>SUM(OSRRefH22_2x_0)</f>
        <v>500</v>
      </c>
      <c r="I36" s="1"/>
      <c r="J36" s="5">
        <f t="shared" ref="J36:J44" si="29">IF(H$12=0,0,H36/H$12)</f>
        <v>1.759172147660688E-2</v>
      </c>
      <c r="K36" s="1"/>
      <c r="L36" s="1">
        <f t="shared" ref="L36:L44" si="30">+D36-H36</f>
        <v>-500</v>
      </c>
      <c r="M36" s="1"/>
      <c r="N36" s="5">
        <f t="shared" ref="N36:N44" si="31">IF(H36=0,0,L36/H36)</f>
        <v>-1</v>
      </c>
      <c r="O36" s="13"/>
      <c r="P36" s="1">
        <f>SUM(OSRRefP22_2x_0)</f>
        <v>0</v>
      </c>
      <c r="Q36" s="1"/>
      <c r="R36" s="5">
        <f t="shared" ref="R36:R44" si="32">IF(P$12=0,0,P36/P$12)</f>
        <v>0</v>
      </c>
      <c r="S36" s="1"/>
      <c r="T36" s="1">
        <f>SUM(OSRRefT22_2x_0)</f>
        <v>500</v>
      </c>
      <c r="U36" s="1"/>
      <c r="V36" s="5">
        <f t="shared" ref="V36:V44" si="33">IF(T$12=0,0,T36/T$12)</f>
        <v>3.6870013146371888E-3</v>
      </c>
      <c r="W36" s="1"/>
      <c r="X36" s="1">
        <f t="shared" ref="X36:X44" si="34">+P36-T36</f>
        <v>-500</v>
      </c>
      <c r="Y36" s="1"/>
      <c r="Z36" s="5">
        <f t="shared" ref="Z36:Z44" si="35">IF(T36=0,0,X36/T36)</f>
        <v>-1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8"/>
        <v>0</v>
      </c>
      <c r="G37" s="2"/>
      <c r="H37" s="6">
        <v>500</v>
      </c>
      <c r="I37" s="2"/>
      <c r="J37" s="7">
        <f t="shared" si="29"/>
        <v>1.759172147660688E-2</v>
      </c>
      <c r="K37" s="2"/>
      <c r="L37" s="6">
        <f t="shared" si="30"/>
        <v>-500</v>
      </c>
      <c r="M37" s="2"/>
      <c r="N37" s="7">
        <f t="shared" si="31"/>
        <v>-1</v>
      </c>
      <c r="O37" s="11"/>
      <c r="P37" s="6"/>
      <c r="Q37" s="2"/>
      <c r="R37" s="7">
        <f t="shared" si="32"/>
        <v>0</v>
      </c>
      <c r="S37" s="2"/>
      <c r="T37" s="6">
        <v>500</v>
      </c>
      <c r="U37" s="2"/>
      <c r="V37" s="7">
        <f t="shared" si="33"/>
        <v>3.6870013146371888E-3</v>
      </c>
      <c r="W37" s="2"/>
      <c r="X37" s="6">
        <f t="shared" si="34"/>
        <v>-500</v>
      </c>
      <c r="Y37" s="2"/>
      <c r="Z37" s="7">
        <f t="shared" si="35"/>
        <v>-1</v>
      </c>
    </row>
    <row r="38" spans="1:26" s="26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0</v>
      </c>
      <c r="E38" s="1"/>
      <c r="F38" s="5">
        <f t="shared" si="28"/>
        <v>0</v>
      </c>
      <c r="G38" s="1"/>
      <c r="H38" s="1">
        <f>SUM(OSRRefH22_3x_0)</f>
        <v>61.76</v>
      </c>
      <c r="I38" s="1"/>
      <c r="J38" s="5">
        <f t="shared" si="29"/>
        <v>2.1729294367904819E-3</v>
      </c>
      <c r="K38" s="1"/>
      <c r="L38" s="1">
        <f t="shared" si="30"/>
        <v>-61.76</v>
      </c>
      <c r="M38" s="1"/>
      <c r="N38" s="5">
        <f t="shared" si="31"/>
        <v>-1</v>
      </c>
      <c r="O38" s="13"/>
      <c r="P38" s="1">
        <f>SUM(OSRRefP22_3x_0)</f>
        <v>0</v>
      </c>
      <c r="Q38" s="1"/>
      <c r="R38" s="5">
        <f t="shared" si="32"/>
        <v>0</v>
      </c>
      <c r="S38" s="1"/>
      <c r="T38" s="1">
        <f>SUM(OSRRefT22_3x_0)</f>
        <v>307.72000000000003</v>
      </c>
      <c r="U38" s="1"/>
      <c r="V38" s="5">
        <f t="shared" si="33"/>
        <v>2.2691280890803117E-3</v>
      </c>
      <c r="W38" s="1"/>
      <c r="X38" s="1">
        <f t="shared" si="34"/>
        <v>-307.72000000000003</v>
      </c>
      <c r="Y38" s="1"/>
      <c r="Z38" s="5">
        <f t="shared" si="35"/>
        <v>-1</v>
      </c>
    </row>
    <row r="39" spans="1:26" s="24" customFormat="1" hidden="1" outlineLevel="2" x14ac:dyDescent="0.25">
      <c r="A39" s="25"/>
      <c r="B39" s="11" t="str">
        <f>CONCATENATE("          ", "6381", " - ", "BANK/CREDIT CARD FEES")</f>
        <v xml:space="preserve">          6381 - BANK/CREDIT CARD FEES</v>
      </c>
      <c r="C39" s="11"/>
      <c r="D39" s="6"/>
      <c r="E39" s="2"/>
      <c r="F39" s="7">
        <f t="shared" si="28"/>
        <v>0</v>
      </c>
      <c r="G39" s="2"/>
      <c r="H39" s="6">
        <v>61.76</v>
      </c>
      <c r="I39" s="2"/>
      <c r="J39" s="7">
        <f t="shared" si="29"/>
        <v>2.1729294367904819E-3</v>
      </c>
      <c r="K39" s="2"/>
      <c r="L39" s="6">
        <f t="shared" si="30"/>
        <v>-61.76</v>
      </c>
      <c r="M39" s="2"/>
      <c r="N39" s="7">
        <f t="shared" si="31"/>
        <v>-1</v>
      </c>
      <c r="O39" s="11"/>
      <c r="P39" s="6"/>
      <c r="Q39" s="2"/>
      <c r="R39" s="7">
        <f t="shared" si="32"/>
        <v>0</v>
      </c>
      <c r="S39" s="2"/>
      <c r="T39" s="6">
        <v>307.72000000000003</v>
      </c>
      <c r="U39" s="2"/>
      <c r="V39" s="7">
        <f t="shared" si="33"/>
        <v>2.2691280890803117E-3</v>
      </c>
      <c r="W39" s="2"/>
      <c r="X39" s="6">
        <f t="shared" si="34"/>
        <v>-307.72000000000003</v>
      </c>
      <c r="Y39" s="2"/>
      <c r="Z39" s="7">
        <f t="shared" si="35"/>
        <v>-1</v>
      </c>
    </row>
    <row r="40" spans="1:26" s="26" customFormat="1" outlineLevel="1" collapsed="1" x14ac:dyDescent="0.25">
      <c r="A40" s="27"/>
      <c r="B40" s="13" t="str">
        <f>CONCATENATE("     ","Repair and Maintenance                            ")</f>
        <v xml:space="preserve">     Repair and Maintenance                            </v>
      </c>
      <c r="C40" s="13"/>
      <c r="D40" s="1">
        <f>SUM(OSRRefD22_4x_0)</f>
        <v>0</v>
      </c>
      <c r="E40" s="1"/>
      <c r="F40" s="5">
        <f t="shared" si="28"/>
        <v>0</v>
      </c>
      <c r="G40" s="1"/>
      <c r="H40" s="1">
        <f>SUM(OSRRefH22_4x_0)</f>
        <v>0</v>
      </c>
      <c r="I40" s="1"/>
      <c r="J40" s="5">
        <f t="shared" si="29"/>
        <v>0</v>
      </c>
      <c r="K40" s="1"/>
      <c r="L40" s="1">
        <f t="shared" si="30"/>
        <v>0</v>
      </c>
      <c r="M40" s="1"/>
      <c r="N40" s="5">
        <f t="shared" si="31"/>
        <v>0</v>
      </c>
      <c r="O40" s="13"/>
      <c r="P40" s="1">
        <f>SUM(OSRRefP22_4x_0)</f>
        <v>0</v>
      </c>
      <c r="Q40" s="1"/>
      <c r="R40" s="5">
        <f t="shared" si="32"/>
        <v>0</v>
      </c>
      <c r="S40" s="1"/>
      <c r="T40" s="1">
        <f>SUM(OSRRefT22_4x_0)</f>
        <v>1151.21</v>
      </c>
      <c r="U40" s="1"/>
      <c r="V40" s="5">
        <f t="shared" si="33"/>
        <v>8.4890255668469573E-3</v>
      </c>
      <c r="W40" s="1"/>
      <c r="X40" s="1">
        <f t="shared" si="34"/>
        <v>-1151.21</v>
      </c>
      <c r="Y40" s="1"/>
      <c r="Z40" s="5">
        <f t="shared" si="35"/>
        <v>-1</v>
      </c>
    </row>
    <row r="41" spans="1:26" s="24" customFormat="1" hidden="1" outlineLevel="2" x14ac:dyDescent="0.25">
      <c r="A41" s="25"/>
      <c r="B41" s="11" t="str">
        <f>CONCATENATE("          ", "6375", " - ", "OUTSIDE REPAIRS &amp; MAINTENANCE")</f>
        <v xml:space="preserve">          6375 - OUTSIDE REPAIRS &amp; MAINTENANCE</v>
      </c>
      <c r="C41" s="11"/>
      <c r="D41" s="6"/>
      <c r="E41" s="2"/>
      <c r="F41" s="7">
        <f t="shared" si="28"/>
        <v>0</v>
      </c>
      <c r="G41" s="2"/>
      <c r="H41" s="6"/>
      <c r="I41" s="2"/>
      <c r="J41" s="7">
        <f t="shared" si="29"/>
        <v>0</v>
      </c>
      <c r="K41" s="2"/>
      <c r="L41" s="6">
        <f t="shared" si="30"/>
        <v>0</v>
      </c>
      <c r="M41" s="2"/>
      <c r="N41" s="7">
        <f t="shared" si="31"/>
        <v>0</v>
      </c>
      <c r="O41" s="11"/>
      <c r="P41" s="6"/>
      <c r="Q41" s="2"/>
      <c r="R41" s="7">
        <f t="shared" si="32"/>
        <v>0</v>
      </c>
      <c r="S41" s="2"/>
      <c r="T41" s="6">
        <v>1151.21</v>
      </c>
      <c r="U41" s="2"/>
      <c r="V41" s="7">
        <f t="shared" si="33"/>
        <v>8.4890255668469573E-3</v>
      </c>
      <c r="W41" s="2"/>
      <c r="X41" s="6">
        <f t="shared" si="34"/>
        <v>-1151.21</v>
      </c>
      <c r="Y41" s="2"/>
      <c r="Z41" s="7">
        <f t="shared" si="35"/>
        <v>-1</v>
      </c>
    </row>
    <row r="42" spans="1:26" s="26" customFormat="1" outlineLevel="1" collapsed="1" x14ac:dyDescent="0.25">
      <c r="A42" s="27"/>
      <c r="B42" s="13" t="str">
        <f>CONCATENATE("     ","Supplies                                          ")</f>
        <v xml:space="preserve">     Supplies                                          </v>
      </c>
      <c r="C42" s="13"/>
      <c r="D42" s="1">
        <f>SUM(OSRRefD22_5x_0)</f>
        <v>0</v>
      </c>
      <c r="E42" s="1"/>
      <c r="F42" s="5">
        <f t="shared" si="28"/>
        <v>0</v>
      </c>
      <c r="G42" s="1"/>
      <c r="H42" s="1">
        <f>SUM(OSRRefH22_5x_0)</f>
        <v>0</v>
      </c>
      <c r="I42" s="1"/>
      <c r="J42" s="5">
        <f t="shared" si="29"/>
        <v>0</v>
      </c>
      <c r="K42" s="1"/>
      <c r="L42" s="1">
        <f t="shared" si="30"/>
        <v>0</v>
      </c>
      <c r="M42" s="1"/>
      <c r="N42" s="5">
        <f t="shared" si="31"/>
        <v>0</v>
      </c>
      <c r="O42" s="13"/>
      <c r="P42" s="1">
        <f>SUM(OSRRefP22_5x_0)</f>
        <v>0</v>
      </c>
      <c r="Q42" s="1"/>
      <c r="R42" s="5">
        <f t="shared" si="32"/>
        <v>0</v>
      </c>
      <c r="S42" s="1"/>
      <c r="T42" s="1">
        <f>SUM(OSRRefT22_5x_0)</f>
        <v>1137.47</v>
      </c>
      <c r="U42" s="1"/>
      <c r="V42" s="5">
        <f t="shared" si="33"/>
        <v>8.3877067707207268E-3</v>
      </c>
      <c r="W42" s="1"/>
      <c r="X42" s="1">
        <f t="shared" si="34"/>
        <v>-1137.47</v>
      </c>
      <c r="Y42" s="1"/>
      <c r="Z42" s="5">
        <f t="shared" si="35"/>
        <v>-1</v>
      </c>
    </row>
    <row r="43" spans="1:26" s="24" customFormat="1" hidden="1" outlineLevel="2" x14ac:dyDescent="0.25">
      <c r="A43" s="25"/>
      <c r="B43" s="11" t="str">
        <f>CONCATENATE("          ", "6241", " - ", "OFFICE EXPENSE")</f>
        <v xml:space="preserve">          6241 - OFFICE EXPENSE</v>
      </c>
      <c r="C43" s="11"/>
      <c r="D43" s="6"/>
      <c r="E43" s="2"/>
      <c r="F43" s="7">
        <f t="shared" si="28"/>
        <v>0</v>
      </c>
      <c r="G43" s="2"/>
      <c r="H43" s="6"/>
      <c r="I43" s="2"/>
      <c r="J43" s="7">
        <f t="shared" si="29"/>
        <v>0</v>
      </c>
      <c r="K43" s="2"/>
      <c r="L43" s="6">
        <f t="shared" si="30"/>
        <v>0</v>
      </c>
      <c r="M43" s="2"/>
      <c r="N43" s="7">
        <f t="shared" si="31"/>
        <v>0</v>
      </c>
      <c r="O43" s="11"/>
      <c r="P43" s="6"/>
      <c r="Q43" s="2"/>
      <c r="R43" s="7">
        <f t="shared" si="32"/>
        <v>0</v>
      </c>
      <c r="S43" s="2"/>
      <c r="T43" s="6">
        <v>914.08</v>
      </c>
      <c r="U43" s="2"/>
      <c r="V43" s="7">
        <f t="shared" si="33"/>
        <v>6.7404283233671236E-3</v>
      </c>
      <c r="W43" s="2"/>
      <c r="X43" s="6">
        <f t="shared" si="34"/>
        <v>-914.08</v>
      </c>
      <c r="Y43" s="2"/>
      <c r="Z43" s="7">
        <f t="shared" si="35"/>
        <v>-1</v>
      </c>
    </row>
    <row r="44" spans="1:26" s="24" customFormat="1" hidden="1" outlineLevel="2" x14ac:dyDescent="0.25">
      <c r="A44" s="25"/>
      <c r="B44" s="11" t="str">
        <f>CONCATENATE("          ", "6247", " - ", "STORE SUPPLIES")</f>
        <v xml:space="preserve">          6247 - STORE SUPPLIES</v>
      </c>
      <c r="C44" s="11"/>
      <c r="D44" s="6"/>
      <c r="E44" s="2"/>
      <c r="F44" s="7">
        <f t="shared" si="28"/>
        <v>0</v>
      </c>
      <c r="G44" s="2"/>
      <c r="H44" s="6"/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/>
      <c r="Q44" s="2"/>
      <c r="R44" s="7">
        <f t="shared" si="32"/>
        <v>0</v>
      </c>
      <c r="S44" s="2"/>
      <c r="T44" s="6">
        <v>223.39</v>
      </c>
      <c r="U44" s="2"/>
      <c r="V44" s="7">
        <f t="shared" si="33"/>
        <v>1.647278447353603E-3</v>
      </c>
      <c r="W44" s="2"/>
      <c r="X44" s="6">
        <f t="shared" si="34"/>
        <v>-223.39</v>
      </c>
      <c r="Y44" s="2"/>
      <c r="Z44" s="7">
        <f t="shared" si="35"/>
        <v>-1</v>
      </c>
    </row>
    <row r="45" spans="1:26" s="26" customFormat="1" outlineLevel="1" collapsed="1" x14ac:dyDescent="0.25">
      <c r="A45" s="27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SUM(OSRRefD22_6x_0)</f>
        <v>0</v>
      </c>
      <c r="E45" s="1"/>
      <c r="F45" s="5">
        <f t="shared" ref="F45:F46" si="36">IF(D$12=0,0,D45/D$12)</f>
        <v>0</v>
      </c>
      <c r="G45" s="1"/>
      <c r="H45" s="1">
        <f>SUM(OSRRefH22_6x_0)</f>
        <v>0</v>
      </c>
      <c r="I45" s="1"/>
      <c r="J45" s="5">
        <f t="shared" ref="J45:J46" si="37">IF(H$12=0,0,H45/H$12)</f>
        <v>0</v>
      </c>
      <c r="K45" s="1"/>
      <c r="L45" s="1">
        <f t="shared" ref="L45:L46" si="38">+D45-H45</f>
        <v>0</v>
      </c>
      <c r="M45" s="1"/>
      <c r="N45" s="5">
        <f t="shared" ref="N45:N46" si="39">IF(H45=0,0,L45/H45)</f>
        <v>0</v>
      </c>
      <c r="O45" s="13"/>
      <c r="P45" s="1">
        <f>SUM(OSRRefP22_6x_0)</f>
        <v>0</v>
      </c>
      <c r="Q45" s="1"/>
      <c r="R45" s="5">
        <f t="shared" ref="R45:R46" si="40">IF(P$12=0,0,P45/P$12)</f>
        <v>0</v>
      </c>
      <c r="S45" s="1"/>
      <c r="T45" s="1">
        <f>SUM(OSRRefT22_6x_0)</f>
        <v>1269.1500000000001</v>
      </c>
      <c r="U45" s="1"/>
      <c r="V45" s="5">
        <f t="shared" ref="V45:V46" si="41">IF(T$12=0,0,T45/T$12)</f>
        <v>9.3587154369435769E-3</v>
      </c>
      <c r="W45" s="1"/>
      <c r="X45" s="1">
        <f t="shared" ref="X45:X46" si="42">+P45-T45</f>
        <v>-1269.1500000000001</v>
      </c>
      <c r="Y45" s="1"/>
      <c r="Z45" s="5">
        <f t="shared" ref="Z45:Z46" si="43">IF(T45=0,0,X45/T45)</f>
        <v>-1</v>
      </c>
    </row>
    <row r="46" spans="1:26" s="24" customFormat="1" hidden="1" outlineLevel="2" x14ac:dyDescent="0.25">
      <c r="A46" s="25"/>
      <c r="B46" s="11" t="str">
        <f>CONCATENATE("          ", "6292", " - ", "TRAVEL/CONFERENCE")</f>
        <v xml:space="preserve">          6292 - TRAVEL/CONFERENCE</v>
      </c>
      <c r="C46" s="11"/>
      <c r="D46" s="6"/>
      <c r="E46" s="2"/>
      <c r="F46" s="7">
        <f t="shared" si="36"/>
        <v>0</v>
      </c>
      <c r="G46" s="2"/>
      <c r="H46" s="6"/>
      <c r="I46" s="2"/>
      <c r="J46" s="7">
        <f t="shared" si="37"/>
        <v>0</v>
      </c>
      <c r="K46" s="2"/>
      <c r="L46" s="6">
        <f t="shared" si="38"/>
        <v>0</v>
      </c>
      <c r="M46" s="2"/>
      <c r="N46" s="7">
        <f t="shared" si="39"/>
        <v>0</v>
      </c>
      <c r="O46" s="11"/>
      <c r="P46" s="6"/>
      <c r="Q46" s="2"/>
      <c r="R46" s="7">
        <f t="shared" si="40"/>
        <v>0</v>
      </c>
      <c r="S46" s="2"/>
      <c r="T46" s="6">
        <v>1269.1500000000001</v>
      </c>
      <c r="U46" s="2"/>
      <c r="V46" s="7">
        <f t="shared" si="41"/>
        <v>9.3587154369435769E-3</v>
      </c>
      <c r="W46" s="2"/>
      <c r="X46" s="6">
        <f t="shared" si="42"/>
        <v>-1269.1500000000001</v>
      </c>
      <c r="Y46" s="2"/>
      <c r="Z46" s="7">
        <f t="shared" si="43"/>
        <v>-1</v>
      </c>
    </row>
    <row r="47" spans="1:26" s="61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9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8" t="s">
        <v>3</v>
      </c>
      <c r="C50" s="28"/>
      <c r="D50" s="20">
        <f>+D19-D21+D48</f>
        <v>82073.460000000006</v>
      </c>
      <c r="E50" s="14"/>
      <c r="F50" s="22">
        <f>IF(D$12=0,0,D50/D$12)</f>
        <v>1</v>
      </c>
      <c r="G50" s="14"/>
      <c r="H50" s="20">
        <f>+H19-H21+H48</f>
        <v>-12344.780000000002</v>
      </c>
      <c r="I50" s="14"/>
      <c r="J50" s="22">
        <f>IF(H$12=0,0,H50/H$12)</f>
        <v>-0.43433186289997427</v>
      </c>
      <c r="K50" s="15"/>
      <c r="L50" s="20">
        <f>+D50-H50</f>
        <v>94418.240000000005</v>
      </c>
      <c r="M50" s="15"/>
      <c r="N50" s="22">
        <f>IF(H50=0,0,L50/H50)</f>
        <v>-7.6484343989929338</v>
      </c>
      <c r="O50" s="29"/>
      <c r="P50" s="20">
        <f>+P19-P21+P48</f>
        <v>230168.99000000002</v>
      </c>
      <c r="Q50" s="14"/>
      <c r="R50" s="22">
        <f>IF(P$12=0,0,P50/P$12)</f>
        <v>0.99996585234353508</v>
      </c>
      <c r="S50" s="14"/>
      <c r="T50" s="20">
        <f>+T19-T21+T48</f>
        <v>-16232.060000000027</v>
      </c>
      <c r="U50" s="14"/>
      <c r="V50" s="22">
        <f>IF(T$12=0,0,T50/T$12)</f>
        <v>-0.11969525311853965</v>
      </c>
      <c r="W50" s="15"/>
      <c r="X50" s="20">
        <f>+P50-T50</f>
        <v>246401.05000000005</v>
      </c>
      <c r="Y50" s="15"/>
      <c r="Z50" s="22">
        <f>IF(T50=0,0,X50/T50)</f>
        <v>-15.179900148225157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13</v>
      </c>
      <c r="C52" s="10"/>
      <c r="D52" s="4">
        <v>14380.95</v>
      </c>
      <c r="E52" s="4"/>
      <c r="F52" s="12">
        <f>IF(D$12=0,0,D52/D$12)</f>
        <v>0.17522046712786327</v>
      </c>
      <c r="G52" s="4"/>
      <c r="H52" s="4">
        <v>2565.11</v>
      </c>
      <c r="I52" s="4"/>
      <c r="J52" s="12">
        <f>IF(H$12=0,0,H52/H$12)</f>
        <v>9.0249401353718159E-2</v>
      </c>
      <c r="K52" s="4"/>
      <c r="L52" s="4">
        <f>+D52-H52</f>
        <v>11815.84</v>
      </c>
      <c r="M52" s="4"/>
      <c r="N52" s="12">
        <f>IF(H52=0,0,L52/H52)</f>
        <v>4.6063677581078393</v>
      </c>
      <c r="O52" s="10"/>
      <c r="P52" s="4">
        <v>41783.21</v>
      </c>
      <c r="Q52" s="4"/>
      <c r="R52" s="12">
        <f>IF(P$12=0,0,P52/P$12)</f>
        <v>0.18152655230098075</v>
      </c>
      <c r="S52" s="4"/>
      <c r="T52" s="4">
        <v>14142.36</v>
      </c>
      <c r="U52" s="4"/>
      <c r="V52" s="12">
        <f>IF(T$12=0,0,T52/T$12)</f>
        <v>0.10428579982414479</v>
      </c>
      <c r="W52" s="4"/>
      <c r="X52" s="4">
        <f>+P52-T52</f>
        <v>27640.85</v>
      </c>
      <c r="Y52" s="4"/>
      <c r="Z52" s="12">
        <f>IF(T52=0,0,X52/T52)</f>
        <v>1.9544722380140229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8" t="s">
        <v>4</v>
      </c>
      <c r="C54" s="28"/>
      <c r="D54" s="30">
        <f>+D50-D52</f>
        <v>67692.510000000009</v>
      </c>
      <c r="E54" s="14"/>
      <c r="F54" s="36">
        <f>IF(D$12=0,0,D54/D$12)</f>
        <v>0.82477953287213679</v>
      </c>
      <c r="G54" s="14"/>
      <c r="H54" s="30">
        <f>+H50-H52</f>
        <v>-14909.890000000003</v>
      </c>
      <c r="I54" s="14"/>
      <c r="J54" s="36">
        <f>IF(H$12=0,0,H54/H$12)</f>
        <v>-0.52458126425369245</v>
      </c>
      <c r="K54" s="15"/>
      <c r="L54" s="30">
        <f>D54-H54</f>
        <v>82602.400000000009</v>
      </c>
      <c r="M54" s="15"/>
      <c r="N54" s="36">
        <f>IF(H54=0,0,L54/H54)</f>
        <v>-5.5401079417755588</v>
      </c>
      <c r="O54" s="29"/>
      <c r="P54" s="30">
        <f>+P50-P52</f>
        <v>188385.78000000003</v>
      </c>
      <c r="Q54" s="14"/>
      <c r="R54" s="36">
        <f>IF(P$12=0,0,P54/P$12)</f>
        <v>0.81843930004255439</v>
      </c>
      <c r="S54" s="14"/>
      <c r="T54" s="30">
        <f>+T50-T52</f>
        <v>-30374.420000000027</v>
      </c>
      <c r="U54" s="14"/>
      <c r="V54" s="36">
        <f>IF(T$12=0,0,T54/T$12)</f>
        <v>-0.22398105294268444</v>
      </c>
      <c r="W54" s="15"/>
      <c r="X54" s="30">
        <f>P54-T54</f>
        <v>218760.20000000007</v>
      </c>
      <c r="Y54" s="15"/>
      <c r="Z54" s="36">
        <f>IF(T54=0,0,X54/T54)</f>
        <v>-7.2021194149550798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5</v>
      </c>
      <c r="C57" s="28"/>
      <c r="D57" s="32">
        <f>SUM(D54:D56)</f>
        <v>67692.510000000009</v>
      </c>
      <c r="E57" s="14"/>
      <c r="F57" s="31">
        <f>IF(D$12=0,0,D57/D$12)</f>
        <v>0.82477953287213679</v>
      </c>
      <c r="G57" s="14"/>
      <c r="H57" s="32">
        <f>SUM(H54:H56)</f>
        <v>-14909.890000000003</v>
      </c>
      <c r="I57" s="14"/>
      <c r="J57" s="31">
        <f>IF(H$12=0,0,H57/H$12)</f>
        <v>-0.52458126425369245</v>
      </c>
      <c r="K57" s="15"/>
      <c r="L57" s="32">
        <f>+D57-H57</f>
        <v>82602.400000000009</v>
      </c>
      <c r="M57" s="15"/>
      <c r="N57" s="31">
        <f>IF(H57=0,0,L57/H57)</f>
        <v>-5.5401079417755588</v>
      </c>
      <c r="O57" s="29"/>
      <c r="P57" s="32">
        <f>SUM(P54:P56)</f>
        <v>188385.78000000003</v>
      </c>
      <c r="Q57" s="14"/>
      <c r="R57" s="31">
        <f>IF(P$12=0,0,P57/P$12)</f>
        <v>0.81843930004255439</v>
      </c>
      <c r="S57" s="14"/>
      <c r="T57" s="32">
        <f>SUM(T54:T56)</f>
        <v>-30374.420000000027</v>
      </c>
      <c r="U57" s="14"/>
      <c r="V57" s="31">
        <f>IF(T$12=0,0,T57/T$12)</f>
        <v>-0.22398105294268444</v>
      </c>
      <c r="W57" s="15"/>
      <c r="X57" s="32">
        <f>+P57-T57</f>
        <v>218760.20000000007</v>
      </c>
      <c r="Y57" s="15"/>
      <c r="Z57" s="31">
        <f>IF(T57=0,0,X57/T57)</f>
        <v>-7.2021194149550798</v>
      </c>
    </row>
    <row r="58" spans="1:26" ht="15.75" thickTop="1" x14ac:dyDescent="0.25">
      <c r="A58" s="9"/>
      <c r="C58" s="9"/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62">
        <v>44238.496528437499</v>
      </c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59" t="s">
        <v>313</v>
      </c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A61" s="9"/>
      <c r="B61" s="56"/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  <row r="62" spans="1:26" x14ac:dyDescent="0.25">
      <c r="D62" s="18"/>
      <c r="E62" s="18"/>
      <c r="G62" s="18"/>
      <c r="H62" s="18"/>
      <c r="I62" s="18"/>
      <c r="J62" s="42"/>
      <c r="K62" s="18"/>
      <c r="L62" s="18"/>
      <c r="M62" s="18"/>
      <c r="P62" s="18"/>
      <c r="Q62" s="18"/>
      <c r="R62" s="42"/>
      <c r="S62" s="18"/>
      <c r="T62" s="18"/>
      <c r="U62" s="18"/>
      <c r="V62" s="42"/>
      <c r="W62" s="18"/>
      <c r="X62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","423", " - ", "Contract Revenue")</f>
        <v>Department 423 - Contract Revenue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-805.48</v>
      </c>
      <c r="U14" s="4"/>
      <c r="V14" s="12">
        <f t="shared" ref="V14:V15" si="5">IF(T$12=0,0,T14/T$12)</f>
        <v>0</v>
      </c>
      <c r="W14" s="4"/>
      <c r="X14" s="4">
        <f t="shared" ref="X14:X15" si="6">+P14-T14</f>
        <v>805.48</v>
      </c>
      <c r="Y14" s="4"/>
      <c r="Z14" s="12">
        <f t="shared" ref="Z14:Z15" si="7">IF(T14=0,0,X14/T14)</f>
        <v>-1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/>
      <c r="Q15" s="2"/>
      <c r="R15" s="19">
        <f t="shared" si="4"/>
        <v>0</v>
      </c>
      <c r="S15" s="2"/>
      <c r="T15" s="2">
        <v>-805.48</v>
      </c>
      <c r="U15" s="2"/>
      <c r="V15" s="19">
        <f t="shared" si="5"/>
        <v>0</v>
      </c>
      <c r="W15" s="2"/>
      <c r="X15" s="2">
        <f t="shared" si="6"/>
        <v>805.48</v>
      </c>
      <c r="Y15" s="2"/>
      <c r="Z15" s="19">
        <f t="shared" si="7"/>
        <v>-1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D12-D14</f>
        <v>0</v>
      </c>
      <c r="E17" s="14"/>
      <c r="F17" s="22">
        <f>IF(D$12=0,0,D17/D$12)</f>
        <v>0</v>
      </c>
      <c r="G17" s="14"/>
      <c r="H17" s="20">
        <f>H12-H14</f>
        <v>0</v>
      </c>
      <c r="I17" s="14"/>
      <c r="J17" s="22">
        <f>IF(H$12=0,0,H17/H$12)</f>
        <v>0</v>
      </c>
      <c r="K17" s="15"/>
      <c r="L17" s="20">
        <f>+D17-H17</f>
        <v>0</v>
      </c>
      <c r="M17" s="15"/>
      <c r="N17" s="22">
        <f>IF(H17=0,0,L17/H17)</f>
        <v>0</v>
      </c>
      <c r="O17" s="29"/>
      <c r="P17" s="20">
        <f>P12-P14</f>
        <v>0</v>
      </c>
      <c r="Q17" s="14"/>
      <c r="R17" s="22">
        <f>IF(P$12=0,0,P17/P$12)</f>
        <v>0</v>
      </c>
      <c r="S17" s="14"/>
      <c r="T17" s="20">
        <f>T12-T14</f>
        <v>805.48</v>
      </c>
      <c r="U17" s="14"/>
      <c r="V17" s="22">
        <f>IF(T$12=0,0,T17/T$12)</f>
        <v>0</v>
      </c>
      <c r="W17" s="15"/>
      <c r="X17" s="20">
        <f>+P17-T17</f>
        <v>-805.48</v>
      </c>
      <c r="Y17" s="15"/>
      <c r="Z17" s="22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-77.740000000000009</v>
      </c>
      <c r="E19" s="21"/>
      <c r="F19" s="35">
        <f t="shared" ref="F19:F28" si="8">IF(D$12=0,0,D19/D$12)</f>
        <v>0</v>
      </c>
      <c r="G19" s="21"/>
      <c r="H19" s="21">
        <f>SUM(OSRRefH22x_0)</f>
        <v>8884.119999999999</v>
      </c>
      <c r="I19" s="21"/>
      <c r="J19" s="35">
        <f t="shared" ref="J19:J28" si="9">IF(H$12=0,0,H19/H$12)</f>
        <v>0</v>
      </c>
      <c r="K19" s="4"/>
      <c r="L19" s="21">
        <f t="shared" ref="L19:L28" si="10">+D19-H19</f>
        <v>-8961.8599999999988</v>
      </c>
      <c r="M19" s="4"/>
      <c r="N19" s="35">
        <f t="shared" ref="N19:N28" si="11">IF(H19=0,0,L19/H19)</f>
        <v>-1.0087504446135351</v>
      </c>
      <c r="O19" s="10"/>
      <c r="P19" s="21">
        <f>SUM(OSRRefP22x_0)</f>
        <v>3055.19</v>
      </c>
      <c r="Q19" s="21"/>
      <c r="R19" s="35">
        <f t="shared" ref="R19:R28" si="12">IF(P$12=0,0,P19/P$12)</f>
        <v>0</v>
      </c>
      <c r="S19" s="21"/>
      <c r="T19" s="21">
        <f>SUM(OSRRefT22x_0)</f>
        <v>77859.519999999975</v>
      </c>
      <c r="U19" s="21"/>
      <c r="V19" s="35">
        <f t="shared" ref="V19:V28" si="13">IF(T$12=0,0,T19/T$12)</f>
        <v>0</v>
      </c>
      <c r="W19" s="4"/>
      <c r="X19" s="21">
        <f t="shared" ref="X19:X28" si="14">+P19-T19</f>
        <v>-74804.329999999973</v>
      </c>
      <c r="Y19" s="4"/>
      <c r="Z19" s="35">
        <f t="shared" ref="Z19:Z28" si="15">IF(T19=0,0,X19/T19)</f>
        <v>-0.96076022559604779</v>
      </c>
    </row>
    <row r="20" spans="1:26" s="26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3069.4399999999996</v>
      </c>
      <c r="I20" s="1"/>
      <c r="J20" s="5">
        <f t="shared" si="9"/>
        <v>0</v>
      </c>
      <c r="K20" s="1"/>
      <c r="L20" s="1">
        <f t="shared" si="10"/>
        <v>-3069.4399999999996</v>
      </c>
      <c r="M20" s="1"/>
      <c r="N20" s="5">
        <f t="shared" si="11"/>
        <v>-1</v>
      </c>
      <c r="O20" s="13"/>
      <c r="P20" s="1">
        <f>SUM(OSRRefP22_0x_0)</f>
        <v>2478.73</v>
      </c>
      <c r="Q20" s="1"/>
      <c r="R20" s="5">
        <f t="shared" si="12"/>
        <v>0</v>
      </c>
      <c r="S20" s="1"/>
      <c r="T20" s="1">
        <f>SUM(OSRRefT22_0x_0)</f>
        <v>30526.05</v>
      </c>
      <c r="U20" s="1"/>
      <c r="V20" s="5">
        <f t="shared" si="13"/>
        <v>0</v>
      </c>
      <c r="W20" s="1"/>
      <c r="X20" s="1">
        <f t="shared" si="14"/>
        <v>-28047.32</v>
      </c>
      <c r="Y20" s="1"/>
      <c r="Z20" s="5">
        <f t="shared" si="15"/>
        <v>-0.91879951713372676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/>
      <c r="E21" s="2"/>
      <c r="F21" s="7">
        <f t="shared" si="8"/>
        <v>0</v>
      </c>
      <c r="G21" s="2"/>
      <c r="H21" s="6">
        <v>384.92</v>
      </c>
      <c r="I21" s="2"/>
      <c r="J21" s="7">
        <f t="shared" si="9"/>
        <v>0</v>
      </c>
      <c r="K21" s="2"/>
      <c r="L21" s="6">
        <f t="shared" si="10"/>
        <v>-384.92</v>
      </c>
      <c r="M21" s="2"/>
      <c r="N21" s="7">
        <f t="shared" si="11"/>
        <v>-1</v>
      </c>
      <c r="O21" s="11"/>
      <c r="P21" s="6"/>
      <c r="Q21" s="2"/>
      <c r="R21" s="7">
        <f t="shared" si="12"/>
        <v>0</v>
      </c>
      <c r="S21" s="2"/>
      <c r="T21" s="6">
        <v>4174.2299999999996</v>
      </c>
      <c r="U21" s="2"/>
      <c r="V21" s="7">
        <f t="shared" si="13"/>
        <v>0</v>
      </c>
      <c r="W21" s="2"/>
      <c r="X21" s="6">
        <f t="shared" si="14"/>
        <v>-4174.2299999999996</v>
      </c>
      <c r="Y21" s="2"/>
      <c r="Z21" s="7">
        <f t="shared" si="15"/>
        <v>-1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/>
      <c r="E22" s="2"/>
      <c r="F22" s="7">
        <f t="shared" si="8"/>
        <v>0</v>
      </c>
      <c r="G22" s="2"/>
      <c r="H22" s="6">
        <v>17.11</v>
      </c>
      <c r="I22" s="2"/>
      <c r="J22" s="7">
        <f t="shared" si="9"/>
        <v>0</v>
      </c>
      <c r="K22" s="2"/>
      <c r="L22" s="6">
        <f t="shared" si="10"/>
        <v>-17.11</v>
      </c>
      <c r="M22" s="2"/>
      <c r="N22" s="7">
        <f t="shared" si="11"/>
        <v>-1</v>
      </c>
      <c r="O22" s="11"/>
      <c r="P22" s="6"/>
      <c r="Q22" s="2"/>
      <c r="R22" s="7">
        <f t="shared" si="12"/>
        <v>0</v>
      </c>
      <c r="S22" s="2"/>
      <c r="T22" s="6">
        <v>142.21</v>
      </c>
      <c r="U22" s="2"/>
      <c r="V22" s="7">
        <f t="shared" si="13"/>
        <v>0</v>
      </c>
      <c r="W22" s="2"/>
      <c r="X22" s="6">
        <f t="shared" si="14"/>
        <v>-142.21</v>
      </c>
      <c r="Y22" s="2"/>
      <c r="Z22" s="7">
        <f t="shared" si="15"/>
        <v>-1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/>
      <c r="E23" s="2"/>
      <c r="F23" s="7">
        <f t="shared" si="8"/>
        <v>0</v>
      </c>
      <c r="G23" s="2"/>
      <c r="H23" s="6">
        <v>1016.65</v>
      </c>
      <c r="I23" s="2"/>
      <c r="J23" s="7">
        <f t="shared" si="9"/>
        <v>0</v>
      </c>
      <c r="K23" s="2"/>
      <c r="L23" s="6">
        <f t="shared" si="10"/>
        <v>-1016.65</v>
      </c>
      <c r="M23" s="2"/>
      <c r="N23" s="7">
        <f t="shared" si="11"/>
        <v>-1</v>
      </c>
      <c r="O23" s="11"/>
      <c r="P23" s="6">
        <v>1868.2</v>
      </c>
      <c r="Q23" s="2"/>
      <c r="R23" s="7">
        <f t="shared" si="12"/>
        <v>0</v>
      </c>
      <c r="S23" s="2"/>
      <c r="T23" s="6">
        <v>7085.23</v>
      </c>
      <c r="U23" s="2"/>
      <c r="V23" s="7">
        <f t="shared" si="13"/>
        <v>0</v>
      </c>
      <c r="W23" s="2"/>
      <c r="X23" s="6">
        <f t="shared" si="14"/>
        <v>-5217.03</v>
      </c>
      <c r="Y23" s="2"/>
      <c r="Z23" s="7">
        <f t="shared" si="15"/>
        <v>-0.73632472058070098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/>
      <c r="E24" s="2"/>
      <c r="F24" s="7">
        <f t="shared" si="8"/>
        <v>0</v>
      </c>
      <c r="G24" s="2"/>
      <c r="H24" s="6">
        <v>13.08</v>
      </c>
      <c r="I24" s="2"/>
      <c r="J24" s="7">
        <f t="shared" si="9"/>
        <v>0</v>
      </c>
      <c r="K24" s="2"/>
      <c r="L24" s="6">
        <f t="shared" si="10"/>
        <v>-13.08</v>
      </c>
      <c r="M24" s="2"/>
      <c r="N24" s="7">
        <f t="shared" si="11"/>
        <v>-1</v>
      </c>
      <c r="O24" s="11"/>
      <c r="P24" s="6"/>
      <c r="Q24" s="2"/>
      <c r="R24" s="7">
        <f t="shared" si="12"/>
        <v>0</v>
      </c>
      <c r="S24" s="2"/>
      <c r="T24" s="6">
        <v>121.23</v>
      </c>
      <c r="U24" s="2"/>
      <c r="V24" s="7">
        <f t="shared" si="13"/>
        <v>0</v>
      </c>
      <c r="W24" s="2"/>
      <c r="X24" s="6">
        <f t="shared" si="14"/>
        <v>-121.23</v>
      </c>
      <c r="Y24" s="2"/>
      <c r="Z24" s="7">
        <f t="shared" si="15"/>
        <v>-1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/>
      <c r="E25" s="2"/>
      <c r="F25" s="7">
        <f t="shared" si="8"/>
        <v>0</v>
      </c>
      <c r="G25" s="2"/>
      <c r="H25" s="6">
        <v>771.4</v>
      </c>
      <c r="I25" s="2"/>
      <c r="J25" s="7">
        <f t="shared" si="9"/>
        <v>0</v>
      </c>
      <c r="K25" s="2"/>
      <c r="L25" s="6">
        <f t="shared" si="10"/>
        <v>-771.4</v>
      </c>
      <c r="M25" s="2"/>
      <c r="N25" s="7">
        <f t="shared" si="11"/>
        <v>-1</v>
      </c>
      <c r="O25" s="11"/>
      <c r="P25" s="6">
        <v>610.53</v>
      </c>
      <c r="Q25" s="2"/>
      <c r="R25" s="7">
        <f t="shared" si="12"/>
        <v>0</v>
      </c>
      <c r="S25" s="2"/>
      <c r="T25" s="6">
        <v>4766.34</v>
      </c>
      <c r="U25" s="2"/>
      <c r="V25" s="7">
        <f t="shared" si="13"/>
        <v>0</v>
      </c>
      <c r="W25" s="2"/>
      <c r="X25" s="6">
        <f t="shared" si="14"/>
        <v>-4155.8100000000004</v>
      </c>
      <c r="Y25" s="2"/>
      <c r="Z25" s="7">
        <f t="shared" si="15"/>
        <v>-0.87190800488425091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8"/>
        <v>0</v>
      </c>
      <c r="G26" s="2"/>
      <c r="H26" s="6">
        <v>464.78</v>
      </c>
      <c r="I26" s="2"/>
      <c r="J26" s="7">
        <f t="shared" si="9"/>
        <v>0</v>
      </c>
      <c r="K26" s="2"/>
      <c r="L26" s="6">
        <f t="shared" si="10"/>
        <v>-464.78</v>
      </c>
      <c r="M26" s="2"/>
      <c r="N26" s="7">
        <f t="shared" si="11"/>
        <v>-1</v>
      </c>
      <c r="O26" s="11"/>
      <c r="P26" s="6"/>
      <c r="Q26" s="2"/>
      <c r="R26" s="7">
        <f t="shared" si="12"/>
        <v>0</v>
      </c>
      <c r="S26" s="2"/>
      <c r="T26" s="6">
        <v>4848.59</v>
      </c>
      <c r="U26" s="2"/>
      <c r="V26" s="7">
        <f t="shared" si="13"/>
        <v>0</v>
      </c>
      <c r="W26" s="2"/>
      <c r="X26" s="6">
        <f t="shared" si="14"/>
        <v>-4848.59</v>
      </c>
      <c r="Y26" s="2"/>
      <c r="Z26" s="7">
        <f t="shared" si="15"/>
        <v>-1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8"/>
        <v>0</v>
      </c>
      <c r="G27" s="2"/>
      <c r="H27" s="6">
        <v>232.08</v>
      </c>
      <c r="I27" s="2"/>
      <c r="J27" s="7">
        <f t="shared" si="9"/>
        <v>0</v>
      </c>
      <c r="K27" s="2"/>
      <c r="L27" s="6">
        <f t="shared" si="10"/>
        <v>-232.08</v>
      </c>
      <c r="M27" s="2"/>
      <c r="N27" s="7">
        <f t="shared" si="11"/>
        <v>-1</v>
      </c>
      <c r="O27" s="11"/>
      <c r="P27" s="6"/>
      <c r="Q27" s="2"/>
      <c r="R27" s="7">
        <f t="shared" si="12"/>
        <v>0</v>
      </c>
      <c r="S27" s="2"/>
      <c r="T27" s="6">
        <v>8352.0400000000009</v>
      </c>
      <c r="U27" s="2"/>
      <c r="V27" s="7">
        <f t="shared" si="13"/>
        <v>0</v>
      </c>
      <c r="W27" s="2"/>
      <c r="X27" s="6">
        <f t="shared" si="14"/>
        <v>-8352.0400000000009</v>
      </c>
      <c r="Y27" s="2"/>
      <c r="Z27" s="7">
        <f t="shared" si="15"/>
        <v>-1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8"/>
        <v>0</v>
      </c>
      <c r="G28" s="2"/>
      <c r="H28" s="6">
        <v>169.42</v>
      </c>
      <c r="I28" s="2"/>
      <c r="J28" s="7">
        <f t="shared" si="9"/>
        <v>0</v>
      </c>
      <c r="K28" s="2"/>
      <c r="L28" s="6">
        <f t="shared" si="10"/>
        <v>-169.42</v>
      </c>
      <c r="M28" s="2"/>
      <c r="N28" s="7">
        <f t="shared" si="11"/>
        <v>-1</v>
      </c>
      <c r="O28" s="11"/>
      <c r="P28" s="6"/>
      <c r="Q28" s="2"/>
      <c r="R28" s="7">
        <f t="shared" si="12"/>
        <v>0</v>
      </c>
      <c r="S28" s="2"/>
      <c r="T28" s="6">
        <v>1036.18</v>
      </c>
      <c r="U28" s="2"/>
      <c r="V28" s="7">
        <f t="shared" si="13"/>
        <v>0</v>
      </c>
      <c r="W28" s="2"/>
      <c r="X28" s="6">
        <f t="shared" si="14"/>
        <v>-1036.18</v>
      </c>
      <c r="Y28" s="2"/>
      <c r="Z28" s="7">
        <f t="shared" si="15"/>
        <v>-1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0</v>
      </c>
      <c r="E29" s="1"/>
      <c r="F29" s="5">
        <f t="shared" ref="F29:F38" si="16">IF(D$12=0,0,D29/D$12)</f>
        <v>0</v>
      </c>
      <c r="G29" s="1"/>
      <c r="H29" s="1">
        <f>SUM(OSRRefH22_1x_0)</f>
        <v>5534.77</v>
      </c>
      <c r="I29" s="1"/>
      <c r="J29" s="5">
        <f t="shared" ref="J29:J38" si="17">IF(H$12=0,0,H29/H$12)</f>
        <v>0</v>
      </c>
      <c r="K29" s="1"/>
      <c r="L29" s="1">
        <f t="shared" ref="L29:L38" si="18">+D29-H29</f>
        <v>-5534.77</v>
      </c>
      <c r="M29" s="1"/>
      <c r="N29" s="5">
        <f t="shared" ref="N29:N38" si="19">IF(H29=0,0,L29/H29)</f>
        <v>-1</v>
      </c>
      <c r="O29" s="13"/>
      <c r="P29" s="1">
        <f>SUM(OSRRefP22_1x_0)</f>
        <v>0</v>
      </c>
      <c r="Q29" s="1"/>
      <c r="R29" s="5">
        <f t="shared" ref="R29:R38" si="20">IF(P$12=0,0,P29/P$12)</f>
        <v>0</v>
      </c>
      <c r="S29" s="1"/>
      <c r="T29" s="1">
        <f>SUM(OSRRefT22_1x_0)</f>
        <v>33413.879999999997</v>
      </c>
      <c r="U29" s="1"/>
      <c r="V29" s="5">
        <f t="shared" ref="V29:V38" si="21">IF(T$12=0,0,T29/T$12)</f>
        <v>0</v>
      </c>
      <c r="W29" s="1"/>
      <c r="X29" s="1">
        <f t="shared" ref="X29:X38" si="22">+P29-T29</f>
        <v>-33413.879999999997</v>
      </c>
      <c r="Y29" s="1"/>
      <c r="Z29" s="5">
        <f t="shared" ref="Z29:Z38" si="23">IF(T29=0,0,X29/T29)</f>
        <v>-1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16"/>
        <v>0</v>
      </c>
      <c r="G30" s="2"/>
      <c r="H30" s="6">
        <v>5534.77</v>
      </c>
      <c r="I30" s="2"/>
      <c r="J30" s="7">
        <f t="shared" si="17"/>
        <v>0</v>
      </c>
      <c r="K30" s="2"/>
      <c r="L30" s="6">
        <f t="shared" si="18"/>
        <v>-5534.77</v>
      </c>
      <c r="M30" s="2"/>
      <c r="N30" s="7">
        <f t="shared" si="19"/>
        <v>-1</v>
      </c>
      <c r="O30" s="11"/>
      <c r="P30" s="6"/>
      <c r="Q30" s="2"/>
      <c r="R30" s="7">
        <f t="shared" si="20"/>
        <v>0</v>
      </c>
      <c r="S30" s="2"/>
      <c r="T30" s="6">
        <v>33413.879999999997</v>
      </c>
      <c r="U30" s="2"/>
      <c r="V30" s="7">
        <f t="shared" si="21"/>
        <v>0</v>
      </c>
      <c r="W30" s="2"/>
      <c r="X30" s="6">
        <f t="shared" si="22"/>
        <v>-33413.879999999997</v>
      </c>
      <c r="Y30" s="2"/>
      <c r="Z30" s="7">
        <f t="shared" si="23"/>
        <v>-1</v>
      </c>
    </row>
    <row r="31" spans="1:26" s="26" customFormat="1" outlineLevel="1" collapsed="1" x14ac:dyDescent="0.25">
      <c r="A31" s="27"/>
      <c r="B31" s="13" t="str">
        <f>CONCATENATE("     ","General                                           ")</f>
        <v xml:space="preserve">     General                                           </v>
      </c>
      <c r="C31" s="13"/>
      <c r="D31" s="1">
        <f>SUM(OSRRefD22_2x_0)</f>
        <v>0</v>
      </c>
      <c r="E31" s="1"/>
      <c r="F31" s="5">
        <f t="shared" si="16"/>
        <v>0</v>
      </c>
      <c r="G31" s="1"/>
      <c r="H31" s="1">
        <f>SUM(OSRRefH22_2x_0)</f>
        <v>0</v>
      </c>
      <c r="I31" s="1"/>
      <c r="J31" s="5">
        <f t="shared" si="17"/>
        <v>0</v>
      </c>
      <c r="K31" s="1"/>
      <c r="L31" s="1">
        <f t="shared" si="18"/>
        <v>0</v>
      </c>
      <c r="M31" s="1"/>
      <c r="N31" s="5">
        <f t="shared" si="19"/>
        <v>0</v>
      </c>
      <c r="O31" s="13"/>
      <c r="P31" s="1">
        <f>SUM(OSRRefP22_2x_0)</f>
        <v>0</v>
      </c>
      <c r="Q31" s="1"/>
      <c r="R31" s="5">
        <f t="shared" si="20"/>
        <v>0</v>
      </c>
      <c r="S31" s="1"/>
      <c r="T31" s="1">
        <f>SUM(OSRRefT22_2x_0)</f>
        <v>2443.65</v>
      </c>
      <c r="U31" s="1"/>
      <c r="V31" s="5">
        <f t="shared" si="21"/>
        <v>0</v>
      </c>
      <c r="W31" s="1"/>
      <c r="X31" s="1">
        <f t="shared" si="22"/>
        <v>-2443.65</v>
      </c>
      <c r="Y31" s="1"/>
      <c r="Z31" s="5">
        <f t="shared" si="23"/>
        <v>-1</v>
      </c>
    </row>
    <row r="32" spans="1:26" s="24" customFormat="1" hidden="1" outlineLevel="2" x14ac:dyDescent="0.25">
      <c r="A32" s="25"/>
      <c r="B32" s="11" t="str">
        <f>CONCATENATE("          ", "6279", " - ", "GENERAL EXPENSE")</f>
        <v xml:space="preserve">          6279 - GENERAL EXPENSE</v>
      </c>
      <c r="C32" s="11"/>
      <c r="D32" s="6"/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/>
      <c r="Q32" s="2"/>
      <c r="R32" s="7">
        <f t="shared" si="20"/>
        <v>0</v>
      </c>
      <c r="S32" s="2"/>
      <c r="T32" s="6">
        <v>2443.65</v>
      </c>
      <c r="U32" s="2"/>
      <c r="V32" s="7">
        <f t="shared" si="21"/>
        <v>0</v>
      </c>
      <c r="W32" s="2"/>
      <c r="X32" s="6">
        <f t="shared" si="22"/>
        <v>-2443.65</v>
      </c>
      <c r="Y32" s="2"/>
      <c r="Z32" s="7">
        <f t="shared" si="23"/>
        <v>-1</v>
      </c>
    </row>
    <row r="33" spans="1:26" s="26" customFormat="1" outlineLevel="1" collapsed="1" x14ac:dyDescent="0.25">
      <c r="A33" s="27"/>
      <c r="B33" s="13" t="str">
        <f>CONCATENATE("     ","Royalty &amp; Commissions                             ")</f>
        <v xml:space="preserve">     Royalty &amp; Commissions                             </v>
      </c>
      <c r="C33" s="13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0</v>
      </c>
      <c r="I33" s="1"/>
      <c r="J33" s="5">
        <f t="shared" si="17"/>
        <v>0</v>
      </c>
      <c r="K33" s="1"/>
      <c r="L33" s="1">
        <f t="shared" si="18"/>
        <v>0</v>
      </c>
      <c r="M33" s="1"/>
      <c r="N33" s="5">
        <f t="shared" si="19"/>
        <v>0</v>
      </c>
      <c r="O33" s="13"/>
      <c r="P33" s="1">
        <f>SUM(OSRRefP22_3x_0)</f>
        <v>0</v>
      </c>
      <c r="Q33" s="1"/>
      <c r="R33" s="5">
        <f t="shared" si="20"/>
        <v>0</v>
      </c>
      <c r="S33" s="1"/>
      <c r="T33" s="1">
        <f>SUM(OSRRefT22_3x_0)</f>
        <v>10393.31</v>
      </c>
      <c r="U33" s="1"/>
      <c r="V33" s="5">
        <f t="shared" si="21"/>
        <v>0</v>
      </c>
      <c r="W33" s="1"/>
      <c r="X33" s="1">
        <f t="shared" si="22"/>
        <v>-10393.31</v>
      </c>
      <c r="Y33" s="1"/>
      <c r="Z33" s="5">
        <f t="shared" si="23"/>
        <v>-1</v>
      </c>
    </row>
    <row r="34" spans="1:26" s="24" customFormat="1" hidden="1" outlineLevel="2" x14ac:dyDescent="0.25">
      <c r="A34" s="25"/>
      <c r="B34" s="11" t="str">
        <f>CONCATENATE("          ", "6254", " - ", "ROYALTY &amp; COMMISSIONS")</f>
        <v xml:space="preserve">          6254 - ROYALTY &amp; COMMISSIONS</v>
      </c>
      <c r="C34" s="11"/>
      <c r="D34" s="6"/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10393.31</v>
      </c>
      <c r="U34" s="2"/>
      <c r="V34" s="7">
        <f t="shared" si="21"/>
        <v>0</v>
      </c>
      <c r="W34" s="2"/>
      <c r="X34" s="6">
        <f t="shared" si="22"/>
        <v>-10393.31</v>
      </c>
      <c r="Y34" s="2"/>
      <c r="Z34" s="7">
        <f t="shared" si="23"/>
        <v>-1</v>
      </c>
    </row>
    <row r="35" spans="1:26" s="26" customFormat="1" outlineLevel="1" collapsed="1" x14ac:dyDescent="0.25">
      <c r="A35" s="27"/>
      <c r="B35" s="13" t="str">
        <f>CONCATENATE("     ","Supplies                                          ")</f>
        <v xml:space="preserve">     Supplies                                          </v>
      </c>
      <c r="C35" s="13"/>
      <c r="D35" s="1">
        <f>SUM(OSRRefD22_4x_0)</f>
        <v>36.26</v>
      </c>
      <c r="E35" s="1"/>
      <c r="F35" s="5">
        <f t="shared" si="16"/>
        <v>0</v>
      </c>
      <c r="G35" s="1"/>
      <c r="H35" s="1">
        <f>SUM(OSRRefH22_4x_0)</f>
        <v>11.01</v>
      </c>
      <c r="I35" s="1"/>
      <c r="J35" s="5">
        <f t="shared" si="17"/>
        <v>0</v>
      </c>
      <c r="K35" s="1"/>
      <c r="L35" s="1">
        <f t="shared" si="18"/>
        <v>25.25</v>
      </c>
      <c r="M35" s="1"/>
      <c r="N35" s="5">
        <f t="shared" si="19"/>
        <v>2.293369663941871</v>
      </c>
      <c r="O35" s="13"/>
      <c r="P35" s="1">
        <f>SUM(OSRRefP22_4x_0)</f>
        <v>-14.54</v>
      </c>
      <c r="Q35" s="1"/>
      <c r="R35" s="5">
        <f t="shared" si="20"/>
        <v>0</v>
      </c>
      <c r="S35" s="1"/>
      <c r="T35" s="1">
        <f>SUM(OSRRefT22_4x_0)</f>
        <v>76.930000000000007</v>
      </c>
      <c r="U35" s="1"/>
      <c r="V35" s="5">
        <f t="shared" si="21"/>
        <v>0</v>
      </c>
      <c r="W35" s="1"/>
      <c r="X35" s="1">
        <f t="shared" si="22"/>
        <v>-91.47</v>
      </c>
      <c r="Y35" s="1"/>
      <c r="Z35" s="5">
        <f t="shared" si="23"/>
        <v>-1.189002989730924</v>
      </c>
    </row>
    <row r="36" spans="1:26" s="24" customFormat="1" hidden="1" outlineLevel="2" x14ac:dyDescent="0.25">
      <c r="A36" s="25"/>
      <c r="B36" s="11" t="str">
        <f>CONCATENATE("          ", "6241", " - ", "OFFICE EXPENSE")</f>
        <v xml:space="preserve">          6241 - OFFICE EXPENSE</v>
      </c>
      <c r="C36" s="11"/>
      <c r="D36" s="6">
        <v>36.26</v>
      </c>
      <c r="E36" s="2"/>
      <c r="F36" s="7">
        <f t="shared" si="16"/>
        <v>0</v>
      </c>
      <c r="G36" s="2"/>
      <c r="H36" s="6">
        <v>11.01</v>
      </c>
      <c r="I36" s="2"/>
      <c r="J36" s="7">
        <f t="shared" si="17"/>
        <v>0</v>
      </c>
      <c r="K36" s="2"/>
      <c r="L36" s="6">
        <f t="shared" si="18"/>
        <v>25.25</v>
      </c>
      <c r="M36" s="2"/>
      <c r="N36" s="7">
        <f t="shared" si="19"/>
        <v>2.293369663941871</v>
      </c>
      <c r="O36" s="11"/>
      <c r="P36" s="6">
        <v>-14.54</v>
      </c>
      <c r="Q36" s="2"/>
      <c r="R36" s="7">
        <f t="shared" si="20"/>
        <v>0</v>
      </c>
      <c r="S36" s="2"/>
      <c r="T36" s="6">
        <v>76.930000000000007</v>
      </c>
      <c r="U36" s="2"/>
      <c r="V36" s="7">
        <f t="shared" si="21"/>
        <v>0</v>
      </c>
      <c r="W36" s="2"/>
      <c r="X36" s="6">
        <f t="shared" si="22"/>
        <v>-91.47</v>
      </c>
      <c r="Y36" s="2"/>
      <c r="Z36" s="7">
        <f t="shared" si="23"/>
        <v>-1.189002989730924</v>
      </c>
    </row>
    <row r="37" spans="1:26" s="26" customFormat="1" outlineLevel="1" collapsed="1" x14ac:dyDescent="0.25">
      <c r="A37" s="27"/>
      <c r="B37" s="13" t="str">
        <f>CONCATENATE("     ","Telephone/Data Lines                              ")</f>
        <v xml:space="preserve">     Telephone/Data Lines                              </v>
      </c>
      <c r="C37" s="13"/>
      <c r="D37" s="1">
        <f>SUM(OSRRefD22_5x_0)</f>
        <v>-114</v>
      </c>
      <c r="E37" s="1"/>
      <c r="F37" s="5">
        <f t="shared" si="16"/>
        <v>0</v>
      </c>
      <c r="G37" s="1"/>
      <c r="H37" s="1">
        <f>SUM(OSRRefH22_5x_0)</f>
        <v>268.89999999999998</v>
      </c>
      <c r="I37" s="1"/>
      <c r="J37" s="5">
        <f t="shared" si="17"/>
        <v>0</v>
      </c>
      <c r="K37" s="1"/>
      <c r="L37" s="1">
        <f t="shared" si="18"/>
        <v>-382.9</v>
      </c>
      <c r="M37" s="1"/>
      <c r="N37" s="5">
        <f t="shared" si="19"/>
        <v>-1.4239494235775381</v>
      </c>
      <c r="O37" s="13"/>
      <c r="P37" s="1">
        <f>SUM(OSRRefP22_5x_0)</f>
        <v>591</v>
      </c>
      <c r="Q37" s="1"/>
      <c r="R37" s="5">
        <f t="shared" si="20"/>
        <v>0</v>
      </c>
      <c r="S37" s="1"/>
      <c r="T37" s="1">
        <f>SUM(OSRRefT22_5x_0)</f>
        <v>1005.7</v>
      </c>
      <c r="U37" s="1"/>
      <c r="V37" s="5">
        <f t="shared" si="21"/>
        <v>0</v>
      </c>
      <c r="W37" s="1"/>
      <c r="X37" s="1">
        <f t="shared" si="22"/>
        <v>-414.70000000000005</v>
      </c>
      <c r="Y37" s="1"/>
      <c r="Z37" s="5">
        <f t="shared" si="23"/>
        <v>-0.4123496072387392</v>
      </c>
    </row>
    <row r="38" spans="1:26" s="24" customFormat="1" hidden="1" outlineLevel="2" x14ac:dyDescent="0.25">
      <c r="A38" s="25"/>
      <c r="B38" s="11" t="str">
        <f>CONCATENATE("          ", "6309", " - ", "TELEPHONE")</f>
        <v xml:space="preserve">          6309 - TELEPHONE</v>
      </c>
      <c r="C38" s="11"/>
      <c r="D38" s="6">
        <v>-114</v>
      </c>
      <c r="E38" s="2"/>
      <c r="F38" s="7">
        <f t="shared" si="16"/>
        <v>0</v>
      </c>
      <c r="G38" s="2"/>
      <c r="H38" s="6">
        <v>268.89999999999998</v>
      </c>
      <c r="I38" s="2"/>
      <c r="J38" s="7">
        <f t="shared" si="17"/>
        <v>0</v>
      </c>
      <c r="K38" s="2"/>
      <c r="L38" s="6">
        <f t="shared" si="18"/>
        <v>-382.9</v>
      </c>
      <c r="M38" s="2"/>
      <c r="N38" s="7">
        <f t="shared" si="19"/>
        <v>-1.4239494235775381</v>
      </c>
      <c r="O38" s="11"/>
      <c r="P38" s="6">
        <v>591</v>
      </c>
      <c r="Q38" s="2"/>
      <c r="R38" s="7">
        <f t="shared" si="20"/>
        <v>0</v>
      </c>
      <c r="S38" s="2"/>
      <c r="T38" s="6">
        <v>1005.7</v>
      </c>
      <c r="U38" s="2"/>
      <c r="V38" s="7">
        <f t="shared" si="21"/>
        <v>0</v>
      </c>
      <c r="W38" s="2"/>
      <c r="X38" s="6">
        <f t="shared" si="22"/>
        <v>-414.70000000000005</v>
      </c>
      <c r="Y38" s="2"/>
      <c r="Z38" s="7">
        <f t="shared" si="23"/>
        <v>-0.4123496072387392</v>
      </c>
    </row>
    <row r="39" spans="1:26" s="61" customFormat="1" x14ac:dyDescent="0.25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9" t="s">
        <v>0</v>
      </c>
      <c r="C40" s="10"/>
      <c r="D40" s="4">
        <f>SUM(OSRRefD25x_0)</f>
        <v>0</v>
      </c>
      <c r="E40" s="4"/>
      <c r="F40" s="12">
        <f t="shared" ref="F40:F41" si="24">IF(D$12=0,0,D40/D$12)</f>
        <v>0</v>
      </c>
      <c r="G40" s="4"/>
      <c r="H40" s="4">
        <f>SUM(OSRRefH25x_0)</f>
        <v>35768.22</v>
      </c>
      <c r="I40" s="4"/>
      <c r="J40" s="12">
        <f t="shared" ref="J40:J41" si="25">IF(H$12=0,0,H40/H$12)</f>
        <v>0</v>
      </c>
      <c r="K40" s="4"/>
      <c r="L40" s="4">
        <f t="shared" ref="L40:L41" si="26">+D40-H40</f>
        <v>-35768.22</v>
      </c>
      <c r="M40" s="4"/>
      <c r="N40" s="12">
        <f t="shared" ref="N40:N41" si="27">IF(H40=0,0,L40/H40)</f>
        <v>-1</v>
      </c>
      <c r="O40" s="10"/>
      <c r="P40" s="4">
        <f>SUM(OSRRefP25x_0)</f>
        <v>0</v>
      </c>
      <c r="Q40" s="4"/>
      <c r="R40" s="12">
        <f t="shared" ref="R40:R41" si="28">IF(P$12=0,0,P40/P$12)</f>
        <v>0</v>
      </c>
      <c r="S40" s="4"/>
      <c r="T40" s="4">
        <f>SUM(OSRRefT25x_0)</f>
        <v>114395.62</v>
      </c>
      <c r="U40" s="4"/>
      <c r="V40" s="12">
        <f t="shared" ref="V40:V41" si="29">IF(T$12=0,0,T40/T$12)</f>
        <v>0</v>
      </c>
      <c r="W40" s="4"/>
      <c r="X40" s="4">
        <f t="shared" ref="X40:X41" si="30">+P40-T40</f>
        <v>-114395.62</v>
      </c>
      <c r="Y40" s="4"/>
      <c r="Z40" s="12">
        <f t="shared" ref="Z40:Z41" si="31">IF(T40=0,0,X40/T40)</f>
        <v>-1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>0</f>
        <v>0</v>
      </c>
      <c r="E41" s="2"/>
      <c r="F41" s="19">
        <f t="shared" si="24"/>
        <v>0</v>
      </c>
      <c r="G41" s="2"/>
      <c r="H41" s="2">
        <f>--35768.22</f>
        <v>35768.22</v>
      </c>
      <c r="I41" s="2"/>
      <c r="J41" s="19">
        <f t="shared" si="25"/>
        <v>0</v>
      </c>
      <c r="K41" s="2"/>
      <c r="L41" s="2">
        <f t="shared" si="26"/>
        <v>-35768.22</v>
      </c>
      <c r="M41" s="2"/>
      <c r="N41" s="19">
        <f t="shared" si="27"/>
        <v>-1</v>
      </c>
      <c r="O41" s="11"/>
      <c r="P41" s="2">
        <f>0</f>
        <v>0</v>
      </c>
      <c r="Q41" s="2"/>
      <c r="R41" s="19">
        <f t="shared" si="28"/>
        <v>0</v>
      </c>
      <c r="S41" s="2"/>
      <c r="T41" s="2">
        <f>--114395.62</f>
        <v>114395.62</v>
      </c>
      <c r="U41" s="2"/>
      <c r="V41" s="19">
        <f t="shared" si="29"/>
        <v>0</v>
      </c>
      <c r="W41" s="2"/>
      <c r="X41" s="2">
        <f t="shared" si="30"/>
        <v>-114395.62</v>
      </c>
      <c r="Y41" s="2"/>
      <c r="Z41" s="19">
        <f t="shared" si="31"/>
        <v>-1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8" t="s">
        <v>3</v>
      </c>
      <c r="C43" s="28"/>
      <c r="D43" s="20">
        <f>+D17-D19+D40</f>
        <v>77.740000000000009</v>
      </c>
      <c r="E43" s="14"/>
      <c r="F43" s="22">
        <f>IF(D$12=0,0,D43/D$12)</f>
        <v>0</v>
      </c>
      <c r="G43" s="14"/>
      <c r="H43" s="20">
        <f>+H17-H19+H40</f>
        <v>26884.100000000002</v>
      </c>
      <c r="I43" s="14"/>
      <c r="J43" s="22">
        <f>IF(H$12=0,0,H43/H$12)</f>
        <v>0</v>
      </c>
      <c r="K43" s="15"/>
      <c r="L43" s="20">
        <f>+D43-H43</f>
        <v>-26806.36</v>
      </c>
      <c r="M43" s="15"/>
      <c r="N43" s="22">
        <f>IF(H43=0,0,L43/H43)</f>
        <v>-0.99710832797080795</v>
      </c>
      <c r="O43" s="29"/>
      <c r="P43" s="20">
        <f>+P17-P19+P40</f>
        <v>-3055.19</v>
      </c>
      <c r="Q43" s="14"/>
      <c r="R43" s="22">
        <f>IF(P$12=0,0,P43/P$12)</f>
        <v>0</v>
      </c>
      <c r="S43" s="14"/>
      <c r="T43" s="20">
        <f>+T17-T19+T40</f>
        <v>37341.580000000016</v>
      </c>
      <c r="U43" s="14"/>
      <c r="V43" s="22">
        <f>IF(T$12=0,0,T43/T$12)</f>
        <v>0</v>
      </c>
      <c r="W43" s="15"/>
      <c r="X43" s="20">
        <f>+P43-T43</f>
        <v>-40396.770000000019</v>
      </c>
      <c r="Y43" s="15"/>
      <c r="Z43" s="22">
        <f>IF(T43=0,0,X43/T43)</f>
        <v>-1.0818173735551628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1"/>
      <c r="B45" s="10" t="s">
        <v>13</v>
      </c>
      <c r="C45" s="10"/>
      <c r="D45" s="4"/>
      <c r="E45" s="4"/>
      <c r="F45" s="12">
        <f>IF(D$12=0,0,D45/D$12)</f>
        <v>0</v>
      </c>
      <c r="G45" s="4"/>
      <c r="H45" s="4"/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/>
      <c r="Q45" s="4"/>
      <c r="R45" s="12">
        <f>IF(P$12=0,0,P45/P$12)</f>
        <v>0</v>
      </c>
      <c r="S45" s="4"/>
      <c r="T45" s="4"/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8" t="s">
        <v>4</v>
      </c>
      <c r="C47" s="28"/>
      <c r="D47" s="30">
        <f>+D43-D45</f>
        <v>77.740000000000009</v>
      </c>
      <c r="E47" s="14"/>
      <c r="F47" s="36">
        <f>IF(D$12=0,0,D47/D$12)</f>
        <v>0</v>
      </c>
      <c r="G47" s="14"/>
      <c r="H47" s="30">
        <f>+H43-H45</f>
        <v>26884.100000000002</v>
      </c>
      <c r="I47" s="14"/>
      <c r="J47" s="36">
        <f>IF(H$12=0,0,H47/H$12)</f>
        <v>0</v>
      </c>
      <c r="K47" s="15"/>
      <c r="L47" s="30">
        <f>D47-H47</f>
        <v>-26806.36</v>
      </c>
      <c r="M47" s="15"/>
      <c r="N47" s="36">
        <f>IF(H47=0,0,L47/H47)</f>
        <v>-0.99710832797080795</v>
      </c>
      <c r="O47" s="29"/>
      <c r="P47" s="30">
        <f>+P43-P45</f>
        <v>-3055.19</v>
      </c>
      <c r="Q47" s="14"/>
      <c r="R47" s="36">
        <f>IF(P$12=0,0,P47/P$12)</f>
        <v>0</v>
      </c>
      <c r="S47" s="14"/>
      <c r="T47" s="30">
        <f>+T43-T45</f>
        <v>37341.580000000016</v>
      </c>
      <c r="U47" s="14"/>
      <c r="V47" s="36">
        <f>IF(T$12=0,0,T47/T$12)</f>
        <v>0</v>
      </c>
      <c r="W47" s="15"/>
      <c r="X47" s="30">
        <f>P47-T47</f>
        <v>-40396.770000000019</v>
      </c>
      <c r="Y47" s="15"/>
      <c r="Z47" s="36">
        <f>IF(T47=0,0,X47/T47)</f>
        <v>-1.0818173735551628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8" t="s">
        <v>5</v>
      </c>
      <c r="C50" s="28"/>
      <c r="D50" s="32">
        <f>SUM(D47:D49)</f>
        <v>77.740000000000009</v>
      </c>
      <c r="E50" s="14"/>
      <c r="F50" s="31">
        <f>IF(D$12=0,0,D50/D$12)</f>
        <v>0</v>
      </c>
      <c r="G50" s="14"/>
      <c r="H50" s="32">
        <f>SUM(H47:H49)</f>
        <v>26884.100000000002</v>
      </c>
      <c r="I50" s="14"/>
      <c r="J50" s="31">
        <f>IF(H$12=0,0,H50/H$12)</f>
        <v>0</v>
      </c>
      <c r="K50" s="15"/>
      <c r="L50" s="32">
        <f>+D50-H50</f>
        <v>-26806.36</v>
      </c>
      <c r="M50" s="15"/>
      <c r="N50" s="31">
        <f>IF(H50=0,0,L50/H50)</f>
        <v>-0.99710832797080795</v>
      </c>
      <c r="O50" s="29"/>
      <c r="P50" s="32">
        <f>SUM(P47:P49)</f>
        <v>-3055.19</v>
      </c>
      <c r="Q50" s="14"/>
      <c r="R50" s="31">
        <f>IF(P$12=0,0,P50/P$12)</f>
        <v>0</v>
      </c>
      <c r="S50" s="14"/>
      <c r="T50" s="32">
        <f>SUM(T47:T49)</f>
        <v>37341.580000000016</v>
      </c>
      <c r="U50" s="14"/>
      <c r="V50" s="31">
        <f>IF(T$12=0,0,T50/T$12)</f>
        <v>0</v>
      </c>
      <c r="W50" s="15"/>
      <c r="X50" s="32">
        <f>+P50-T50</f>
        <v>-40396.770000000019</v>
      </c>
      <c r="Y50" s="15"/>
      <c r="Z50" s="31">
        <f>IF(T50=0,0,X50/T50)</f>
        <v>-1.0818173735551628</v>
      </c>
    </row>
    <row r="51" spans="1:26" ht="15.75" thickTop="1" x14ac:dyDescent="0.25">
      <c r="A51" s="9"/>
      <c r="C51" s="9"/>
      <c r="D51" s="18"/>
      <c r="E51" s="18"/>
      <c r="G51" s="18"/>
      <c r="H51" s="18"/>
      <c r="I51" s="18"/>
      <c r="J51" s="42"/>
      <c r="K51" s="18"/>
      <c r="L51" s="18"/>
      <c r="M51" s="18"/>
      <c r="P51" s="18"/>
      <c r="Q51" s="18"/>
      <c r="R51" s="42"/>
      <c r="S51" s="18"/>
      <c r="T51" s="18"/>
      <c r="U51" s="18"/>
      <c r="V51" s="42"/>
      <c r="W51" s="18"/>
      <c r="X51" s="18"/>
    </row>
    <row r="52" spans="1:26" x14ac:dyDescent="0.25">
      <c r="A52" s="9"/>
      <c r="B52" s="62">
        <v>44238.496540358799</v>
      </c>
      <c r="D52" s="18"/>
      <c r="E52" s="18"/>
      <c r="G52" s="18"/>
      <c r="H52" s="18"/>
      <c r="I52" s="18"/>
      <c r="J52" s="42"/>
      <c r="K52" s="18"/>
      <c r="L52" s="18"/>
      <c r="M52" s="18"/>
      <c r="P52" s="18"/>
      <c r="Q52" s="18"/>
      <c r="R52" s="42"/>
      <c r="S52" s="18"/>
      <c r="T52" s="18"/>
      <c r="U52" s="18"/>
      <c r="V52" s="42"/>
      <c r="W52" s="18"/>
      <c r="X52" s="18"/>
    </row>
    <row r="53" spans="1:26" x14ac:dyDescent="0.25">
      <c r="A53" s="9"/>
      <c r="B53" s="59" t="s">
        <v>313</v>
      </c>
      <c r="D53" s="18"/>
      <c r="E53" s="18"/>
      <c r="G53" s="18"/>
      <c r="H53" s="18"/>
      <c r="I53" s="18"/>
      <c r="J53" s="42"/>
      <c r="K53" s="18"/>
      <c r="L53" s="18"/>
      <c r="M53" s="18"/>
      <c r="P53" s="18"/>
      <c r="Q53" s="18"/>
      <c r="R53" s="42"/>
      <c r="S53" s="18"/>
      <c r="T53" s="18"/>
      <c r="U53" s="18"/>
      <c r="V53" s="42"/>
      <c r="W53" s="18"/>
      <c r="X53" s="18"/>
    </row>
    <row r="54" spans="1:26" x14ac:dyDescent="0.25">
      <c r="A54" s="9"/>
      <c r="B54" s="56"/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","424", " - ", "Blair Field")</f>
        <v>Department 424 - Blair Field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19851.87</v>
      </c>
      <c r="U12" s="4"/>
      <c r="V12" s="12"/>
      <c r="W12" s="4"/>
      <c r="X12" s="4">
        <f t="shared" ref="X12:X13" si="2">+P12-T12</f>
        <v>-19851.87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--19851.87</f>
        <v>19851.87</v>
      </c>
      <c r="U13" s="2"/>
      <c r="V13" s="19"/>
      <c r="W13" s="2"/>
      <c r="X13" s="2">
        <f t="shared" si="2"/>
        <v>-19851.87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0.15999999999985448</v>
      </c>
      <c r="I15" s="4"/>
      <c r="J15" s="12">
        <f t="shared" ref="J15:J17" si="5">IF(H$12=0,0,H15/H$12)</f>
        <v>0</v>
      </c>
      <c r="K15" s="4"/>
      <c r="L15" s="4">
        <f t="shared" ref="L15:L17" si="6">+D15-H15</f>
        <v>-0.15999999999985448</v>
      </c>
      <c r="M15" s="4"/>
      <c r="N15" s="12">
        <f t="shared" ref="N15:N17" si="7">IF(H15=0,0,L15/H15)</f>
        <v>-1</v>
      </c>
      <c r="O15" s="10"/>
      <c r="P15" s="4">
        <f>SUM(OSRRefP16x_0)</f>
        <v>0</v>
      </c>
      <c r="Q15" s="4"/>
      <c r="R15" s="12">
        <f t="shared" ref="R15:R17" si="8">IF(P$12=0,0,P15/P$12)</f>
        <v>0</v>
      </c>
      <c r="S15" s="4"/>
      <c r="T15" s="4">
        <f>SUM(OSRRefT16x_0)</f>
        <v>9644.9500000000007</v>
      </c>
      <c r="U15" s="4"/>
      <c r="V15" s="12">
        <f t="shared" ref="V15:V17" si="9">IF(T$12=0,0,T15/T$12)</f>
        <v>0.48584591779011255</v>
      </c>
      <c r="W15" s="4"/>
      <c r="X15" s="4">
        <f t="shared" ref="X15:X17" si="10">+P15-T15</f>
        <v>-9644.9500000000007</v>
      </c>
      <c r="Y15" s="4"/>
      <c r="Z15" s="12">
        <f t="shared" ref="Z15:Z17" si="11">IF(T15=0,0,X15/T15)</f>
        <v>-1</v>
      </c>
    </row>
    <row r="16" spans="1:26" s="24" customFormat="1" hidden="1" outlineLevel="1" x14ac:dyDescent="0.25">
      <c r="A16" s="44"/>
      <c r="B16" s="11" t="str">
        <f>CONCATENATE("          ", "5053", " - ", "PURCHASES @ COST-FOOD")</f>
        <v xml:space="preserve">          5053 - PURCHASES @ COST-FOOD</v>
      </c>
      <c r="C16" s="11"/>
      <c r="D16" s="2"/>
      <c r="E16" s="2"/>
      <c r="F16" s="19">
        <f t="shared" si="4"/>
        <v>0</v>
      </c>
      <c r="G16" s="2"/>
      <c r="H16" s="2">
        <v>10840.16</v>
      </c>
      <c r="I16" s="2"/>
      <c r="J16" s="19">
        <f t="shared" si="5"/>
        <v>0</v>
      </c>
      <c r="K16" s="2"/>
      <c r="L16" s="2">
        <f t="shared" si="6"/>
        <v>-10840.16</v>
      </c>
      <c r="M16" s="2"/>
      <c r="N16" s="19">
        <f t="shared" si="7"/>
        <v>-1</v>
      </c>
      <c r="O16" s="11"/>
      <c r="P16" s="2"/>
      <c r="Q16" s="2"/>
      <c r="R16" s="19">
        <f t="shared" si="8"/>
        <v>0</v>
      </c>
      <c r="S16" s="2"/>
      <c r="T16" s="2">
        <v>17207.95</v>
      </c>
      <c r="U16" s="2"/>
      <c r="V16" s="19">
        <f t="shared" si="9"/>
        <v>0.86681758443914858</v>
      </c>
      <c r="W16" s="2"/>
      <c r="X16" s="2">
        <f t="shared" si="10"/>
        <v>-17207.95</v>
      </c>
      <c r="Y16" s="2"/>
      <c r="Z16" s="19">
        <f t="shared" si="11"/>
        <v>-1</v>
      </c>
    </row>
    <row r="17" spans="1:26" s="24" customFormat="1" hidden="1" outlineLevel="1" x14ac:dyDescent="0.25">
      <c r="A17" s="44"/>
      <c r="B17" s="11" t="str">
        <f>CONCATENATE("          ", "5059", " - ", "PURCHASES @ COST-FOOD")</f>
        <v xml:space="preserve">          5059 - PURCHASES @ COST-FOOD</v>
      </c>
      <c r="C17" s="11"/>
      <c r="D17" s="2"/>
      <c r="E17" s="2"/>
      <c r="F17" s="19">
        <f t="shared" si="4"/>
        <v>0</v>
      </c>
      <c r="G17" s="2"/>
      <c r="H17" s="2">
        <v>-10840</v>
      </c>
      <c r="I17" s="2"/>
      <c r="J17" s="19">
        <f t="shared" si="5"/>
        <v>0</v>
      </c>
      <c r="K17" s="2"/>
      <c r="L17" s="2">
        <f t="shared" si="6"/>
        <v>10840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-7563</v>
      </c>
      <c r="U17" s="2"/>
      <c r="V17" s="19">
        <f t="shared" si="9"/>
        <v>-0.38097166664903609</v>
      </c>
      <c r="W17" s="2"/>
      <c r="X17" s="2">
        <f t="shared" si="10"/>
        <v>7563</v>
      </c>
      <c r="Y17" s="2"/>
      <c r="Z17" s="19">
        <f t="shared" si="11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6</v>
      </c>
      <c r="C19" s="28"/>
      <c r="D19" s="20">
        <f>D12-D15</f>
        <v>0</v>
      </c>
      <c r="E19" s="14"/>
      <c r="F19" s="22">
        <f>IF(D$12=0,0,D19/D$12)</f>
        <v>0</v>
      </c>
      <c r="G19" s="14"/>
      <c r="H19" s="20">
        <f>H12-H15</f>
        <v>-0.15999999999985448</v>
      </c>
      <c r="I19" s="14"/>
      <c r="J19" s="22">
        <f>IF(H$12=0,0,H19/H$12)</f>
        <v>0</v>
      </c>
      <c r="K19" s="15"/>
      <c r="L19" s="20">
        <f>+D19-H19</f>
        <v>0.15999999999985448</v>
      </c>
      <c r="M19" s="15"/>
      <c r="N19" s="22">
        <f>IF(H19=0,0,L19/H19)</f>
        <v>-1</v>
      </c>
      <c r="O19" s="29"/>
      <c r="P19" s="20">
        <f>P12-P15</f>
        <v>0</v>
      </c>
      <c r="Q19" s="14"/>
      <c r="R19" s="22">
        <f>IF(P$12=0,0,P19/P$12)</f>
        <v>0</v>
      </c>
      <c r="S19" s="14"/>
      <c r="T19" s="20">
        <f>T12-T15</f>
        <v>10206.919999999998</v>
      </c>
      <c r="U19" s="14"/>
      <c r="V19" s="22">
        <f>IF(T$12=0,0,T19/T$12)</f>
        <v>0.51415408220988745</v>
      </c>
      <c r="W19" s="15"/>
      <c r="X19" s="20">
        <f>+P19-T19</f>
        <v>-10206.919999999998</v>
      </c>
      <c r="Y19" s="15"/>
      <c r="Z19" s="22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9</v>
      </c>
      <c r="C21" s="10"/>
      <c r="D21" s="21">
        <f>SUM(OSRRefD22x_0)</f>
        <v>479.29</v>
      </c>
      <c r="E21" s="21"/>
      <c r="F21" s="35">
        <f t="shared" ref="F21:F24" si="12">IF(D$12=0,0,D21/D$12)</f>
        <v>0</v>
      </c>
      <c r="G21" s="21"/>
      <c r="H21" s="21">
        <f>SUM(OSRRefH22x_0)</f>
        <v>2030.8000000000002</v>
      </c>
      <c r="I21" s="21"/>
      <c r="J21" s="35">
        <f t="shared" ref="J21:J24" si="13">IF(H$12=0,0,H21/H$12)</f>
        <v>0</v>
      </c>
      <c r="K21" s="4"/>
      <c r="L21" s="21">
        <f t="shared" ref="L21:L24" si="14">+D21-H21</f>
        <v>-1551.5100000000002</v>
      </c>
      <c r="M21" s="4"/>
      <c r="N21" s="35">
        <f t="shared" ref="N21:N24" si="15">IF(H21=0,0,L21/H21)</f>
        <v>-0.76398956076423086</v>
      </c>
      <c r="O21" s="10"/>
      <c r="P21" s="21">
        <f>SUM(OSRRefP22x_0)</f>
        <v>4259.88</v>
      </c>
      <c r="Q21" s="21"/>
      <c r="R21" s="35">
        <f t="shared" ref="R21:R24" si="16">IF(P$12=0,0,P21/P$12)</f>
        <v>0</v>
      </c>
      <c r="S21" s="21"/>
      <c r="T21" s="21">
        <f>SUM(OSRRefT22x_0)</f>
        <v>22671.649999999998</v>
      </c>
      <c r="U21" s="21"/>
      <c r="V21" s="35">
        <f t="shared" ref="V21:V24" si="17">IF(T$12=0,0,T21/T$12)</f>
        <v>1.142041026865479</v>
      </c>
      <c r="W21" s="4"/>
      <c r="X21" s="21">
        <f t="shared" ref="X21:X24" si="18">+P21-T21</f>
        <v>-18411.769999999997</v>
      </c>
      <c r="Y21" s="4"/>
      <c r="Z21" s="35">
        <f t="shared" ref="Z21:Z24" si="19">IF(T21=0,0,X21/T21)</f>
        <v>-0.81210542682160314</v>
      </c>
    </row>
    <row r="22" spans="1:26" s="26" customFormat="1" outlineLevel="1" collapsed="1" x14ac:dyDescent="0.25">
      <c r="A22" s="27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25.15</v>
      </c>
      <c r="I22" s="1"/>
      <c r="J22" s="5">
        <f t="shared" si="13"/>
        <v>0</v>
      </c>
      <c r="K22" s="1"/>
      <c r="L22" s="1">
        <f t="shared" si="14"/>
        <v>-25.15</v>
      </c>
      <c r="M22" s="1"/>
      <c r="N22" s="5">
        <f t="shared" si="15"/>
        <v>-1</v>
      </c>
      <c r="O22" s="13"/>
      <c r="P22" s="1">
        <f>SUM(OSRRefP22_0x_0)</f>
        <v>0</v>
      </c>
      <c r="Q22" s="1"/>
      <c r="R22" s="5">
        <f t="shared" si="16"/>
        <v>0</v>
      </c>
      <c r="S22" s="1"/>
      <c r="T22" s="1">
        <f>SUM(OSRRefT22_0x_0)</f>
        <v>381.07000000000005</v>
      </c>
      <c r="U22" s="1"/>
      <c r="V22" s="5">
        <f t="shared" si="17"/>
        <v>1.9195672750224543E-2</v>
      </c>
      <c r="W22" s="1"/>
      <c r="X22" s="1">
        <f t="shared" si="18"/>
        <v>-381.07000000000005</v>
      </c>
      <c r="Y22" s="1"/>
      <c r="Z22" s="5">
        <f t="shared" si="19"/>
        <v>-1</v>
      </c>
    </row>
    <row r="23" spans="1:26" s="24" customFormat="1" hidden="1" outlineLevel="2" x14ac:dyDescent="0.25">
      <c r="A23" s="25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2"/>
        <v>0</v>
      </c>
      <c r="G23" s="2"/>
      <c r="H23" s="6">
        <v>25.15</v>
      </c>
      <c r="I23" s="2"/>
      <c r="J23" s="7">
        <f t="shared" si="13"/>
        <v>0</v>
      </c>
      <c r="K23" s="2"/>
      <c r="L23" s="6">
        <f t="shared" si="14"/>
        <v>-25.15</v>
      </c>
      <c r="M23" s="2"/>
      <c r="N23" s="7">
        <f t="shared" si="15"/>
        <v>-1</v>
      </c>
      <c r="O23" s="11"/>
      <c r="P23" s="6"/>
      <c r="Q23" s="2"/>
      <c r="R23" s="7">
        <f t="shared" si="16"/>
        <v>0</v>
      </c>
      <c r="S23" s="2"/>
      <c r="T23" s="6">
        <v>391.47</v>
      </c>
      <c r="U23" s="2"/>
      <c r="V23" s="7">
        <f t="shared" si="17"/>
        <v>1.971955286831921E-2</v>
      </c>
      <c r="W23" s="2"/>
      <c r="X23" s="6">
        <f t="shared" si="18"/>
        <v>-391.47</v>
      </c>
      <c r="Y23" s="2"/>
      <c r="Z23" s="7">
        <f t="shared" si="19"/>
        <v>-1</v>
      </c>
    </row>
    <row r="24" spans="1:26" s="24" customFormat="1" hidden="1" outlineLevel="2" x14ac:dyDescent="0.25">
      <c r="A24" s="25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2"/>
        <v>0</v>
      </c>
      <c r="G24" s="2"/>
      <c r="H24" s="6"/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-10.4</v>
      </c>
      <c r="U24" s="2"/>
      <c r="V24" s="7">
        <f t="shared" si="17"/>
        <v>-5.2388011809466816E-4</v>
      </c>
      <c r="W24" s="2"/>
      <c r="X24" s="6">
        <f t="shared" si="18"/>
        <v>10.4</v>
      </c>
      <c r="Y24" s="2"/>
      <c r="Z24" s="7">
        <f t="shared" si="19"/>
        <v>-1</v>
      </c>
    </row>
    <row r="25" spans="1:26" s="26" customFormat="1" outlineLevel="1" collapsed="1" x14ac:dyDescent="0.25">
      <c r="A25" s="27"/>
      <c r="B25" s="13" t="str">
        <f>CONCATENATE("     ","*Payroll                                          ")</f>
        <v xml:space="preserve">     *Payroll                                          </v>
      </c>
      <c r="C25" s="13"/>
      <c r="D25" s="1">
        <f>SUM(OSRRefD22_1x_0)</f>
        <v>0</v>
      </c>
      <c r="E25" s="1"/>
      <c r="F25" s="5">
        <f t="shared" ref="F25:F30" si="20">IF(D$12=0,0,D25/D$12)</f>
        <v>0</v>
      </c>
      <c r="G25" s="1"/>
      <c r="H25" s="1">
        <f>SUM(OSRRefH22_1x_0)</f>
        <v>486.57000000000005</v>
      </c>
      <c r="I25" s="1"/>
      <c r="J25" s="5">
        <f t="shared" ref="J25:J30" si="21">IF(H$12=0,0,H25/H$12)</f>
        <v>0</v>
      </c>
      <c r="K25" s="1"/>
      <c r="L25" s="1">
        <f t="shared" ref="L25:L30" si="22">+D25-H25</f>
        <v>-486.57000000000005</v>
      </c>
      <c r="M25" s="1"/>
      <c r="N25" s="5">
        <f t="shared" ref="N25:N30" si="23">IF(H25=0,0,L25/H25)</f>
        <v>-1</v>
      </c>
      <c r="O25" s="13"/>
      <c r="P25" s="1">
        <f>SUM(OSRRefP22_1x_0)</f>
        <v>0</v>
      </c>
      <c r="Q25" s="1"/>
      <c r="R25" s="5">
        <f t="shared" ref="R25:R30" si="24">IF(P$12=0,0,P25/P$12)</f>
        <v>0</v>
      </c>
      <c r="S25" s="1"/>
      <c r="T25" s="1">
        <f>SUM(OSRRefT22_1x_0)</f>
        <v>6073.66</v>
      </c>
      <c r="U25" s="1"/>
      <c r="V25" s="5">
        <f t="shared" ref="V25:V30" si="25">IF(T$12=0,0,T25/T$12)</f>
        <v>0.3059490113525829</v>
      </c>
      <c r="W25" s="1"/>
      <c r="X25" s="1">
        <f t="shared" ref="X25:X30" si="26">+P25-T25</f>
        <v>-6073.66</v>
      </c>
      <c r="Y25" s="1"/>
      <c r="Z25" s="5">
        <f t="shared" ref="Z25:Z30" si="27">IF(T25=0,0,X25/T25)</f>
        <v>-1</v>
      </c>
    </row>
    <row r="26" spans="1:26" s="24" customFormat="1" hidden="1" outlineLevel="2" x14ac:dyDescent="0.25">
      <c r="A26" s="25"/>
      <c r="B26" s="11" t="str">
        <f>CONCATENATE("          ", "6004", " - ", "STAFF HOURLY")</f>
        <v xml:space="preserve">          6004 - STAFF HOURLY</v>
      </c>
      <c r="C26" s="11"/>
      <c r="D26" s="6"/>
      <c r="E26" s="2"/>
      <c r="F26" s="7">
        <f t="shared" si="20"/>
        <v>0</v>
      </c>
      <c r="G26" s="2"/>
      <c r="H26" s="6">
        <v>152.38</v>
      </c>
      <c r="I26" s="2"/>
      <c r="J26" s="7">
        <f t="shared" si="21"/>
        <v>0</v>
      </c>
      <c r="K26" s="2"/>
      <c r="L26" s="6">
        <f t="shared" si="22"/>
        <v>-152.38</v>
      </c>
      <c r="M26" s="2"/>
      <c r="N26" s="7">
        <f t="shared" si="23"/>
        <v>-1</v>
      </c>
      <c r="O26" s="11"/>
      <c r="P26" s="6"/>
      <c r="Q26" s="2"/>
      <c r="R26" s="7">
        <f t="shared" si="24"/>
        <v>0</v>
      </c>
      <c r="S26" s="2"/>
      <c r="T26" s="6">
        <v>212.94</v>
      </c>
      <c r="U26" s="2"/>
      <c r="V26" s="7">
        <f t="shared" si="25"/>
        <v>1.0726445417988331E-2</v>
      </c>
      <c r="W26" s="2"/>
      <c r="X26" s="6">
        <f t="shared" si="26"/>
        <v>-212.94</v>
      </c>
      <c r="Y26" s="2"/>
      <c r="Z26" s="7">
        <f t="shared" si="27"/>
        <v>-1</v>
      </c>
    </row>
    <row r="27" spans="1:26" s="24" customFormat="1" hidden="1" outlineLevel="2" x14ac:dyDescent="0.25">
      <c r="A27" s="25"/>
      <c r="B27" s="11" t="str">
        <f>CONCATENATE("          ", "6005", " - ", "TEMPORARY WAGES-HOURLY")</f>
        <v xml:space="preserve">          6005 - TEMPORARY WAGES-HOURLY</v>
      </c>
      <c r="C27" s="11"/>
      <c r="D27" s="6"/>
      <c r="E27" s="2"/>
      <c r="F27" s="7">
        <f t="shared" si="20"/>
        <v>0</v>
      </c>
      <c r="G27" s="2"/>
      <c r="H27" s="6">
        <v>176.47</v>
      </c>
      <c r="I27" s="2"/>
      <c r="J27" s="7">
        <f t="shared" si="21"/>
        <v>0</v>
      </c>
      <c r="K27" s="2"/>
      <c r="L27" s="6">
        <f t="shared" si="22"/>
        <v>-176.47</v>
      </c>
      <c r="M27" s="2"/>
      <c r="N27" s="7">
        <f t="shared" si="23"/>
        <v>-1</v>
      </c>
      <c r="O27" s="11"/>
      <c r="P27" s="6"/>
      <c r="Q27" s="2"/>
      <c r="R27" s="7">
        <f t="shared" si="24"/>
        <v>0</v>
      </c>
      <c r="S27" s="2"/>
      <c r="T27" s="6">
        <v>2665.81</v>
      </c>
      <c r="U27" s="2"/>
      <c r="V27" s="7">
        <f t="shared" si="25"/>
        <v>0.13428508246326418</v>
      </c>
      <c r="W27" s="2"/>
      <c r="X27" s="6">
        <f t="shared" si="26"/>
        <v>-2665.81</v>
      </c>
      <c r="Y27" s="2"/>
      <c r="Z27" s="7">
        <f t="shared" si="27"/>
        <v>-1</v>
      </c>
    </row>
    <row r="28" spans="1:26" s="24" customFormat="1" hidden="1" outlineLevel="2" x14ac:dyDescent="0.25">
      <c r="A28" s="25"/>
      <c r="B28" s="11" t="str">
        <f>CONCATENATE("          ", "6006", " - ", "TEMPORARY PART TIME")</f>
        <v xml:space="preserve">          6006 - TEMPORARY PART TIME</v>
      </c>
      <c r="C28" s="11"/>
      <c r="D28" s="6"/>
      <c r="E28" s="2"/>
      <c r="F28" s="7">
        <f t="shared" si="20"/>
        <v>0</v>
      </c>
      <c r="G28" s="2"/>
      <c r="H28" s="6"/>
      <c r="I28" s="2"/>
      <c r="J28" s="7">
        <f t="shared" si="21"/>
        <v>0</v>
      </c>
      <c r="K28" s="2"/>
      <c r="L28" s="6">
        <f t="shared" si="22"/>
        <v>0</v>
      </c>
      <c r="M28" s="2"/>
      <c r="N28" s="7">
        <f t="shared" si="23"/>
        <v>0</v>
      </c>
      <c r="O28" s="11"/>
      <c r="P28" s="6"/>
      <c r="Q28" s="2"/>
      <c r="R28" s="7">
        <f t="shared" si="24"/>
        <v>0</v>
      </c>
      <c r="S28" s="2"/>
      <c r="T28" s="6">
        <v>247.5</v>
      </c>
      <c r="U28" s="2"/>
      <c r="V28" s="7">
        <f t="shared" si="25"/>
        <v>1.2467339348887536E-2</v>
      </c>
      <c r="W28" s="2"/>
      <c r="X28" s="6">
        <f t="shared" si="26"/>
        <v>-247.5</v>
      </c>
      <c r="Y28" s="2"/>
      <c r="Z28" s="7">
        <f t="shared" si="27"/>
        <v>-1</v>
      </c>
    </row>
    <row r="29" spans="1:26" s="24" customFormat="1" hidden="1" outlineLevel="2" x14ac:dyDescent="0.25">
      <c r="A29" s="25"/>
      <c r="B29" s="11" t="str">
        <f>CONCATENATE("          ", "6007", " - ", "STUDENT HOURLY")</f>
        <v xml:space="preserve">          6007 - STUDENT HOURLY</v>
      </c>
      <c r="C29" s="11"/>
      <c r="D29" s="6"/>
      <c r="E29" s="2"/>
      <c r="F29" s="7">
        <f t="shared" si="20"/>
        <v>0</v>
      </c>
      <c r="G29" s="2"/>
      <c r="H29" s="6">
        <v>157.72</v>
      </c>
      <c r="I29" s="2"/>
      <c r="J29" s="7">
        <f t="shared" si="21"/>
        <v>0</v>
      </c>
      <c r="K29" s="2"/>
      <c r="L29" s="6">
        <f t="shared" si="22"/>
        <v>-157.72</v>
      </c>
      <c r="M29" s="2"/>
      <c r="N29" s="7">
        <f t="shared" si="23"/>
        <v>-1</v>
      </c>
      <c r="O29" s="11"/>
      <c r="P29" s="6"/>
      <c r="Q29" s="2"/>
      <c r="R29" s="7">
        <f t="shared" si="24"/>
        <v>0</v>
      </c>
      <c r="S29" s="2"/>
      <c r="T29" s="6">
        <v>2314.41</v>
      </c>
      <c r="U29" s="2"/>
      <c r="V29" s="7">
        <f t="shared" si="25"/>
        <v>0.11658397924225779</v>
      </c>
      <c r="W29" s="2"/>
      <c r="X29" s="6">
        <f t="shared" si="26"/>
        <v>-2314.41</v>
      </c>
      <c r="Y29" s="2"/>
      <c r="Z29" s="7">
        <f t="shared" si="27"/>
        <v>-1</v>
      </c>
    </row>
    <row r="30" spans="1:26" s="24" customFormat="1" hidden="1" outlineLevel="2" x14ac:dyDescent="0.25">
      <c r="A30" s="25"/>
      <c r="B30" s="11" t="str">
        <f>CONCATENATE("          ", "6008", " - ", "STUDENT HOURLY-FICA EXEMPT")</f>
        <v xml:space="preserve">          6008 - STUDENT HOURLY-FICA EXEMPT</v>
      </c>
      <c r="C30" s="11"/>
      <c r="D30" s="6"/>
      <c r="E30" s="2"/>
      <c r="F30" s="7">
        <f t="shared" si="20"/>
        <v>0</v>
      </c>
      <c r="G30" s="2"/>
      <c r="H30" s="6"/>
      <c r="I30" s="2"/>
      <c r="J30" s="7">
        <f t="shared" si="21"/>
        <v>0</v>
      </c>
      <c r="K30" s="2"/>
      <c r="L30" s="6">
        <f t="shared" si="22"/>
        <v>0</v>
      </c>
      <c r="M30" s="2"/>
      <c r="N30" s="7">
        <f t="shared" si="23"/>
        <v>0</v>
      </c>
      <c r="O30" s="11"/>
      <c r="P30" s="6"/>
      <c r="Q30" s="2"/>
      <c r="R30" s="7">
        <f t="shared" si="24"/>
        <v>0</v>
      </c>
      <c r="S30" s="2"/>
      <c r="T30" s="6">
        <v>633</v>
      </c>
      <c r="U30" s="2"/>
      <c r="V30" s="7">
        <f t="shared" si="25"/>
        <v>3.1886164880185093E-2</v>
      </c>
      <c r="W30" s="2"/>
      <c r="X30" s="6">
        <f t="shared" si="26"/>
        <v>-633</v>
      </c>
      <c r="Y30" s="2"/>
      <c r="Z30" s="7">
        <f t="shared" si="27"/>
        <v>-1</v>
      </c>
    </row>
    <row r="31" spans="1:26" s="26" customFormat="1" outlineLevel="1" collapsed="1" x14ac:dyDescent="0.25">
      <c r="A31" s="27"/>
      <c r="B31" s="13" t="str">
        <f>CONCATENATE("     ","Advertising/Promo                                 ")</f>
        <v xml:space="preserve">     Advertising/Promo                                 </v>
      </c>
      <c r="C31" s="13"/>
      <c r="D31" s="1">
        <f>SUM(OSRRefD22_2x_0)</f>
        <v>0</v>
      </c>
      <c r="E31" s="1"/>
      <c r="F31" s="5">
        <f t="shared" ref="F31:F45" si="28">IF(D$12=0,0,D31/D$12)</f>
        <v>0</v>
      </c>
      <c r="G31" s="1"/>
      <c r="H31" s="1">
        <f>SUM(OSRRefH22_2x_0)</f>
        <v>477.35</v>
      </c>
      <c r="I31" s="1"/>
      <c r="J31" s="5">
        <f t="shared" ref="J31:J45" si="29">IF(H$12=0,0,H31/H$12)</f>
        <v>0</v>
      </c>
      <c r="K31" s="1"/>
      <c r="L31" s="1">
        <f t="shared" ref="L31:L45" si="30">+D31-H31</f>
        <v>-477.35</v>
      </c>
      <c r="M31" s="1"/>
      <c r="N31" s="5">
        <f t="shared" ref="N31:N45" si="31">IF(H31=0,0,L31/H31)</f>
        <v>-1</v>
      </c>
      <c r="O31" s="13"/>
      <c r="P31" s="1">
        <f>SUM(OSRRefP22_2x_0)</f>
        <v>0</v>
      </c>
      <c r="Q31" s="1"/>
      <c r="R31" s="5">
        <f t="shared" ref="R31:R45" si="32">IF(P$12=0,0,P31/P$12)</f>
        <v>0</v>
      </c>
      <c r="S31" s="1"/>
      <c r="T31" s="1">
        <f>SUM(OSRRefT22_2x_0)</f>
        <v>2077.88</v>
      </c>
      <c r="U31" s="1"/>
      <c r="V31" s="5">
        <f t="shared" ref="V31:V45" si="33">IF(T$12=0,0,T31/T$12)</f>
        <v>0.10466923267178357</v>
      </c>
      <c r="W31" s="1"/>
      <c r="X31" s="1">
        <f t="shared" ref="X31:X45" si="34">+P31-T31</f>
        <v>-2077.88</v>
      </c>
      <c r="Y31" s="1"/>
      <c r="Z31" s="5">
        <f t="shared" ref="Z31:Z45" si="35">IF(T31=0,0,X31/T31)</f>
        <v>-1</v>
      </c>
    </row>
    <row r="32" spans="1:26" s="24" customFormat="1" hidden="1" outlineLevel="2" x14ac:dyDescent="0.25">
      <c r="A32" s="25"/>
      <c r="B32" s="11" t="str">
        <f>CONCATENATE("          ", "6362", " - ", "ADVERTISING EXPENSE")</f>
        <v xml:space="preserve">          6362 - ADVERTISING EXPENSE</v>
      </c>
      <c r="C32" s="11"/>
      <c r="D32" s="6"/>
      <c r="E32" s="2"/>
      <c r="F32" s="7">
        <f t="shared" si="28"/>
        <v>0</v>
      </c>
      <c r="G32" s="2"/>
      <c r="H32" s="6">
        <v>477.35</v>
      </c>
      <c r="I32" s="2"/>
      <c r="J32" s="7">
        <f t="shared" si="29"/>
        <v>0</v>
      </c>
      <c r="K32" s="2"/>
      <c r="L32" s="6">
        <f t="shared" si="30"/>
        <v>-477.35</v>
      </c>
      <c r="M32" s="2"/>
      <c r="N32" s="7">
        <f t="shared" si="31"/>
        <v>-1</v>
      </c>
      <c r="O32" s="11"/>
      <c r="P32" s="6"/>
      <c r="Q32" s="2"/>
      <c r="R32" s="7">
        <f t="shared" si="32"/>
        <v>0</v>
      </c>
      <c r="S32" s="2"/>
      <c r="T32" s="6">
        <v>2077.88</v>
      </c>
      <c r="U32" s="2"/>
      <c r="V32" s="7">
        <f t="shared" si="33"/>
        <v>0.10466923267178357</v>
      </c>
      <c r="W32" s="2"/>
      <c r="X32" s="6">
        <f t="shared" si="34"/>
        <v>-2077.88</v>
      </c>
      <c r="Y32" s="2"/>
      <c r="Z32" s="7">
        <f t="shared" si="35"/>
        <v>-1</v>
      </c>
    </row>
    <row r="33" spans="1:26" s="26" customFormat="1" outlineLevel="1" collapsed="1" x14ac:dyDescent="0.25">
      <c r="A33" s="27"/>
      <c r="B33" s="13" t="str">
        <f>CONCATENATE("     ","Bad Debts/Over/Short                              ")</f>
        <v xml:space="preserve">     Bad Debts/Over/Short                              </v>
      </c>
      <c r="C33" s="13"/>
      <c r="D33" s="1">
        <f>SUM(OSRRefD22_3x_0)</f>
        <v>0</v>
      </c>
      <c r="E33" s="1"/>
      <c r="F33" s="5">
        <f t="shared" si="28"/>
        <v>0</v>
      </c>
      <c r="G33" s="1"/>
      <c r="H33" s="1">
        <f>SUM(OSRRefH22_3x_0)</f>
        <v>0</v>
      </c>
      <c r="I33" s="1"/>
      <c r="J33" s="5">
        <f t="shared" si="29"/>
        <v>0</v>
      </c>
      <c r="K33" s="1"/>
      <c r="L33" s="1">
        <f t="shared" si="30"/>
        <v>0</v>
      </c>
      <c r="M33" s="1"/>
      <c r="N33" s="5">
        <f t="shared" si="31"/>
        <v>0</v>
      </c>
      <c r="O33" s="13"/>
      <c r="P33" s="1">
        <f>SUM(OSRRefP22_3x_0)</f>
        <v>0</v>
      </c>
      <c r="Q33" s="1"/>
      <c r="R33" s="5">
        <f t="shared" si="32"/>
        <v>0</v>
      </c>
      <c r="S33" s="1"/>
      <c r="T33" s="1">
        <f>SUM(OSRRefT22_3x_0)</f>
        <v>1.85</v>
      </c>
      <c r="U33" s="1"/>
      <c r="V33" s="5">
        <f t="shared" si="33"/>
        <v>9.3190213314916939E-5</v>
      </c>
      <c r="W33" s="1"/>
      <c r="X33" s="1">
        <f t="shared" si="34"/>
        <v>-1.85</v>
      </c>
      <c r="Y33" s="1"/>
      <c r="Z33" s="5">
        <f t="shared" si="35"/>
        <v>-1</v>
      </c>
    </row>
    <row r="34" spans="1:26" s="24" customFormat="1" hidden="1" outlineLevel="2" x14ac:dyDescent="0.25">
      <c r="A34" s="25"/>
      <c r="B34" s="11" t="str">
        <f>CONCATENATE("          ", "6272", " - ", "CASH (OVER/SHORT)")</f>
        <v xml:space="preserve">          6272 - CASH (OVER/SHORT)</v>
      </c>
      <c r="C34" s="11"/>
      <c r="D34" s="6"/>
      <c r="E34" s="2"/>
      <c r="F34" s="7">
        <f t="shared" si="28"/>
        <v>0</v>
      </c>
      <c r="G34" s="2"/>
      <c r="H34" s="6"/>
      <c r="I34" s="2"/>
      <c r="J34" s="7">
        <f t="shared" si="29"/>
        <v>0</v>
      </c>
      <c r="K34" s="2"/>
      <c r="L34" s="6">
        <f t="shared" si="30"/>
        <v>0</v>
      </c>
      <c r="M34" s="2"/>
      <c r="N34" s="7">
        <f t="shared" si="31"/>
        <v>0</v>
      </c>
      <c r="O34" s="11"/>
      <c r="P34" s="6"/>
      <c r="Q34" s="2"/>
      <c r="R34" s="7">
        <f t="shared" si="32"/>
        <v>0</v>
      </c>
      <c r="S34" s="2"/>
      <c r="T34" s="6">
        <v>1.85</v>
      </c>
      <c r="U34" s="2"/>
      <c r="V34" s="7">
        <f t="shared" si="33"/>
        <v>9.3190213314916939E-5</v>
      </c>
      <c r="W34" s="2"/>
      <c r="X34" s="6">
        <f t="shared" si="34"/>
        <v>-1.85</v>
      </c>
      <c r="Y34" s="2"/>
      <c r="Z34" s="7">
        <f t="shared" si="35"/>
        <v>-1</v>
      </c>
    </row>
    <row r="35" spans="1:26" s="26" customFormat="1" outlineLevel="1" collapsed="1" x14ac:dyDescent="0.25">
      <c r="A35" s="27"/>
      <c r="B35" s="13" t="str">
        <f>CONCATENATE("     ","Bank/card Fees                                    ")</f>
        <v xml:space="preserve">     Bank/card Fees                                    </v>
      </c>
      <c r="C35" s="13"/>
      <c r="D35" s="1">
        <f>SUM(OSRRefD22_4x_0)</f>
        <v>0</v>
      </c>
      <c r="E35" s="1"/>
      <c r="F35" s="5">
        <f t="shared" si="28"/>
        <v>0</v>
      </c>
      <c r="G35" s="1"/>
      <c r="H35" s="1">
        <f>SUM(OSRRefH22_4x_0)</f>
        <v>0</v>
      </c>
      <c r="I35" s="1"/>
      <c r="J35" s="5">
        <f t="shared" si="29"/>
        <v>0</v>
      </c>
      <c r="K35" s="1"/>
      <c r="L35" s="1">
        <f t="shared" si="30"/>
        <v>0</v>
      </c>
      <c r="M35" s="1"/>
      <c r="N35" s="5">
        <f t="shared" si="31"/>
        <v>0</v>
      </c>
      <c r="O35" s="13"/>
      <c r="P35" s="1">
        <f>SUM(OSRRefP22_4x_0)</f>
        <v>0</v>
      </c>
      <c r="Q35" s="1"/>
      <c r="R35" s="5">
        <f t="shared" si="32"/>
        <v>0</v>
      </c>
      <c r="S35" s="1"/>
      <c r="T35" s="1">
        <f>SUM(OSRRefT22_4x_0)</f>
        <v>348.55</v>
      </c>
      <c r="U35" s="1"/>
      <c r="V35" s="5">
        <f t="shared" si="33"/>
        <v>1.7557539919413136E-2</v>
      </c>
      <c r="W35" s="1"/>
      <c r="X35" s="1">
        <f t="shared" si="34"/>
        <v>-348.55</v>
      </c>
      <c r="Y35" s="1"/>
      <c r="Z35" s="5">
        <f t="shared" si="35"/>
        <v>-1</v>
      </c>
    </row>
    <row r="36" spans="1:26" s="24" customFormat="1" hidden="1" outlineLevel="2" x14ac:dyDescent="0.25">
      <c r="A36" s="25"/>
      <c r="B36" s="11" t="str">
        <f>CONCATENATE("          ", "6381", " - ", "BANK/CREDIT CARD FEES")</f>
        <v xml:space="preserve">          6381 - BANK/CREDIT CARD FEES</v>
      </c>
      <c r="C36" s="11"/>
      <c r="D36" s="6"/>
      <c r="E36" s="2"/>
      <c r="F36" s="7">
        <f t="shared" si="28"/>
        <v>0</v>
      </c>
      <c r="G36" s="2"/>
      <c r="H36" s="6"/>
      <c r="I36" s="2"/>
      <c r="J36" s="7">
        <f t="shared" si="29"/>
        <v>0</v>
      </c>
      <c r="K36" s="2"/>
      <c r="L36" s="6">
        <f t="shared" si="30"/>
        <v>0</v>
      </c>
      <c r="M36" s="2"/>
      <c r="N36" s="7">
        <f t="shared" si="31"/>
        <v>0</v>
      </c>
      <c r="O36" s="11"/>
      <c r="P36" s="6"/>
      <c r="Q36" s="2"/>
      <c r="R36" s="7">
        <f t="shared" si="32"/>
        <v>0</v>
      </c>
      <c r="S36" s="2"/>
      <c r="T36" s="6">
        <v>348.55</v>
      </c>
      <c r="U36" s="2"/>
      <c r="V36" s="7">
        <f t="shared" si="33"/>
        <v>1.7557539919413136E-2</v>
      </c>
      <c r="W36" s="2"/>
      <c r="X36" s="6">
        <f t="shared" si="34"/>
        <v>-348.55</v>
      </c>
      <c r="Y36" s="2"/>
      <c r="Z36" s="7">
        <f t="shared" si="35"/>
        <v>-1</v>
      </c>
    </row>
    <row r="37" spans="1:26" s="26" customFormat="1" outlineLevel="1" collapsed="1" x14ac:dyDescent="0.25">
      <c r="A37" s="27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SUM(OSRRefD22_5x_0)</f>
        <v>479.29</v>
      </c>
      <c r="E37" s="1"/>
      <c r="F37" s="5">
        <f t="shared" si="28"/>
        <v>0</v>
      </c>
      <c r="G37" s="1"/>
      <c r="H37" s="1">
        <f>SUM(OSRRefH22_5x_0)</f>
        <v>0</v>
      </c>
      <c r="I37" s="1"/>
      <c r="J37" s="5">
        <f t="shared" si="29"/>
        <v>0</v>
      </c>
      <c r="K37" s="1"/>
      <c r="L37" s="1">
        <f t="shared" si="30"/>
        <v>479.29</v>
      </c>
      <c r="M37" s="1"/>
      <c r="N37" s="5">
        <f t="shared" si="31"/>
        <v>0</v>
      </c>
      <c r="O37" s="13"/>
      <c r="P37" s="1">
        <f>SUM(OSRRefP22_5x_0)</f>
        <v>3355.03</v>
      </c>
      <c r="Q37" s="1"/>
      <c r="R37" s="5">
        <f t="shared" si="32"/>
        <v>0</v>
      </c>
      <c r="S37" s="1"/>
      <c r="T37" s="1">
        <f>SUM(OSRRefT22_5x_0)</f>
        <v>0</v>
      </c>
      <c r="U37" s="1"/>
      <c r="V37" s="5">
        <f t="shared" si="33"/>
        <v>0</v>
      </c>
      <c r="W37" s="1"/>
      <c r="X37" s="1">
        <f t="shared" si="34"/>
        <v>3355.03</v>
      </c>
      <c r="Y37" s="1"/>
      <c r="Z37" s="5">
        <f t="shared" si="35"/>
        <v>0</v>
      </c>
    </row>
    <row r="38" spans="1:26" s="24" customFormat="1" hidden="1" outlineLevel="2" x14ac:dyDescent="0.25">
      <c r="A38" s="25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479.29</v>
      </c>
      <c r="E38" s="2"/>
      <c r="F38" s="7">
        <f t="shared" si="28"/>
        <v>0</v>
      </c>
      <c r="G38" s="2"/>
      <c r="H38" s="6"/>
      <c r="I38" s="2"/>
      <c r="J38" s="7">
        <f t="shared" si="29"/>
        <v>0</v>
      </c>
      <c r="K38" s="2"/>
      <c r="L38" s="6">
        <f t="shared" si="30"/>
        <v>479.29</v>
      </c>
      <c r="M38" s="2"/>
      <c r="N38" s="7">
        <f t="shared" si="31"/>
        <v>0</v>
      </c>
      <c r="O38" s="11"/>
      <c r="P38" s="6">
        <v>3355.03</v>
      </c>
      <c r="Q38" s="2"/>
      <c r="R38" s="7">
        <f t="shared" si="32"/>
        <v>0</v>
      </c>
      <c r="S38" s="2"/>
      <c r="T38" s="6"/>
      <c r="U38" s="2"/>
      <c r="V38" s="7">
        <f t="shared" si="33"/>
        <v>0</v>
      </c>
      <c r="W38" s="2"/>
      <c r="X38" s="6">
        <f t="shared" si="34"/>
        <v>3355.03</v>
      </c>
      <c r="Y38" s="2"/>
      <c r="Z38" s="7">
        <f t="shared" si="35"/>
        <v>0</v>
      </c>
    </row>
    <row r="39" spans="1:26" s="26" customFormat="1" outlineLevel="1" collapsed="1" x14ac:dyDescent="0.25">
      <c r="A39" s="27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SUM(OSRRefD22_6x_0)</f>
        <v>0</v>
      </c>
      <c r="E39" s="1"/>
      <c r="F39" s="5">
        <f t="shared" si="28"/>
        <v>0</v>
      </c>
      <c r="G39" s="1"/>
      <c r="H39" s="1">
        <f>SUM(OSRRefH22_6x_0)</f>
        <v>78.63</v>
      </c>
      <c r="I39" s="1"/>
      <c r="J39" s="5">
        <f t="shared" si="29"/>
        <v>0</v>
      </c>
      <c r="K39" s="1"/>
      <c r="L39" s="1">
        <f t="shared" si="30"/>
        <v>-78.63</v>
      </c>
      <c r="M39" s="1"/>
      <c r="N39" s="5">
        <f t="shared" si="31"/>
        <v>-1</v>
      </c>
      <c r="O39" s="13"/>
      <c r="P39" s="1">
        <f>SUM(OSRRefP22_6x_0)</f>
        <v>0</v>
      </c>
      <c r="Q39" s="1"/>
      <c r="R39" s="5">
        <f t="shared" si="32"/>
        <v>0</v>
      </c>
      <c r="S39" s="1"/>
      <c r="T39" s="1">
        <f>SUM(OSRRefT22_6x_0)</f>
        <v>193.27</v>
      </c>
      <c r="U39" s="1"/>
      <c r="V39" s="5">
        <f t="shared" si="33"/>
        <v>9.7356067715535129E-3</v>
      </c>
      <c r="W39" s="1"/>
      <c r="X39" s="1">
        <f t="shared" si="34"/>
        <v>-193.27</v>
      </c>
      <c r="Y39" s="1"/>
      <c r="Z39" s="5">
        <f t="shared" si="35"/>
        <v>-1</v>
      </c>
    </row>
    <row r="40" spans="1:26" s="24" customFormat="1" hidden="1" outlineLevel="2" x14ac:dyDescent="0.25">
      <c r="A40" s="25"/>
      <c r="B40" s="11" t="str">
        <f>CONCATENATE("          ", "6277", " - ", "EMPLOYEE APPRECIATION")</f>
        <v xml:space="preserve">          6277 - EMPLOYEE APPRECIATION</v>
      </c>
      <c r="C40" s="11"/>
      <c r="D40" s="6"/>
      <c r="E40" s="2"/>
      <c r="F40" s="7">
        <f t="shared" si="28"/>
        <v>0</v>
      </c>
      <c r="G40" s="2"/>
      <c r="H40" s="6">
        <v>78.63</v>
      </c>
      <c r="I40" s="2"/>
      <c r="J40" s="7">
        <f t="shared" si="29"/>
        <v>0</v>
      </c>
      <c r="K40" s="2"/>
      <c r="L40" s="6">
        <f t="shared" si="30"/>
        <v>-78.63</v>
      </c>
      <c r="M40" s="2"/>
      <c r="N40" s="7">
        <f t="shared" si="31"/>
        <v>-1</v>
      </c>
      <c r="O40" s="11"/>
      <c r="P40" s="6"/>
      <c r="Q40" s="2"/>
      <c r="R40" s="7">
        <f t="shared" si="32"/>
        <v>0</v>
      </c>
      <c r="S40" s="2"/>
      <c r="T40" s="6">
        <v>193.27</v>
      </c>
      <c r="U40" s="2"/>
      <c r="V40" s="7">
        <f t="shared" si="33"/>
        <v>9.7356067715535129E-3</v>
      </c>
      <c r="W40" s="2"/>
      <c r="X40" s="6">
        <f t="shared" si="34"/>
        <v>-193.27</v>
      </c>
      <c r="Y40" s="2"/>
      <c r="Z40" s="7">
        <f t="shared" si="35"/>
        <v>-1</v>
      </c>
    </row>
    <row r="41" spans="1:26" s="26" customFormat="1" outlineLevel="1" collapsed="1" x14ac:dyDescent="0.25">
      <c r="A41" s="27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SUM(OSRRefD22_7x_0)</f>
        <v>0</v>
      </c>
      <c r="E41" s="1"/>
      <c r="F41" s="5">
        <f t="shared" si="28"/>
        <v>0</v>
      </c>
      <c r="G41" s="1"/>
      <c r="H41" s="1">
        <f>SUM(OSRRefH22_7x_0)</f>
        <v>142.19999999999999</v>
      </c>
      <c r="I41" s="1"/>
      <c r="J41" s="5">
        <f t="shared" si="29"/>
        <v>0</v>
      </c>
      <c r="K41" s="1"/>
      <c r="L41" s="1">
        <f t="shared" si="30"/>
        <v>-142.19999999999999</v>
      </c>
      <c r="M41" s="1"/>
      <c r="N41" s="5">
        <f t="shared" si="31"/>
        <v>-1</v>
      </c>
      <c r="O41" s="13"/>
      <c r="P41" s="1">
        <f>SUM(OSRRefP22_7x_0)</f>
        <v>523.54999999999995</v>
      </c>
      <c r="Q41" s="1"/>
      <c r="R41" s="5">
        <f t="shared" si="32"/>
        <v>0</v>
      </c>
      <c r="S41" s="1"/>
      <c r="T41" s="1">
        <f>SUM(OSRRefT22_7x_0)</f>
        <v>3413.95</v>
      </c>
      <c r="U41" s="1"/>
      <c r="V41" s="5">
        <f t="shared" si="33"/>
        <v>0.17197120472781657</v>
      </c>
      <c r="W41" s="1"/>
      <c r="X41" s="1">
        <f t="shared" si="34"/>
        <v>-2890.3999999999996</v>
      </c>
      <c r="Y41" s="1"/>
      <c r="Z41" s="5">
        <f t="shared" si="35"/>
        <v>-0.84664391687048723</v>
      </c>
    </row>
    <row r="42" spans="1:26" s="24" customFormat="1" hidden="1" outlineLevel="2" x14ac:dyDescent="0.25">
      <c r="A42" s="25"/>
      <c r="B42" s="11" t="str">
        <f>CONCATENATE("          ", "6279", " - ", "GENERAL EXPENSE")</f>
        <v xml:space="preserve">          6279 - GENERAL EXPENSE</v>
      </c>
      <c r="C42" s="11"/>
      <c r="D42" s="6"/>
      <c r="E42" s="2"/>
      <c r="F42" s="7">
        <f t="shared" si="28"/>
        <v>0</v>
      </c>
      <c r="G42" s="2"/>
      <c r="H42" s="6">
        <v>142.19999999999999</v>
      </c>
      <c r="I42" s="2"/>
      <c r="J42" s="7">
        <f t="shared" si="29"/>
        <v>0</v>
      </c>
      <c r="K42" s="2"/>
      <c r="L42" s="6">
        <f t="shared" si="30"/>
        <v>-142.19999999999999</v>
      </c>
      <c r="M42" s="2"/>
      <c r="N42" s="7">
        <f t="shared" si="31"/>
        <v>-1</v>
      </c>
      <c r="O42" s="11"/>
      <c r="P42" s="6">
        <v>523.54999999999995</v>
      </c>
      <c r="Q42" s="2"/>
      <c r="R42" s="7">
        <f t="shared" si="32"/>
        <v>0</v>
      </c>
      <c r="S42" s="2"/>
      <c r="T42" s="6">
        <v>3413.95</v>
      </c>
      <c r="U42" s="2"/>
      <c r="V42" s="7">
        <f t="shared" si="33"/>
        <v>0.17197120472781657</v>
      </c>
      <c r="W42" s="2"/>
      <c r="X42" s="6">
        <f t="shared" si="34"/>
        <v>-2890.3999999999996</v>
      </c>
      <c r="Y42" s="2"/>
      <c r="Z42" s="7">
        <f t="shared" si="35"/>
        <v>-0.84664391687048723</v>
      </c>
    </row>
    <row r="43" spans="1:26" s="26" customFormat="1" outlineLevel="1" collapsed="1" x14ac:dyDescent="0.25">
      <c r="A43" s="27"/>
      <c r="B43" s="13" t="str">
        <f>CONCATENATE("     ","Repair and Maintenance                            ")</f>
        <v xml:space="preserve">     Repair and Maintenance                            </v>
      </c>
      <c r="C43" s="13"/>
      <c r="D43" s="1">
        <f>SUM(OSRRefD22_8x_0)</f>
        <v>0</v>
      </c>
      <c r="E43" s="1"/>
      <c r="F43" s="5">
        <f t="shared" si="28"/>
        <v>0</v>
      </c>
      <c r="G43" s="1"/>
      <c r="H43" s="1">
        <f>SUM(OSRRefH22_8x_0)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SUM(OSRRefP22_8x_0)</f>
        <v>154.33000000000001</v>
      </c>
      <c r="Q43" s="1"/>
      <c r="R43" s="5">
        <f t="shared" si="32"/>
        <v>0</v>
      </c>
      <c r="S43" s="1"/>
      <c r="T43" s="1">
        <f>SUM(OSRRefT22_8x_0)</f>
        <v>434.72</v>
      </c>
      <c r="U43" s="1"/>
      <c r="V43" s="5">
        <f t="shared" si="33"/>
        <v>2.1898188936357133E-2</v>
      </c>
      <c r="W43" s="1"/>
      <c r="X43" s="1">
        <f t="shared" si="34"/>
        <v>-280.39</v>
      </c>
      <c r="Y43" s="1"/>
      <c r="Z43" s="5">
        <f t="shared" si="35"/>
        <v>-0.64498987854251</v>
      </c>
    </row>
    <row r="44" spans="1:26" s="24" customFormat="1" hidden="1" outlineLevel="2" x14ac:dyDescent="0.25">
      <c r="A44" s="25"/>
      <c r="B44" s="11" t="str">
        <f>CONCATENATE("          ", "6373", " - ", "MAINTENANCE CONTRACTS")</f>
        <v xml:space="preserve">          6373 - MAINTENANCE CONTRACTS</v>
      </c>
      <c r="C44" s="11"/>
      <c r="D44" s="6"/>
      <c r="E44" s="2"/>
      <c r="F44" s="7">
        <f t="shared" si="28"/>
        <v>0</v>
      </c>
      <c r="G44" s="2"/>
      <c r="H44" s="6"/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>
        <v>154.33000000000001</v>
      </c>
      <c r="Q44" s="2"/>
      <c r="R44" s="7">
        <f t="shared" si="32"/>
        <v>0</v>
      </c>
      <c r="S44" s="2"/>
      <c r="T44" s="6">
        <v>296.64</v>
      </c>
      <c r="U44" s="2"/>
      <c r="V44" s="7">
        <f t="shared" si="33"/>
        <v>1.4942672906884842E-2</v>
      </c>
      <c r="W44" s="2"/>
      <c r="X44" s="6">
        <f t="shared" si="34"/>
        <v>-142.30999999999997</v>
      </c>
      <c r="Y44" s="2"/>
      <c r="Z44" s="7">
        <f t="shared" si="35"/>
        <v>-0.4797397518878101</v>
      </c>
    </row>
    <row r="45" spans="1:26" s="24" customFormat="1" hidden="1" outlineLevel="2" x14ac:dyDescent="0.25">
      <c r="A45" s="25"/>
      <c r="B45" s="11" t="str">
        <f>CONCATENATE("          ", "6375", " - ", "OUTSIDE REPAIRS &amp; MAINTENANCE")</f>
        <v xml:space="preserve">          6375 - OUTSIDE REPAIRS &amp; MAINTENANCE</v>
      </c>
      <c r="C45" s="11"/>
      <c r="D45" s="6"/>
      <c r="E45" s="2"/>
      <c r="F45" s="7">
        <f t="shared" si="28"/>
        <v>0</v>
      </c>
      <c r="G45" s="2"/>
      <c r="H45" s="6"/>
      <c r="I45" s="2"/>
      <c r="J45" s="7">
        <f t="shared" si="29"/>
        <v>0</v>
      </c>
      <c r="K45" s="2"/>
      <c r="L45" s="6">
        <f t="shared" si="30"/>
        <v>0</v>
      </c>
      <c r="M45" s="2"/>
      <c r="N45" s="7">
        <f t="shared" si="31"/>
        <v>0</v>
      </c>
      <c r="O45" s="11"/>
      <c r="P45" s="6"/>
      <c r="Q45" s="2"/>
      <c r="R45" s="7">
        <f t="shared" si="32"/>
        <v>0</v>
      </c>
      <c r="S45" s="2"/>
      <c r="T45" s="6">
        <v>138.08000000000001</v>
      </c>
      <c r="U45" s="2"/>
      <c r="V45" s="7">
        <f t="shared" si="33"/>
        <v>6.9555160294722876E-3</v>
      </c>
      <c r="W45" s="2"/>
      <c r="X45" s="6">
        <f t="shared" si="34"/>
        <v>-138.08000000000001</v>
      </c>
      <c r="Y45" s="2"/>
      <c r="Z45" s="7">
        <f t="shared" si="35"/>
        <v>-1</v>
      </c>
    </row>
    <row r="46" spans="1:26" s="26" customFormat="1" outlineLevel="1" collapsed="1" x14ac:dyDescent="0.25">
      <c r="A46" s="27"/>
      <c r="B46" s="13" t="str">
        <f>CONCATENATE("     ","Royalty &amp; Commissions                             ")</f>
        <v xml:space="preserve">     Royalty &amp; Commissions                             </v>
      </c>
      <c r="C46" s="13"/>
      <c r="D46" s="1">
        <f>SUM(OSRRefD22_9x_0)</f>
        <v>0</v>
      </c>
      <c r="E46" s="1"/>
      <c r="F46" s="5">
        <f t="shared" ref="F46:F54" si="36">IF(D$12=0,0,D46/D$12)</f>
        <v>0</v>
      </c>
      <c r="G46" s="1"/>
      <c r="H46" s="1">
        <f>SUM(OSRRefH22_9x_0)</f>
        <v>0</v>
      </c>
      <c r="I46" s="1"/>
      <c r="J46" s="5">
        <f t="shared" ref="J46:J54" si="37">IF(H$12=0,0,H46/H$12)</f>
        <v>0</v>
      </c>
      <c r="K46" s="1"/>
      <c r="L46" s="1">
        <f t="shared" ref="L46:L54" si="38">+D46-H46</f>
        <v>0</v>
      </c>
      <c r="M46" s="1"/>
      <c r="N46" s="5">
        <f t="shared" ref="N46:N54" si="39">IF(H46=0,0,L46/H46)</f>
        <v>0</v>
      </c>
      <c r="O46" s="13"/>
      <c r="P46" s="1">
        <f>SUM(OSRRefP22_9x_0)</f>
        <v>0</v>
      </c>
      <c r="Q46" s="1"/>
      <c r="R46" s="5">
        <f t="shared" ref="R46:R54" si="40">IF(P$12=0,0,P46/P$12)</f>
        <v>0</v>
      </c>
      <c r="S46" s="1"/>
      <c r="T46" s="1">
        <f>SUM(OSRRefT22_9x_0)</f>
        <v>6595.88</v>
      </c>
      <c r="U46" s="1"/>
      <c r="V46" s="5">
        <f t="shared" ref="V46:V54" si="41">IF(T$12=0,0,T46/T$12)</f>
        <v>0.33225484551329426</v>
      </c>
      <c r="W46" s="1"/>
      <c r="X46" s="1">
        <f t="shared" ref="X46:X54" si="42">+P46-T46</f>
        <v>-6595.88</v>
      </c>
      <c r="Y46" s="1"/>
      <c r="Z46" s="5">
        <f t="shared" ref="Z46:Z54" si="43">IF(T46=0,0,X46/T46)</f>
        <v>-1</v>
      </c>
    </row>
    <row r="47" spans="1:26" s="24" customFormat="1" hidden="1" outlineLevel="2" x14ac:dyDescent="0.25">
      <c r="A47" s="25"/>
      <c r="B47" s="11" t="str">
        <f>CONCATENATE("          ", "6254", " - ", "ROYALTY &amp; COMMISSIONS")</f>
        <v xml:space="preserve">          6254 - ROYALTY &amp; COMMISSIONS</v>
      </c>
      <c r="C47" s="11"/>
      <c r="D47" s="6"/>
      <c r="E47" s="2"/>
      <c r="F47" s="7">
        <f t="shared" si="36"/>
        <v>0</v>
      </c>
      <c r="G47" s="2"/>
      <c r="H47" s="6"/>
      <c r="I47" s="2"/>
      <c r="J47" s="7">
        <f t="shared" si="37"/>
        <v>0</v>
      </c>
      <c r="K47" s="2"/>
      <c r="L47" s="6">
        <f t="shared" si="38"/>
        <v>0</v>
      </c>
      <c r="M47" s="2"/>
      <c r="N47" s="7">
        <f t="shared" si="39"/>
        <v>0</v>
      </c>
      <c r="O47" s="11"/>
      <c r="P47" s="6"/>
      <c r="Q47" s="2"/>
      <c r="R47" s="7">
        <f t="shared" si="40"/>
        <v>0</v>
      </c>
      <c r="S47" s="2"/>
      <c r="T47" s="6">
        <v>6595.88</v>
      </c>
      <c r="U47" s="2"/>
      <c r="V47" s="7">
        <f t="shared" si="41"/>
        <v>0.33225484551329426</v>
      </c>
      <c r="W47" s="2"/>
      <c r="X47" s="6">
        <f t="shared" si="42"/>
        <v>-6595.88</v>
      </c>
      <c r="Y47" s="2"/>
      <c r="Z47" s="7">
        <f t="shared" si="43"/>
        <v>-1</v>
      </c>
    </row>
    <row r="48" spans="1:26" s="26" customFormat="1" outlineLevel="1" collapsed="1" x14ac:dyDescent="0.25">
      <c r="A48" s="27"/>
      <c r="B48" s="13" t="str">
        <f>CONCATENATE("     ","Services                                          ")</f>
        <v xml:space="preserve">     Services                                          </v>
      </c>
      <c r="C48" s="13"/>
      <c r="D48" s="1">
        <f>SUM(OSRRefD22_10x_0)</f>
        <v>0</v>
      </c>
      <c r="E48" s="1"/>
      <c r="F48" s="5">
        <f t="shared" si="36"/>
        <v>0</v>
      </c>
      <c r="G48" s="1"/>
      <c r="H48" s="1">
        <f>SUM(OSRRefH22_10x_0)</f>
        <v>12.25</v>
      </c>
      <c r="I48" s="1"/>
      <c r="J48" s="5">
        <f t="shared" si="37"/>
        <v>0</v>
      </c>
      <c r="K48" s="1"/>
      <c r="L48" s="1">
        <f t="shared" si="38"/>
        <v>-12.25</v>
      </c>
      <c r="M48" s="1"/>
      <c r="N48" s="5">
        <f t="shared" si="39"/>
        <v>-1</v>
      </c>
      <c r="O48" s="13"/>
      <c r="P48" s="1">
        <f>SUM(OSRRefP22_10x_0)</f>
        <v>0</v>
      </c>
      <c r="Q48" s="1"/>
      <c r="R48" s="5">
        <f t="shared" si="40"/>
        <v>0</v>
      </c>
      <c r="S48" s="1"/>
      <c r="T48" s="1">
        <f>SUM(OSRRefT22_10x_0)</f>
        <v>44.75</v>
      </c>
      <c r="U48" s="1"/>
      <c r="V48" s="5">
        <f t="shared" si="41"/>
        <v>2.2541957004554233E-3</v>
      </c>
      <c r="W48" s="1"/>
      <c r="X48" s="1">
        <f t="shared" si="42"/>
        <v>-44.75</v>
      </c>
      <c r="Y48" s="1"/>
      <c r="Z48" s="5">
        <f t="shared" si="43"/>
        <v>-1</v>
      </c>
    </row>
    <row r="49" spans="1:26" s="24" customFormat="1" hidden="1" outlineLevel="2" x14ac:dyDescent="0.25">
      <c r="A49" s="25"/>
      <c r="B49" s="11" t="str">
        <f>CONCATENATE("          ", "6286", " - ", "LAUNDRY EXPENSE")</f>
        <v xml:space="preserve">          6286 - LAUNDRY EXPENSE</v>
      </c>
      <c r="C49" s="11"/>
      <c r="D49" s="6"/>
      <c r="E49" s="2"/>
      <c r="F49" s="7">
        <f t="shared" si="36"/>
        <v>0</v>
      </c>
      <c r="G49" s="2"/>
      <c r="H49" s="6">
        <v>12.25</v>
      </c>
      <c r="I49" s="2"/>
      <c r="J49" s="7">
        <f t="shared" si="37"/>
        <v>0</v>
      </c>
      <c r="K49" s="2"/>
      <c r="L49" s="6">
        <f t="shared" si="38"/>
        <v>-12.25</v>
      </c>
      <c r="M49" s="2"/>
      <c r="N49" s="7">
        <f t="shared" si="39"/>
        <v>-1</v>
      </c>
      <c r="O49" s="11"/>
      <c r="P49" s="6"/>
      <c r="Q49" s="2"/>
      <c r="R49" s="7">
        <f t="shared" si="40"/>
        <v>0</v>
      </c>
      <c r="S49" s="2"/>
      <c r="T49" s="6">
        <v>44.75</v>
      </c>
      <c r="U49" s="2"/>
      <c r="V49" s="7">
        <f t="shared" si="41"/>
        <v>2.2541957004554233E-3</v>
      </c>
      <c r="W49" s="2"/>
      <c r="X49" s="6">
        <f t="shared" si="42"/>
        <v>-44.75</v>
      </c>
      <c r="Y49" s="2"/>
      <c r="Z49" s="7">
        <f t="shared" si="43"/>
        <v>-1</v>
      </c>
    </row>
    <row r="50" spans="1:26" s="26" customFormat="1" outlineLevel="1" collapsed="1" x14ac:dyDescent="0.25">
      <c r="A50" s="27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SUM(OSRRefD22_11x_0)</f>
        <v>0</v>
      </c>
      <c r="E50" s="1"/>
      <c r="F50" s="5">
        <f t="shared" si="36"/>
        <v>0</v>
      </c>
      <c r="G50" s="1"/>
      <c r="H50" s="1">
        <f>SUM(OSRRefH22_11x_0)</f>
        <v>594.64</v>
      </c>
      <c r="I50" s="1"/>
      <c r="J50" s="5">
        <f t="shared" si="37"/>
        <v>0</v>
      </c>
      <c r="K50" s="1"/>
      <c r="L50" s="1">
        <f t="shared" si="38"/>
        <v>-594.64</v>
      </c>
      <c r="M50" s="1"/>
      <c r="N50" s="5">
        <f t="shared" si="39"/>
        <v>-1</v>
      </c>
      <c r="O50" s="13"/>
      <c r="P50" s="1">
        <f>SUM(OSRRefP22_11x_0)</f>
        <v>0</v>
      </c>
      <c r="Q50" s="1"/>
      <c r="R50" s="5">
        <f t="shared" si="40"/>
        <v>0</v>
      </c>
      <c r="S50" s="1"/>
      <c r="T50" s="1">
        <f>SUM(OSRRefT22_11x_0)</f>
        <v>1608.01</v>
      </c>
      <c r="U50" s="1"/>
      <c r="V50" s="5">
        <f t="shared" si="41"/>
        <v>8.1000429682443018E-2</v>
      </c>
      <c r="W50" s="1"/>
      <c r="X50" s="1">
        <f t="shared" si="42"/>
        <v>-1608.01</v>
      </c>
      <c r="Y50" s="1"/>
      <c r="Z50" s="5">
        <f t="shared" si="43"/>
        <v>-1</v>
      </c>
    </row>
    <row r="51" spans="1:26" s="24" customFormat="1" hidden="1" outlineLevel="2" x14ac:dyDescent="0.25">
      <c r="A51" s="25"/>
      <c r="B51" s="11" t="str">
        <f>CONCATENATE("          ", "6239", " - ", "KITCHEN SUPPLIES")</f>
        <v xml:space="preserve">          6239 - KITCHEN SUPPLIES</v>
      </c>
      <c r="C51" s="11"/>
      <c r="D51" s="6"/>
      <c r="E51" s="2"/>
      <c r="F51" s="7">
        <f t="shared" si="36"/>
        <v>0</v>
      </c>
      <c r="G51" s="2"/>
      <c r="H51" s="6"/>
      <c r="I51" s="2"/>
      <c r="J51" s="7">
        <f t="shared" si="37"/>
        <v>0</v>
      </c>
      <c r="K51" s="2"/>
      <c r="L51" s="6">
        <f t="shared" si="38"/>
        <v>0</v>
      </c>
      <c r="M51" s="2"/>
      <c r="N51" s="7">
        <f t="shared" si="39"/>
        <v>0</v>
      </c>
      <c r="O51" s="11"/>
      <c r="P51" s="6"/>
      <c r="Q51" s="2"/>
      <c r="R51" s="7">
        <f t="shared" si="40"/>
        <v>0</v>
      </c>
      <c r="S51" s="2"/>
      <c r="T51" s="6">
        <v>875.42</v>
      </c>
      <c r="U51" s="2"/>
      <c r="V51" s="7">
        <f t="shared" si="41"/>
        <v>4.4097608940618691E-2</v>
      </c>
      <c r="W51" s="2"/>
      <c r="X51" s="6">
        <f t="shared" si="42"/>
        <v>-875.42</v>
      </c>
      <c r="Y51" s="2"/>
      <c r="Z51" s="7">
        <f t="shared" si="43"/>
        <v>-1</v>
      </c>
    </row>
    <row r="52" spans="1:26" s="24" customFormat="1" hidden="1" outlineLevel="2" x14ac:dyDescent="0.25">
      <c r="A52" s="25"/>
      <c r="B52" s="11" t="str">
        <f>CONCATENATE("          ", "6241", " - ", "OFFICE EXPENSE")</f>
        <v xml:space="preserve">          6241 - OFFICE EXPENSE</v>
      </c>
      <c r="C52" s="11"/>
      <c r="D52" s="6"/>
      <c r="E52" s="2"/>
      <c r="F52" s="7">
        <f t="shared" si="36"/>
        <v>0</v>
      </c>
      <c r="G52" s="2"/>
      <c r="H52" s="6"/>
      <c r="I52" s="2"/>
      <c r="J52" s="7">
        <f t="shared" si="37"/>
        <v>0</v>
      </c>
      <c r="K52" s="2"/>
      <c r="L52" s="6">
        <f t="shared" si="38"/>
        <v>0</v>
      </c>
      <c r="M52" s="2"/>
      <c r="N52" s="7">
        <f t="shared" si="39"/>
        <v>0</v>
      </c>
      <c r="O52" s="11"/>
      <c r="P52" s="6"/>
      <c r="Q52" s="2"/>
      <c r="R52" s="7">
        <f t="shared" si="40"/>
        <v>0</v>
      </c>
      <c r="S52" s="2"/>
      <c r="T52" s="6">
        <v>33.06</v>
      </c>
      <c r="U52" s="2"/>
      <c r="V52" s="7">
        <f t="shared" si="41"/>
        <v>1.6653342984817049E-3</v>
      </c>
      <c r="W52" s="2"/>
      <c r="X52" s="6">
        <f t="shared" si="42"/>
        <v>-33.06</v>
      </c>
      <c r="Y52" s="2"/>
      <c r="Z52" s="7">
        <f t="shared" si="43"/>
        <v>-1</v>
      </c>
    </row>
    <row r="53" spans="1:26" s="24" customFormat="1" hidden="1" outlineLevel="2" x14ac:dyDescent="0.25">
      <c r="A53" s="25"/>
      <c r="B53" s="11" t="str">
        <f>CONCATENATE("          ", "6243", " - ", "PAPER SUPPLIES")</f>
        <v xml:space="preserve">          6243 - PAPER SUPPLIES</v>
      </c>
      <c r="C53" s="11"/>
      <c r="D53" s="6"/>
      <c r="E53" s="2"/>
      <c r="F53" s="7">
        <f t="shared" si="36"/>
        <v>0</v>
      </c>
      <c r="G53" s="2"/>
      <c r="H53" s="6">
        <v>54.64</v>
      </c>
      <c r="I53" s="2"/>
      <c r="J53" s="7">
        <f t="shared" si="37"/>
        <v>0</v>
      </c>
      <c r="K53" s="2"/>
      <c r="L53" s="6">
        <f t="shared" si="38"/>
        <v>-54.64</v>
      </c>
      <c r="M53" s="2"/>
      <c r="N53" s="7">
        <f t="shared" si="39"/>
        <v>-1</v>
      </c>
      <c r="O53" s="11"/>
      <c r="P53" s="6"/>
      <c r="Q53" s="2"/>
      <c r="R53" s="7">
        <f t="shared" si="40"/>
        <v>0</v>
      </c>
      <c r="S53" s="2"/>
      <c r="T53" s="6">
        <v>54.64</v>
      </c>
      <c r="U53" s="2"/>
      <c r="V53" s="7">
        <f t="shared" si="41"/>
        <v>2.7523855435281413E-3</v>
      </c>
      <c r="W53" s="2"/>
      <c r="X53" s="6">
        <f t="shared" si="42"/>
        <v>-54.64</v>
      </c>
      <c r="Y53" s="2"/>
      <c r="Z53" s="7">
        <f t="shared" si="43"/>
        <v>-1</v>
      </c>
    </row>
    <row r="54" spans="1:26" s="24" customFormat="1" hidden="1" outlineLevel="2" x14ac:dyDescent="0.25">
      <c r="A54" s="25"/>
      <c r="B54" s="11" t="str">
        <f>CONCATENATE("          ", "6247", " - ", "STORE SUPPLIES")</f>
        <v xml:space="preserve">          6247 - STORE SUPPLIES</v>
      </c>
      <c r="C54" s="11"/>
      <c r="D54" s="6"/>
      <c r="E54" s="2"/>
      <c r="F54" s="7">
        <f t="shared" si="36"/>
        <v>0</v>
      </c>
      <c r="G54" s="2"/>
      <c r="H54" s="6">
        <v>540</v>
      </c>
      <c r="I54" s="2"/>
      <c r="J54" s="7">
        <f t="shared" si="37"/>
        <v>0</v>
      </c>
      <c r="K54" s="2"/>
      <c r="L54" s="6">
        <f t="shared" si="38"/>
        <v>-540</v>
      </c>
      <c r="M54" s="2"/>
      <c r="N54" s="7">
        <f t="shared" si="39"/>
        <v>-1</v>
      </c>
      <c r="O54" s="11"/>
      <c r="P54" s="6"/>
      <c r="Q54" s="2"/>
      <c r="R54" s="7">
        <f t="shared" si="40"/>
        <v>0</v>
      </c>
      <c r="S54" s="2"/>
      <c r="T54" s="6">
        <v>644.89</v>
      </c>
      <c r="U54" s="2"/>
      <c r="V54" s="7">
        <f t="shared" si="41"/>
        <v>3.2485100899814476E-2</v>
      </c>
      <c r="W54" s="2"/>
      <c r="X54" s="6">
        <f t="shared" si="42"/>
        <v>-644.89</v>
      </c>
      <c r="Y54" s="2"/>
      <c r="Z54" s="7">
        <f t="shared" si="43"/>
        <v>-1</v>
      </c>
    </row>
    <row r="55" spans="1:26" s="26" customFormat="1" outlineLevel="1" collapsed="1" x14ac:dyDescent="0.25">
      <c r="A55" s="27"/>
      <c r="B55" s="13" t="str">
        <f>CONCATENATE("     ","Telephone/Data Lines                              ")</f>
        <v xml:space="preserve">     Telephone/Data Lines                              </v>
      </c>
      <c r="C55" s="13"/>
      <c r="D55" s="1">
        <f>SUM(OSRRefD22_12x_0)</f>
        <v>0</v>
      </c>
      <c r="E55" s="1"/>
      <c r="F55" s="5">
        <f t="shared" ref="F55:F56" si="44">IF(D$12=0,0,D55/D$12)</f>
        <v>0</v>
      </c>
      <c r="G55" s="1"/>
      <c r="H55" s="1">
        <f>SUM(OSRRefH22_12x_0)</f>
        <v>214.01</v>
      </c>
      <c r="I55" s="1"/>
      <c r="J55" s="5">
        <f t="shared" ref="J55:J56" si="45">IF(H$12=0,0,H55/H$12)</f>
        <v>0</v>
      </c>
      <c r="K55" s="1"/>
      <c r="L55" s="1">
        <f t="shared" ref="L55:L56" si="46">+D55-H55</f>
        <v>-214.01</v>
      </c>
      <c r="M55" s="1"/>
      <c r="N55" s="5">
        <f t="shared" ref="N55:N56" si="47">IF(H55=0,0,L55/H55)</f>
        <v>-1</v>
      </c>
      <c r="O55" s="13"/>
      <c r="P55" s="1">
        <f>SUM(OSRRefP22_12x_0)</f>
        <v>226.97</v>
      </c>
      <c r="Q55" s="1"/>
      <c r="R55" s="5">
        <f t="shared" ref="R55:R56" si="48">IF(P$12=0,0,P55/P$12)</f>
        <v>0</v>
      </c>
      <c r="S55" s="1"/>
      <c r="T55" s="1">
        <f>SUM(OSRRefT22_12x_0)</f>
        <v>1498.06</v>
      </c>
      <c r="U55" s="1"/>
      <c r="V55" s="5">
        <f t="shared" ref="V55:V56" si="49">IF(T$12=0,0,T55/T$12)</f>
        <v>7.5461908626240248E-2</v>
      </c>
      <c r="W55" s="1"/>
      <c r="X55" s="1">
        <f t="shared" ref="X55:X56" si="50">+P55-T55</f>
        <v>-1271.0899999999999</v>
      </c>
      <c r="Y55" s="1"/>
      <c r="Z55" s="5">
        <f t="shared" ref="Z55:Z56" si="51">IF(T55=0,0,X55/T55)</f>
        <v>-0.84849071465762382</v>
      </c>
    </row>
    <row r="56" spans="1:26" s="24" customFormat="1" hidden="1" outlineLevel="2" x14ac:dyDescent="0.25">
      <c r="A56" s="25"/>
      <c r="B56" s="11" t="str">
        <f>CONCATENATE("          ", "6309", " - ", "TELEPHONE")</f>
        <v xml:space="preserve">          6309 - TELEPHONE</v>
      </c>
      <c r="C56" s="11"/>
      <c r="D56" s="6"/>
      <c r="E56" s="2"/>
      <c r="F56" s="7">
        <f t="shared" si="44"/>
        <v>0</v>
      </c>
      <c r="G56" s="2"/>
      <c r="H56" s="6">
        <v>214.01</v>
      </c>
      <c r="I56" s="2"/>
      <c r="J56" s="7">
        <f t="shared" si="45"/>
        <v>0</v>
      </c>
      <c r="K56" s="2"/>
      <c r="L56" s="6">
        <f t="shared" si="46"/>
        <v>-214.01</v>
      </c>
      <c r="M56" s="2"/>
      <c r="N56" s="7">
        <f t="shared" si="47"/>
        <v>-1</v>
      </c>
      <c r="O56" s="11"/>
      <c r="P56" s="6">
        <v>226.97</v>
      </c>
      <c r="Q56" s="2"/>
      <c r="R56" s="7">
        <f t="shared" si="48"/>
        <v>0</v>
      </c>
      <c r="S56" s="2"/>
      <c r="T56" s="6">
        <v>1498.06</v>
      </c>
      <c r="U56" s="2"/>
      <c r="V56" s="7">
        <f t="shared" si="49"/>
        <v>7.5461908626240248E-2</v>
      </c>
      <c r="W56" s="2"/>
      <c r="X56" s="6">
        <f t="shared" si="50"/>
        <v>-1271.0899999999999</v>
      </c>
      <c r="Y56" s="2"/>
      <c r="Z56" s="7">
        <f t="shared" si="51"/>
        <v>-0.84849071465762382</v>
      </c>
    </row>
    <row r="57" spans="1:26" s="61" customFormat="1" x14ac:dyDescent="0.25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collapsed="1" x14ac:dyDescent="0.25">
      <c r="A58" s="10"/>
      <c r="B58" s="29" t="s">
        <v>0</v>
      </c>
      <c r="C58" s="10"/>
      <c r="D58" s="4">
        <f>SUM(OSRRefD25x_0)</f>
        <v>0</v>
      </c>
      <c r="E58" s="4"/>
      <c r="F58" s="12">
        <f t="shared" ref="F58:F59" si="52">IF(D$12=0,0,D58/D$12)</f>
        <v>0</v>
      </c>
      <c r="G58" s="4"/>
      <c r="H58" s="4">
        <f>SUM(OSRRefH25x_0)</f>
        <v>0</v>
      </c>
      <c r="I58" s="4"/>
      <c r="J58" s="12">
        <f t="shared" ref="J58:J59" si="53">IF(H$12=0,0,H58/H$12)</f>
        <v>0</v>
      </c>
      <c r="K58" s="4"/>
      <c r="L58" s="4">
        <f t="shared" ref="L58:L59" si="54">+D58-H58</f>
        <v>0</v>
      </c>
      <c r="M58" s="4"/>
      <c r="N58" s="12">
        <f t="shared" ref="N58:N59" si="55">IF(H58=0,0,L58/H58)</f>
        <v>0</v>
      </c>
      <c r="O58" s="10"/>
      <c r="P58" s="4">
        <f>SUM(OSRRefP25x_0)</f>
        <v>0</v>
      </c>
      <c r="Q58" s="4"/>
      <c r="R58" s="12">
        <f t="shared" ref="R58:R59" si="56">IF(P$12=0,0,P58/P$12)</f>
        <v>0</v>
      </c>
      <c r="S58" s="4"/>
      <c r="T58" s="4">
        <f>SUM(OSRRefT25x_0)</f>
        <v>5494.64</v>
      </c>
      <c r="U58" s="4"/>
      <c r="V58" s="12">
        <f t="shared" ref="V58:V59" si="57">IF(T$12=0,0,T58/T$12)</f>
        <v>0.27678198577766228</v>
      </c>
      <c r="W58" s="4"/>
      <c r="X58" s="4">
        <f t="shared" ref="X58:X59" si="58">+P58-T58</f>
        <v>-5494.64</v>
      </c>
      <c r="Y58" s="4"/>
      <c r="Z58" s="12">
        <f t="shared" ref="Z58:Z59" si="59">IF(T58=0,0,X58/T58)</f>
        <v>-1</v>
      </c>
    </row>
    <row r="59" spans="1:26" s="24" customFormat="1" hidden="1" outlineLevel="1" x14ac:dyDescent="0.25">
      <c r="A59" s="44"/>
      <c r="B59" s="11" t="str">
        <f>CONCATENATE("          ", "9150", " - ", "MISC. INCOME")</f>
        <v xml:space="preserve">          9150 - MISC. INCOME</v>
      </c>
      <c r="C59" s="11"/>
      <c r="D59" s="2">
        <f>0</f>
        <v>0</v>
      </c>
      <c r="E59" s="2"/>
      <c r="F59" s="19">
        <f t="shared" si="52"/>
        <v>0</v>
      </c>
      <c r="G59" s="2"/>
      <c r="H59" s="2">
        <f>0</f>
        <v>0</v>
      </c>
      <c r="I59" s="2"/>
      <c r="J59" s="19">
        <f t="shared" si="53"/>
        <v>0</v>
      </c>
      <c r="K59" s="2"/>
      <c r="L59" s="2">
        <f t="shared" si="54"/>
        <v>0</v>
      </c>
      <c r="M59" s="2"/>
      <c r="N59" s="19">
        <f t="shared" si="55"/>
        <v>0</v>
      </c>
      <c r="O59" s="11"/>
      <c r="P59" s="2">
        <f>0</f>
        <v>0</v>
      </c>
      <c r="Q59" s="2"/>
      <c r="R59" s="19">
        <f t="shared" si="56"/>
        <v>0</v>
      </c>
      <c r="S59" s="2"/>
      <c r="T59" s="2">
        <f>--5494.64</f>
        <v>5494.64</v>
      </c>
      <c r="U59" s="2"/>
      <c r="V59" s="19">
        <f t="shared" si="57"/>
        <v>0.27678198577766228</v>
      </c>
      <c r="W59" s="2"/>
      <c r="X59" s="2">
        <f t="shared" si="58"/>
        <v>-5494.64</v>
      </c>
      <c r="Y59" s="2"/>
      <c r="Z59" s="19">
        <f t="shared" si="59"/>
        <v>-1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8" t="s">
        <v>3</v>
      </c>
      <c r="C61" s="28"/>
      <c r="D61" s="20">
        <f>+D19-D21+D58</f>
        <v>-479.29</v>
      </c>
      <c r="E61" s="14"/>
      <c r="F61" s="22">
        <f>IF(D$12=0,0,D61/D$12)</f>
        <v>0</v>
      </c>
      <c r="G61" s="14"/>
      <c r="H61" s="20">
        <f>+H19-H21+H58</f>
        <v>-2030.96</v>
      </c>
      <c r="I61" s="14"/>
      <c r="J61" s="22">
        <f>IF(H$12=0,0,H61/H$12)</f>
        <v>0</v>
      </c>
      <c r="K61" s="15"/>
      <c r="L61" s="20">
        <f>+D61-H61</f>
        <v>1551.67</v>
      </c>
      <c r="M61" s="15"/>
      <c r="N61" s="22">
        <f>IF(H61=0,0,L61/H61)</f>
        <v>-0.76400815377949349</v>
      </c>
      <c r="O61" s="29"/>
      <c r="P61" s="20">
        <f>+P19-P21+P58</f>
        <v>-4259.88</v>
      </c>
      <c r="Q61" s="14"/>
      <c r="R61" s="22">
        <f>IF(P$12=0,0,P61/P$12)</f>
        <v>0</v>
      </c>
      <c r="S61" s="14"/>
      <c r="T61" s="20">
        <f>+T19-T21+T58</f>
        <v>-6970.0899999999992</v>
      </c>
      <c r="U61" s="14"/>
      <c r="V61" s="22">
        <f>IF(T$12=0,0,T61/T$12)</f>
        <v>-0.35110495887792936</v>
      </c>
      <c r="W61" s="15"/>
      <c r="X61" s="20">
        <f>+P61-T61</f>
        <v>2710.2099999999991</v>
      </c>
      <c r="Y61" s="15"/>
      <c r="Z61" s="22">
        <f>IF(T61=0,0,X61/T61)</f>
        <v>-0.38883429051848678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1"/>
      <c r="B63" s="10" t="s">
        <v>13</v>
      </c>
      <c r="C63" s="10"/>
      <c r="D63" s="4"/>
      <c r="E63" s="4"/>
      <c r="F63" s="12">
        <f>IF(D$12=0,0,D63/D$12)</f>
        <v>0</v>
      </c>
      <c r="G63" s="4"/>
      <c r="H63" s="4">
        <v>-73.88</v>
      </c>
      <c r="I63" s="4"/>
      <c r="J63" s="12">
        <f>IF(H$12=0,0,H63/H$12)</f>
        <v>0</v>
      </c>
      <c r="K63" s="4"/>
      <c r="L63" s="4">
        <f>+D63-H63</f>
        <v>73.88</v>
      </c>
      <c r="M63" s="4"/>
      <c r="N63" s="12">
        <f>IF(H63=0,0,L63/H63)</f>
        <v>-1</v>
      </c>
      <c r="O63" s="10"/>
      <c r="P63" s="4"/>
      <c r="Q63" s="4"/>
      <c r="R63" s="12">
        <f>IF(P$12=0,0,P63/P$12)</f>
        <v>0</v>
      </c>
      <c r="S63" s="4"/>
      <c r="T63" s="4">
        <v>2070.27</v>
      </c>
      <c r="U63" s="4"/>
      <c r="V63" s="12">
        <f>IF(T$12=0,0,T63/T$12)</f>
        <v>0.10428589346998546</v>
      </c>
      <c r="W63" s="4"/>
      <c r="X63" s="4">
        <f>+P63-T63</f>
        <v>-2070.27</v>
      </c>
      <c r="Y63" s="4"/>
      <c r="Z63" s="12">
        <f>IF(T63=0,0,X63/T63)</f>
        <v>-1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4</v>
      </c>
      <c r="C65" s="28"/>
      <c r="D65" s="30">
        <f>+D61-D63</f>
        <v>-479.29</v>
      </c>
      <c r="E65" s="14"/>
      <c r="F65" s="36">
        <f>IF(D$12=0,0,D65/D$12)</f>
        <v>0</v>
      </c>
      <c r="G65" s="14"/>
      <c r="H65" s="30">
        <f>+H61-H63</f>
        <v>-1957.08</v>
      </c>
      <c r="I65" s="14"/>
      <c r="J65" s="36">
        <f>IF(H$12=0,0,H65/H$12)</f>
        <v>0</v>
      </c>
      <c r="K65" s="15"/>
      <c r="L65" s="30">
        <f>D65-H65</f>
        <v>1477.79</v>
      </c>
      <c r="M65" s="15"/>
      <c r="N65" s="36">
        <f>IF(H65=0,0,L65/H65)</f>
        <v>-0.75509943385043021</v>
      </c>
      <c r="O65" s="29"/>
      <c r="P65" s="30">
        <f>+P61-P63</f>
        <v>-4259.88</v>
      </c>
      <c r="Q65" s="14"/>
      <c r="R65" s="36">
        <f>IF(P$12=0,0,P65/P$12)</f>
        <v>0</v>
      </c>
      <c r="S65" s="14"/>
      <c r="T65" s="30">
        <f>+T61-T63</f>
        <v>-9040.3599999999988</v>
      </c>
      <c r="U65" s="14"/>
      <c r="V65" s="36">
        <f>IF(T$12=0,0,T65/T$12)</f>
        <v>-0.45539085234791477</v>
      </c>
      <c r="W65" s="15"/>
      <c r="X65" s="30">
        <f>P65-T65</f>
        <v>4780.4799999999987</v>
      </c>
      <c r="Y65" s="15"/>
      <c r="Z65" s="36">
        <f>IF(T65=0,0,X65/T65)</f>
        <v>-0.52879310115968825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8" t="s">
        <v>5</v>
      </c>
      <c r="C68" s="28"/>
      <c r="D68" s="32">
        <f>SUM(D65:D67)</f>
        <v>-479.29</v>
      </c>
      <c r="E68" s="14"/>
      <c r="F68" s="31">
        <f>IF(D$12=0,0,D68/D$12)</f>
        <v>0</v>
      </c>
      <c r="G68" s="14"/>
      <c r="H68" s="32">
        <f>SUM(H65:H67)</f>
        <v>-1957.08</v>
      </c>
      <c r="I68" s="14"/>
      <c r="J68" s="31">
        <f>IF(H$12=0,0,H68/H$12)</f>
        <v>0</v>
      </c>
      <c r="K68" s="15"/>
      <c r="L68" s="32">
        <f>+D68-H68</f>
        <v>1477.79</v>
      </c>
      <c r="M68" s="15"/>
      <c r="N68" s="31">
        <f>IF(H68=0,0,L68/H68)</f>
        <v>-0.75509943385043021</v>
      </c>
      <c r="O68" s="29"/>
      <c r="P68" s="32">
        <f>SUM(P65:P67)</f>
        <v>-4259.88</v>
      </c>
      <c r="Q68" s="14"/>
      <c r="R68" s="31">
        <f>IF(P$12=0,0,P68/P$12)</f>
        <v>0</v>
      </c>
      <c r="S68" s="14"/>
      <c r="T68" s="32">
        <f>SUM(T65:T67)</f>
        <v>-9040.3599999999988</v>
      </c>
      <c r="U68" s="14"/>
      <c r="V68" s="31">
        <f>IF(T$12=0,0,T68/T$12)</f>
        <v>-0.45539085234791477</v>
      </c>
      <c r="W68" s="15"/>
      <c r="X68" s="32">
        <f>+P68-T68</f>
        <v>4780.4799999999987</v>
      </c>
      <c r="Y68" s="15"/>
      <c r="Z68" s="31">
        <f>IF(T68=0,0,X68/T68)</f>
        <v>-0.52879310115968825</v>
      </c>
    </row>
    <row r="69" spans="1:26" ht="15.75" thickTop="1" x14ac:dyDescent="0.25">
      <c r="A69" s="9"/>
      <c r="C69" s="9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A70" s="9"/>
      <c r="B70" s="62">
        <v>44238.496551157405</v>
      </c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9" t="s">
        <v>313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6"/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","425", " - ", "Events Center")</f>
        <v>Department 425 - Events Center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86744.7</v>
      </c>
      <c r="I12" s="4"/>
      <c r="J12" s="12"/>
      <c r="K12" s="4"/>
      <c r="L12" s="4">
        <f t="shared" ref="L12:L15" si="0">+D12-H12</f>
        <v>-86744.7</v>
      </c>
      <c r="M12" s="4"/>
      <c r="N12" s="12">
        <f t="shared" ref="N12:N15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289154.87</v>
      </c>
      <c r="U12" s="4"/>
      <c r="V12" s="12"/>
      <c r="W12" s="4"/>
      <c r="X12" s="4">
        <f t="shared" ref="X12:X15" si="2">+P12-T12</f>
        <v>-289154.87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5" si="4">0</f>
        <v>0</v>
      </c>
      <c r="E13" s="2"/>
      <c r="F13" s="19"/>
      <c r="G13" s="2"/>
      <c r="H13" s="2">
        <f>--77303.26</f>
        <v>77303.259999999995</v>
      </c>
      <c r="I13" s="2"/>
      <c r="J13" s="19"/>
      <c r="K13" s="2"/>
      <c r="L13" s="2">
        <f t="shared" si="0"/>
        <v>-77303.259999999995</v>
      </c>
      <c r="M13" s="2"/>
      <c r="N13" s="19">
        <f t="shared" si="1"/>
        <v>-1</v>
      </c>
      <c r="O13" s="11"/>
      <c r="P13" s="2">
        <f t="shared" ref="P13:P15" si="5">0</f>
        <v>0</v>
      </c>
      <c r="Q13" s="2"/>
      <c r="R13" s="19"/>
      <c r="S13" s="2"/>
      <c r="T13" s="2">
        <f>--213133.43</f>
        <v>213133.43</v>
      </c>
      <c r="U13" s="2"/>
      <c r="V13" s="19"/>
      <c r="W13" s="2"/>
      <c r="X13" s="2">
        <f t="shared" si="2"/>
        <v>-213133.43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 t="shared" si="4"/>
        <v>0</v>
      </c>
      <c r="E14" s="2"/>
      <c r="F14" s="19"/>
      <c r="G14" s="2"/>
      <c r="H14" s="2">
        <f>--9441.36</f>
        <v>9441.36</v>
      </c>
      <c r="I14" s="2"/>
      <c r="J14" s="19"/>
      <c r="K14" s="2"/>
      <c r="L14" s="2">
        <f t="shared" si="0"/>
        <v>-9441.36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--76021.36</f>
        <v>76021.36</v>
      </c>
      <c r="U14" s="2"/>
      <c r="V14" s="19"/>
      <c r="W14" s="2"/>
      <c r="X14" s="2">
        <f t="shared" si="2"/>
        <v>-76021.36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>
        <f>--0.08</f>
        <v>0.08</v>
      </c>
      <c r="I15" s="2"/>
      <c r="J15" s="19"/>
      <c r="K15" s="2"/>
      <c r="L15" s="2">
        <f t="shared" si="0"/>
        <v>-0.08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--0.08</f>
        <v>0.08</v>
      </c>
      <c r="U15" s="2"/>
      <c r="V15" s="19"/>
      <c r="W15" s="2"/>
      <c r="X15" s="2">
        <f t="shared" si="2"/>
        <v>-0.08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0</v>
      </c>
      <c r="E17" s="4"/>
      <c r="F17" s="12">
        <f t="shared" ref="F17:F19" si="6">IF(D$12=0,0,D17/D$12)</f>
        <v>0</v>
      </c>
      <c r="G17" s="4"/>
      <c r="H17" s="4">
        <f>SUM(OSRRefH16x_0)</f>
        <v>24761.41</v>
      </c>
      <c r="I17" s="4"/>
      <c r="J17" s="12">
        <f t="shared" ref="J17:J19" si="7">IF(H$12=0,0,H17/H$12)</f>
        <v>0.28545156072935868</v>
      </c>
      <c r="K17" s="4"/>
      <c r="L17" s="4">
        <f t="shared" ref="L17:L19" si="8">+D17-H17</f>
        <v>-24761.41</v>
      </c>
      <c r="M17" s="4"/>
      <c r="N17" s="12">
        <f t="shared" ref="N17:N19" si="9">IF(H17=0,0,L17/H17)</f>
        <v>-1</v>
      </c>
      <c r="O17" s="10"/>
      <c r="P17" s="4">
        <f>SUM(OSRRefP16x_0)</f>
        <v>0</v>
      </c>
      <c r="Q17" s="4"/>
      <c r="R17" s="12">
        <f t="shared" ref="R17:R19" si="10">IF(P$12=0,0,P17/P$12)</f>
        <v>0</v>
      </c>
      <c r="S17" s="4"/>
      <c r="T17" s="4">
        <f>SUM(OSRRefT16x_0)</f>
        <v>72997.58</v>
      </c>
      <c r="U17" s="4"/>
      <c r="V17" s="12">
        <f t="shared" ref="V17:V19" si="11">IF(T$12=0,0,T17/T$12)</f>
        <v>0.25245149770432712</v>
      </c>
      <c r="W17" s="4"/>
      <c r="X17" s="4">
        <f t="shared" ref="X17:X19" si="12">+P17-T17</f>
        <v>-72997.58</v>
      </c>
      <c r="Y17" s="4"/>
      <c r="Z17" s="12">
        <f t="shared" ref="Z17:Z19" si="13">IF(T17=0,0,X17/T17)</f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>
        <v>22213.41</v>
      </c>
      <c r="I18" s="2"/>
      <c r="J18" s="19">
        <f t="shared" si="7"/>
        <v>0.25607800822413357</v>
      </c>
      <c r="K18" s="2"/>
      <c r="L18" s="2">
        <f t="shared" si="8"/>
        <v>-22213.41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86661.58</v>
      </c>
      <c r="U18" s="2"/>
      <c r="V18" s="19">
        <f t="shared" si="11"/>
        <v>0.29970645142514807</v>
      </c>
      <c r="W18" s="2"/>
      <c r="X18" s="2">
        <f t="shared" si="12"/>
        <v>-86661.58</v>
      </c>
      <c r="Y18" s="2"/>
      <c r="Z18" s="19">
        <f t="shared" si="13"/>
        <v>-1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6"/>
        <v>0</v>
      </c>
      <c r="G19" s="2"/>
      <c r="H19" s="2">
        <v>2548</v>
      </c>
      <c r="I19" s="2"/>
      <c r="J19" s="19">
        <f t="shared" si="7"/>
        <v>2.9373552505225105E-2</v>
      </c>
      <c r="K19" s="2"/>
      <c r="L19" s="2">
        <f t="shared" si="8"/>
        <v>-2548</v>
      </c>
      <c r="M19" s="2"/>
      <c r="N19" s="19">
        <f t="shared" si="9"/>
        <v>-1</v>
      </c>
      <c r="O19" s="11"/>
      <c r="P19" s="2"/>
      <c r="Q19" s="2"/>
      <c r="R19" s="19">
        <f t="shared" si="10"/>
        <v>0</v>
      </c>
      <c r="S19" s="2"/>
      <c r="T19" s="2">
        <v>-13664</v>
      </c>
      <c r="U19" s="2"/>
      <c r="V19" s="19">
        <f t="shared" si="11"/>
        <v>-4.7254953720820961E-2</v>
      </c>
      <c r="W19" s="2"/>
      <c r="X19" s="2">
        <f t="shared" si="12"/>
        <v>13664</v>
      </c>
      <c r="Y19" s="2"/>
      <c r="Z19" s="19">
        <f t="shared" si="13"/>
        <v>-1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0</v>
      </c>
      <c r="E21" s="14"/>
      <c r="F21" s="22">
        <f>IF(D$12=0,0,D21/D$12)</f>
        <v>0</v>
      </c>
      <c r="G21" s="14"/>
      <c r="H21" s="20">
        <f>H12-H17</f>
        <v>61983.289999999994</v>
      </c>
      <c r="I21" s="14"/>
      <c r="J21" s="22">
        <f>IF(H$12=0,0,H21/H$12)</f>
        <v>0.71454843927064127</v>
      </c>
      <c r="K21" s="15"/>
      <c r="L21" s="20">
        <f>+D21-H21</f>
        <v>-61983.289999999994</v>
      </c>
      <c r="M21" s="15"/>
      <c r="N21" s="22">
        <f>IF(H21=0,0,L21/H21)</f>
        <v>-1</v>
      </c>
      <c r="O21" s="29"/>
      <c r="P21" s="20">
        <f>P12-P17</f>
        <v>0</v>
      </c>
      <c r="Q21" s="14"/>
      <c r="R21" s="22">
        <f>IF(P$12=0,0,P21/P$12)</f>
        <v>0</v>
      </c>
      <c r="S21" s="14"/>
      <c r="T21" s="20">
        <f>T12-T17</f>
        <v>216157.28999999998</v>
      </c>
      <c r="U21" s="14"/>
      <c r="V21" s="22">
        <f>IF(T$12=0,0,T21/T$12)</f>
        <v>0.74754850229567282</v>
      </c>
      <c r="W21" s="15"/>
      <c r="X21" s="20">
        <f>+P21-T21</f>
        <v>-216157.28999999998</v>
      </c>
      <c r="Y21" s="15"/>
      <c r="Z21" s="22">
        <f>IF(T21=0,0,X21/T21)</f>
        <v>-1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1">
        <f>SUM(OSRRefD22x_0)</f>
        <v>1000.91</v>
      </c>
      <c r="E23" s="21"/>
      <c r="F23" s="35">
        <f t="shared" ref="F23:F33" si="14">IF(D$12=0,0,D23/D$12)</f>
        <v>0</v>
      </c>
      <c r="G23" s="21"/>
      <c r="H23" s="21">
        <f>SUM(OSRRefH22x_0)</f>
        <v>56356.98</v>
      </c>
      <c r="I23" s="21"/>
      <c r="J23" s="35">
        <f t="shared" ref="J23:J33" si="15">IF(H$12=0,0,H23/H$12)</f>
        <v>0.64968787718442744</v>
      </c>
      <c r="K23" s="4"/>
      <c r="L23" s="21">
        <f t="shared" ref="L23:L33" si="16">+D23-H23</f>
        <v>-55356.07</v>
      </c>
      <c r="M23" s="4"/>
      <c r="N23" s="35">
        <f t="shared" ref="N23:N33" si="17">IF(H23=0,0,L23/H23)</f>
        <v>-0.98223982193510007</v>
      </c>
      <c r="O23" s="10"/>
      <c r="P23" s="21">
        <f>SUM(OSRRefP22x_0)</f>
        <v>10635.05</v>
      </c>
      <c r="Q23" s="21"/>
      <c r="R23" s="35">
        <f t="shared" ref="R23:R33" si="18">IF(P$12=0,0,P23/P$12)</f>
        <v>0</v>
      </c>
      <c r="S23" s="21"/>
      <c r="T23" s="21">
        <f>SUM(OSRRefT22x_0)</f>
        <v>228809.34</v>
      </c>
      <c r="U23" s="21"/>
      <c r="V23" s="35">
        <f t="shared" ref="V23:V33" si="19">IF(T$12=0,0,T23/T$12)</f>
        <v>0.79130377434071919</v>
      </c>
      <c r="W23" s="4"/>
      <c r="X23" s="21">
        <f t="shared" ref="X23:X33" si="20">+P23-T23</f>
        <v>-218174.29</v>
      </c>
      <c r="Y23" s="4"/>
      <c r="Z23" s="35">
        <f t="shared" ref="Z23:Z33" si="21">IF(T23=0,0,X23/T23)</f>
        <v>-0.95352003550204734</v>
      </c>
    </row>
    <row r="24" spans="1:26" s="26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4"/>
        <v>0</v>
      </c>
      <c r="G24" s="1"/>
      <c r="H24" s="1">
        <f>SUM(OSRRefH22_0x_0)</f>
        <v>4286.6099999999997</v>
      </c>
      <c r="I24" s="1"/>
      <c r="J24" s="5">
        <f t="shared" si="15"/>
        <v>4.941639085730886E-2</v>
      </c>
      <c r="K24" s="1"/>
      <c r="L24" s="1">
        <f t="shared" si="16"/>
        <v>-4286.6099999999997</v>
      </c>
      <c r="M24" s="1"/>
      <c r="N24" s="5">
        <f t="shared" si="17"/>
        <v>-1</v>
      </c>
      <c r="O24" s="13"/>
      <c r="P24" s="1">
        <f>SUM(OSRRefP22_0x_0)</f>
        <v>1420.5</v>
      </c>
      <c r="Q24" s="1"/>
      <c r="R24" s="5">
        <f t="shared" si="18"/>
        <v>0</v>
      </c>
      <c r="S24" s="1"/>
      <c r="T24" s="1">
        <f>SUM(OSRRefT22_0x_0)</f>
        <v>20873.149999999998</v>
      </c>
      <c r="U24" s="1"/>
      <c r="V24" s="5">
        <f t="shared" si="19"/>
        <v>7.2186748921088548E-2</v>
      </c>
      <c r="W24" s="1"/>
      <c r="X24" s="1">
        <f t="shared" si="20"/>
        <v>-19452.649999999998</v>
      </c>
      <c r="Y24" s="1"/>
      <c r="Z24" s="5">
        <f t="shared" si="21"/>
        <v>-0.93194606468118135</v>
      </c>
    </row>
    <row r="25" spans="1:26" s="24" customFormat="1" hidden="1" outlineLevel="2" x14ac:dyDescent="0.25">
      <c r="A25" s="25"/>
      <c r="B25" s="11" t="str">
        <f>CONCATENATE("          ", "6111", " - ", "F.I.C.A.")</f>
        <v xml:space="preserve">          6111 - F.I.C.A.</v>
      </c>
      <c r="C25" s="11"/>
      <c r="D25" s="6"/>
      <c r="E25" s="2"/>
      <c r="F25" s="7">
        <f t="shared" si="14"/>
        <v>0</v>
      </c>
      <c r="G25" s="2"/>
      <c r="H25" s="6">
        <v>1016.86</v>
      </c>
      <c r="I25" s="2"/>
      <c r="J25" s="7">
        <f t="shared" si="15"/>
        <v>1.1722445290605652E-2</v>
      </c>
      <c r="K25" s="2"/>
      <c r="L25" s="6">
        <f t="shared" si="16"/>
        <v>-1016.86</v>
      </c>
      <c r="M25" s="2"/>
      <c r="N25" s="7">
        <f t="shared" si="17"/>
        <v>-1</v>
      </c>
      <c r="O25" s="11"/>
      <c r="P25" s="6">
        <v>171.54</v>
      </c>
      <c r="Q25" s="2"/>
      <c r="R25" s="7">
        <f t="shared" si="18"/>
        <v>0</v>
      </c>
      <c r="S25" s="2"/>
      <c r="T25" s="6">
        <v>5172.04</v>
      </c>
      <c r="U25" s="2"/>
      <c r="V25" s="7">
        <f t="shared" si="19"/>
        <v>1.7886746987868473E-2</v>
      </c>
      <c r="W25" s="2"/>
      <c r="X25" s="6">
        <f t="shared" si="20"/>
        <v>-5000.5</v>
      </c>
      <c r="Y25" s="2"/>
      <c r="Z25" s="7">
        <f t="shared" si="21"/>
        <v>-0.9668332031461474</v>
      </c>
    </row>
    <row r="26" spans="1:26" s="24" customFormat="1" hidden="1" outlineLevel="2" x14ac:dyDescent="0.25">
      <c r="A26" s="25"/>
      <c r="B26" s="11" t="str">
        <f>CONCATENATE("          ", "6112", " - ", "COMPENSATION INSURANCE")</f>
        <v xml:space="preserve">          6112 - COMPENSATION INSURANCE</v>
      </c>
      <c r="C26" s="11"/>
      <c r="D26" s="6"/>
      <c r="E26" s="2"/>
      <c r="F26" s="7">
        <f t="shared" si="14"/>
        <v>0</v>
      </c>
      <c r="G26" s="2"/>
      <c r="H26" s="6">
        <v>794.26</v>
      </c>
      <c r="I26" s="2"/>
      <c r="J26" s="7">
        <f t="shared" si="15"/>
        <v>9.1562942750392819E-3</v>
      </c>
      <c r="K26" s="2"/>
      <c r="L26" s="6">
        <f t="shared" si="16"/>
        <v>-794.26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3240.55</v>
      </c>
      <c r="U26" s="2"/>
      <c r="V26" s="7">
        <f t="shared" si="19"/>
        <v>1.1206970161007492E-2</v>
      </c>
      <c r="W26" s="2"/>
      <c r="X26" s="6">
        <f t="shared" si="20"/>
        <v>-3240.55</v>
      </c>
      <c r="Y26" s="2"/>
      <c r="Z26" s="7">
        <f t="shared" si="21"/>
        <v>-1</v>
      </c>
    </row>
    <row r="27" spans="1:26" s="24" customFormat="1" hidden="1" outlineLevel="2" x14ac:dyDescent="0.25">
      <c r="A27" s="25"/>
      <c r="B27" s="11" t="str">
        <f>CONCATENATE("          ", "6113", " - ", "GROUP INSURANCE")</f>
        <v xml:space="preserve">          6113 - GROUP INSURANCE</v>
      </c>
      <c r="C27" s="11"/>
      <c r="D27" s="6"/>
      <c r="E27" s="2"/>
      <c r="F27" s="7">
        <f t="shared" si="14"/>
        <v>0</v>
      </c>
      <c r="G27" s="2"/>
      <c r="H27" s="6">
        <v>733.11</v>
      </c>
      <c r="I27" s="2"/>
      <c r="J27" s="7">
        <f t="shared" si="15"/>
        <v>8.4513520710775419E-3</v>
      </c>
      <c r="K27" s="2"/>
      <c r="L27" s="6">
        <f t="shared" si="16"/>
        <v>-733.11</v>
      </c>
      <c r="M27" s="2"/>
      <c r="N27" s="7">
        <f t="shared" si="17"/>
        <v>-1</v>
      </c>
      <c r="O27" s="11"/>
      <c r="P27" s="6">
        <v>699.3</v>
      </c>
      <c r="Q27" s="2"/>
      <c r="R27" s="7">
        <f t="shared" si="18"/>
        <v>0</v>
      </c>
      <c r="S27" s="2"/>
      <c r="T27" s="6">
        <v>4922.3100000000004</v>
      </c>
      <c r="U27" s="2"/>
      <c r="V27" s="7">
        <f t="shared" si="19"/>
        <v>1.7023092158191908E-2</v>
      </c>
      <c r="W27" s="2"/>
      <c r="X27" s="6">
        <f t="shared" si="20"/>
        <v>-4223.01</v>
      </c>
      <c r="Y27" s="2"/>
      <c r="Z27" s="7">
        <f t="shared" si="21"/>
        <v>-0.85793255605599805</v>
      </c>
    </row>
    <row r="28" spans="1:26" s="24" customFormat="1" hidden="1" outlineLevel="2" x14ac:dyDescent="0.25">
      <c r="A28" s="25"/>
      <c r="B28" s="11" t="str">
        <f>CONCATENATE("          ", "6114", " - ", "STATE UNEMPLOYMENT INSURANCE")</f>
        <v xml:space="preserve">          6114 - STATE UNEMPLOYMENT INSURANCE</v>
      </c>
      <c r="C28" s="11"/>
      <c r="D28" s="6"/>
      <c r="E28" s="2"/>
      <c r="F28" s="7">
        <f t="shared" si="14"/>
        <v>0</v>
      </c>
      <c r="G28" s="2"/>
      <c r="H28" s="6">
        <v>53.22</v>
      </c>
      <c r="I28" s="2"/>
      <c r="J28" s="7">
        <f t="shared" si="15"/>
        <v>6.1352451504241763E-4</v>
      </c>
      <c r="K28" s="2"/>
      <c r="L28" s="6">
        <f t="shared" si="16"/>
        <v>-53.22</v>
      </c>
      <c r="M28" s="2"/>
      <c r="N28" s="7">
        <f t="shared" si="17"/>
        <v>-1</v>
      </c>
      <c r="O28" s="11"/>
      <c r="P28" s="6"/>
      <c r="Q28" s="2"/>
      <c r="R28" s="7">
        <f t="shared" si="18"/>
        <v>0</v>
      </c>
      <c r="S28" s="2"/>
      <c r="T28" s="6">
        <v>290.60000000000002</v>
      </c>
      <c r="U28" s="2"/>
      <c r="V28" s="7">
        <f t="shared" si="19"/>
        <v>1.0049977716093802E-3</v>
      </c>
      <c r="W28" s="2"/>
      <c r="X28" s="6">
        <f t="shared" si="20"/>
        <v>-290.60000000000002</v>
      </c>
      <c r="Y28" s="2"/>
      <c r="Z28" s="7">
        <f t="shared" si="21"/>
        <v>-1</v>
      </c>
    </row>
    <row r="29" spans="1:26" s="24" customFormat="1" hidden="1" outlineLevel="2" x14ac:dyDescent="0.25">
      <c r="A29" s="25"/>
      <c r="B29" s="11" t="str">
        <f>CONCATENATE("          ", "6115", " - ", "P.E.R.S.")</f>
        <v xml:space="preserve">          6115 - P.E.R.S.</v>
      </c>
      <c r="C29" s="11"/>
      <c r="D29" s="6"/>
      <c r="E29" s="2"/>
      <c r="F29" s="7">
        <f t="shared" si="14"/>
        <v>0</v>
      </c>
      <c r="G29" s="2"/>
      <c r="H29" s="6">
        <v>481.48</v>
      </c>
      <c r="I29" s="2"/>
      <c r="J29" s="7">
        <f t="shared" si="15"/>
        <v>5.5505408399590984E-3</v>
      </c>
      <c r="K29" s="2"/>
      <c r="L29" s="6">
        <f t="shared" si="16"/>
        <v>-481.48</v>
      </c>
      <c r="M29" s="2"/>
      <c r="N29" s="7">
        <f t="shared" si="17"/>
        <v>-1</v>
      </c>
      <c r="O29" s="11"/>
      <c r="P29" s="6">
        <v>355.22</v>
      </c>
      <c r="Q29" s="2"/>
      <c r="R29" s="7">
        <f t="shared" si="18"/>
        <v>0</v>
      </c>
      <c r="S29" s="2"/>
      <c r="T29" s="6">
        <v>2407.42</v>
      </c>
      <c r="U29" s="2"/>
      <c r="V29" s="7">
        <f t="shared" si="19"/>
        <v>8.3257114085610942E-3</v>
      </c>
      <c r="W29" s="2"/>
      <c r="X29" s="6">
        <f t="shared" si="20"/>
        <v>-2052.1999999999998</v>
      </c>
      <c r="Y29" s="2"/>
      <c r="Z29" s="7">
        <f t="shared" si="21"/>
        <v>-0.85244784873432955</v>
      </c>
    </row>
    <row r="30" spans="1:26" s="24" customFormat="1" hidden="1" outlineLevel="2" x14ac:dyDescent="0.25">
      <c r="A30" s="25"/>
      <c r="B30" s="11" t="str">
        <f>CONCATENATE("          ", "6117", " - ", "RETIREMENT STAFF HOURLY")</f>
        <v xml:space="preserve">          6117 - RETIREMENT STAFF HOURLY</v>
      </c>
      <c r="C30" s="11"/>
      <c r="D30" s="6"/>
      <c r="E30" s="2"/>
      <c r="F30" s="7">
        <f t="shared" si="14"/>
        <v>0</v>
      </c>
      <c r="G30" s="2"/>
      <c r="H30" s="6">
        <v>109.98</v>
      </c>
      <c r="I30" s="2"/>
      <c r="J30" s="7">
        <f t="shared" si="15"/>
        <v>1.2678584397663489E-3</v>
      </c>
      <c r="K30" s="2"/>
      <c r="L30" s="6">
        <f t="shared" si="16"/>
        <v>-109.98</v>
      </c>
      <c r="M30" s="2"/>
      <c r="N30" s="7">
        <f t="shared" si="17"/>
        <v>-1</v>
      </c>
      <c r="O30" s="11"/>
      <c r="P30" s="6"/>
      <c r="Q30" s="2"/>
      <c r="R30" s="7">
        <f t="shared" si="18"/>
        <v>0</v>
      </c>
      <c r="S30" s="2"/>
      <c r="T30" s="6">
        <v>109.98</v>
      </c>
      <c r="U30" s="2"/>
      <c r="V30" s="7">
        <f t="shared" si="19"/>
        <v>3.8034981046661953E-4</v>
      </c>
      <c r="W30" s="2"/>
      <c r="X30" s="6">
        <f t="shared" si="20"/>
        <v>-109.98</v>
      </c>
      <c r="Y30" s="2"/>
      <c r="Z30" s="7">
        <f t="shared" si="21"/>
        <v>-1</v>
      </c>
    </row>
    <row r="31" spans="1:26" s="24" customFormat="1" hidden="1" outlineLevel="2" x14ac:dyDescent="0.25">
      <c r="A31" s="25"/>
      <c r="B31" s="11" t="str">
        <f>CONCATENATE("          ", "6118", " - ", "VACATION")</f>
        <v xml:space="preserve">          6118 - VACATION</v>
      </c>
      <c r="C31" s="11"/>
      <c r="D31" s="6"/>
      <c r="E31" s="2"/>
      <c r="F31" s="7">
        <f t="shared" si="14"/>
        <v>0</v>
      </c>
      <c r="G31" s="2"/>
      <c r="H31" s="6">
        <v>340.16</v>
      </c>
      <c r="I31" s="2"/>
      <c r="J31" s="7">
        <f t="shared" si="15"/>
        <v>3.9213923156112135E-3</v>
      </c>
      <c r="K31" s="2"/>
      <c r="L31" s="6">
        <f t="shared" si="16"/>
        <v>-340.16</v>
      </c>
      <c r="M31" s="2"/>
      <c r="N31" s="7">
        <f t="shared" si="17"/>
        <v>-1</v>
      </c>
      <c r="O31" s="11"/>
      <c r="P31" s="6">
        <v>88.46</v>
      </c>
      <c r="Q31" s="2"/>
      <c r="R31" s="7">
        <f t="shared" si="18"/>
        <v>0</v>
      </c>
      <c r="S31" s="2"/>
      <c r="T31" s="6">
        <v>1516.44</v>
      </c>
      <c r="U31" s="2"/>
      <c r="V31" s="7">
        <f t="shared" si="19"/>
        <v>5.2443868574649985E-3</v>
      </c>
      <c r="W31" s="2"/>
      <c r="X31" s="6">
        <f t="shared" si="20"/>
        <v>-1427.98</v>
      </c>
      <c r="Y31" s="2"/>
      <c r="Z31" s="7">
        <f t="shared" si="21"/>
        <v>-0.94166600722745375</v>
      </c>
    </row>
    <row r="32" spans="1:26" s="24" customFormat="1" hidden="1" outlineLevel="2" x14ac:dyDescent="0.25">
      <c r="A32" s="25"/>
      <c r="B32" s="11" t="str">
        <f>CONCATENATE("          ", "6119", " - ", "SICK LEAVE")</f>
        <v xml:space="preserve">          6119 - SICK LEAVE</v>
      </c>
      <c r="C32" s="11"/>
      <c r="D32" s="6"/>
      <c r="E32" s="2"/>
      <c r="F32" s="7">
        <f t="shared" si="14"/>
        <v>0</v>
      </c>
      <c r="G32" s="2"/>
      <c r="H32" s="6">
        <v>407.54</v>
      </c>
      <c r="I32" s="2"/>
      <c r="J32" s="7">
        <f t="shared" si="15"/>
        <v>4.6981544693796857E-3</v>
      </c>
      <c r="K32" s="2"/>
      <c r="L32" s="6">
        <f t="shared" si="16"/>
        <v>-407.54</v>
      </c>
      <c r="M32" s="2"/>
      <c r="N32" s="7">
        <f t="shared" si="17"/>
        <v>-1</v>
      </c>
      <c r="O32" s="11"/>
      <c r="P32" s="6">
        <v>105.98</v>
      </c>
      <c r="Q32" s="2"/>
      <c r="R32" s="7">
        <f t="shared" si="18"/>
        <v>0</v>
      </c>
      <c r="S32" s="2"/>
      <c r="T32" s="6">
        <v>1879.12</v>
      </c>
      <c r="U32" s="2"/>
      <c r="V32" s="7">
        <f t="shared" si="19"/>
        <v>6.4986628100021275E-3</v>
      </c>
      <c r="W32" s="2"/>
      <c r="X32" s="6">
        <f t="shared" si="20"/>
        <v>-1773.1399999999999</v>
      </c>
      <c r="Y32" s="2"/>
      <c r="Z32" s="7">
        <f t="shared" si="21"/>
        <v>-0.94360126016433221</v>
      </c>
    </row>
    <row r="33" spans="1:26" s="24" customFormat="1" hidden="1" outlineLevel="2" x14ac:dyDescent="0.25">
      <c r="A33" s="25"/>
      <c r="B33" s="11" t="str">
        <f>CONCATENATE("          ", "6156", " - ", "EMPLOYEE MEALS")</f>
        <v xml:space="preserve">          6156 - EMPLOYEE MEALS</v>
      </c>
      <c r="C33" s="11"/>
      <c r="D33" s="6"/>
      <c r="E33" s="2"/>
      <c r="F33" s="7">
        <f t="shared" si="14"/>
        <v>0</v>
      </c>
      <c r="G33" s="2"/>
      <c r="H33" s="6">
        <v>350</v>
      </c>
      <c r="I33" s="2"/>
      <c r="J33" s="7">
        <f t="shared" si="15"/>
        <v>4.0348286408276243E-3</v>
      </c>
      <c r="K33" s="2"/>
      <c r="L33" s="6">
        <f t="shared" si="16"/>
        <v>-350</v>
      </c>
      <c r="M33" s="2"/>
      <c r="N33" s="7">
        <f t="shared" si="17"/>
        <v>-1</v>
      </c>
      <c r="O33" s="11"/>
      <c r="P33" s="6"/>
      <c r="Q33" s="2"/>
      <c r="R33" s="7">
        <f t="shared" si="18"/>
        <v>0</v>
      </c>
      <c r="S33" s="2"/>
      <c r="T33" s="6">
        <v>1334.69</v>
      </c>
      <c r="U33" s="2"/>
      <c r="V33" s="7">
        <f t="shared" si="19"/>
        <v>4.615830955916461E-3</v>
      </c>
      <c r="W33" s="2"/>
      <c r="X33" s="6">
        <f t="shared" si="20"/>
        <v>-1334.69</v>
      </c>
      <c r="Y33" s="2"/>
      <c r="Z33" s="7">
        <f t="shared" si="21"/>
        <v>-1</v>
      </c>
    </row>
    <row r="34" spans="1:26" s="26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0</v>
      </c>
      <c r="E34" s="1"/>
      <c r="F34" s="5">
        <f t="shared" ref="F34:F40" si="22">IF(D$12=0,0,D34/D$12)</f>
        <v>0</v>
      </c>
      <c r="G34" s="1"/>
      <c r="H34" s="1">
        <f>SUM(OSRRefH22_1x_0)</f>
        <v>29033.409999999996</v>
      </c>
      <c r="I34" s="1"/>
      <c r="J34" s="5">
        <f t="shared" ref="J34:J40" si="23">IF(H$12=0,0,H34/H$12)</f>
        <v>0.33469952631111755</v>
      </c>
      <c r="K34" s="1"/>
      <c r="L34" s="1">
        <f t="shared" ref="L34:L40" si="24">+D34-H34</f>
        <v>-29033.409999999996</v>
      </c>
      <c r="M34" s="1"/>
      <c r="N34" s="5">
        <f t="shared" ref="N34:N40" si="25">IF(H34=0,0,L34/H34)</f>
        <v>-1</v>
      </c>
      <c r="O34" s="13"/>
      <c r="P34" s="1">
        <f>SUM(OSRRefP22_1x_0)</f>
        <v>1378.61</v>
      </c>
      <c r="Q34" s="1"/>
      <c r="R34" s="5">
        <f t="shared" ref="R34:R40" si="26">IF(P$12=0,0,P34/P$12)</f>
        <v>0</v>
      </c>
      <c r="S34" s="1"/>
      <c r="T34" s="1">
        <f>SUM(OSRRefT22_1x_0)</f>
        <v>97680.82</v>
      </c>
      <c r="U34" s="1"/>
      <c r="V34" s="5">
        <f t="shared" ref="V34:V40" si="27">IF(T$12=0,0,T34/T$12)</f>
        <v>0.33781488791802128</v>
      </c>
      <c r="W34" s="1"/>
      <c r="X34" s="1">
        <f t="shared" ref="X34:X40" si="28">+P34-T34</f>
        <v>-96302.21</v>
      </c>
      <c r="Y34" s="1"/>
      <c r="Z34" s="5">
        <f t="shared" ref="Z34:Z40" si="29">IF(T34=0,0,X34/T34)</f>
        <v>-0.9858865844901793</v>
      </c>
    </row>
    <row r="35" spans="1:26" s="24" customFormat="1" hidden="1" outlineLevel="2" x14ac:dyDescent="0.25">
      <c r="A35" s="25"/>
      <c r="B35" s="11" t="str">
        <f>CONCATENATE("          ", "6002", " - ", "STAFF SALARIES")</f>
        <v xml:space="preserve">          6002 - STAFF SALARIES</v>
      </c>
      <c r="C35" s="11"/>
      <c r="D35" s="6"/>
      <c r="E35" s="2"/>
      <c r="F35" s="7">
        <f t="shared" si="22"/>
        <v>0</v>
      </c>
      <c r="G35" s="2"/>
      <c r="H35" s="6">
        <v>5514.61</v>
      </c>
      <c r="I35" s="2"/>
      <c r="J35" s="7">
        <f t="shared" si="23"/>
        <v>6.3572875345698346E-2</v>
      </c>
      <c r="K35" s="2"/>
      <c r="L35" s="6">
        <f t="shared" si="24"/>
        <v>-5514.61</v>
      </c>
      <c r="M35" s="2"/>
      <c r="N35" s="7">
        <f t="shared" si="25"/>
        <v>-1</v>
      </c>
      <c r="O35" s="11"/>
      <c r="P35" s="6">
        <v>1378.61</v>
      </c>
      <c r="Q35" s="2"/>
      <c r="R35" s="7">
        <f t="shared" si="26"/>
        <v>0</v>
      </c>
      <c r="S35" s="2"/>
      <c r="T35" s="6">
        <v>34695.270000000004</v>
      </c>
      <c r="U35" s="2"/>
      <c r="V35" s="7">
        <f t="shared" si="27"/>
        <v>0.1199885376303709</v>
      </c>
      <c r="W35" s="2"/>
      <c r="X35" s="6">
        <f t="shared" si="28"/>
        <v>-33316.660000000003</v>
      </c>
      <c r="Y35" s="2"/>
      <c r="Z35" s="7">
        <f t="shared" si="29"/>
        <v>-0.96026518888597778</v>
      </c>
    </row>
    <row r="36" spans="1:26" s="24" customFormat="1" hidden="1" outlineLevel="2" x14ac:dyDescent="0.25">
      <c r="A36" s="25"/>
      <c r="B36" s="11" t="str">
        <f>CONCATENATE("          ", "6004", " - ", "STAFF HOURLY")</f>
        <v xml:space="preserve">          6004 - STAFF HOURLY</v>
      </c>
      <c r="C36" s="11"/>
      <c r="D36" s="6"/>
      <c r="E36" s="2"/>
      <c r="F36" s="7">
        <f t="shared" si="22"/>
        <v>0</v>
      </c>
      <c r="G36" s="2"/>
      <c r="H36" s="6">
        <v>3021.01</v>
      </c>
      <c r="I36" s="2"/>
      <c r="J36" s="7">
        <f t="shared" si="23"/>
        <v>3.4826450492076173E-2</v>
      </c>
      <c r="K36" s="2"/>
      <c r="L36" s="6">
        <f t="shared" si="24"/>
        <v>-3021.01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3021.01</v>
      </c>
      <c r="U36" s="2"/>
      <c r="V36" s="7">
        <f t="shared" si="27"/>
        <v>1.0447723048897638E-2</v>
      </c>
      <c r="W36" s="2"/>
      <c r="X36" s="6">
        <f t="shared" si="28"/>
        <v>-3021.01</v>
      </c>
      <c r="Y36" s="2"/>
      <c r="Z36" s="7">
        <f t="shared" si="29"/>
        <v>-1</v>
      </c>
    </row>
    <row r="37" spans="1:26" s="24" customFormat="1" hidden="1" outlineLevel="2" x14ac:dyDescent="0.25">
      <c r="A37" s="25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2"/>
        <v>0</v>
      </c>
      <c r="G37" s="2"/>
      <c r="H37" s="6">
        <v>6166.44</v>
      </c>
      <c r="I37" s="2"/>
      <c r="J37" s="7">
        <f t="shared" si="23"/>
        <v>7.1087224925557413E-2</v>
      </c>
      <c r="K37" s="2"/>
      <c r="L37" s="6">
        <f t="shared" si="24"/>
        <v>-6166.44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21627.31</v>
      </c>
      <c r="U37" s="2"/>
      <c r="V37" s="7">
        <f t="shared" si="27"/>
        <v>7.4794901431194993E-2</v>
      </c>
      <c r="W37" s="2"/>
      <c r="X37" s="6">
        <f t="shared" si="28"/>
        <v>-21627.31</v>
      </c>
      <c r="Y37" s="2"/>
      <c r="Z37" s="7">
        <f t="shared" si="29"/>
        <v>-1</v>
      </c>
    </row>
    <row r="38" spans="1:26" s="24" customFormat="1" hidden="1" outlineLevel="2" x14ac:dyDescent="0.25">
      <c r="A38" s="25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303.38</v>
      </c>
      <c r="U38" s="2"/>
      <c r="V38" s="7">
        <f t="shared" si="27"/>
        <v>1.049195540092408E-3</v>
      </c>
      <c r="W38" s="2"/>
      <c r="X38" s="6">
        <f t="shared" si="28"/>
        <v>-303.38</v>
      </c>
      <c r="Y38" s="2"/>
      <c r="Z38" s="7">
        <f t="shared" si="29"/>
        <v>-1</v>
      </c>
    </row>
    <row r="39" spans="1:26" s="24" customFormat="1" hidden="1" outlineLevel="2" x14ac:dyDescent="0.25">
      <c r="A39" s="25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2"/>
        <v>0</v>
      </c>
      <c r="G39" s="2"/>
      <c r="H39" s="6">
        <v>13577.35</v>
      </c>
      <c r="I39" s="2"/>
      <c r="J39" s="7">
        <f t="shared" si="23"/>
        <v>0.15652080184725983</v>
      </c>
      <c r="K39" s="2"/>
      <c r="L39" s="6">
        <f t="shared" si="24"/>
        <v>-13577.35</v>
      </c>
      <c r="M39" s="2"/>
      <c r="N39" s="7">
        <f t="shared" si="25"/>
        <v>-1</v>
      </c>
      <c r="O39" s="11"/>
      <c r="P39" s="6"/>
      <c r="Q39" s="2"/>
      <c r="R39" s="7">
        <f t="shared" si="26"/>
        <v>0</v>
      </c>
      <c r="S39" s="2"/>
      <c r="T39" s="6">
        <v>34084.85</v>
      </c>
      <c r="U39" s="2"/>
      <c r="V39" s="7">
        <f t="shared" si="27"/>
        <v>0.11787748897329656</v>
      </c>
      <c r="W39" s="2"/>
      <c r="X39" s="6">
        <f t="shared" si="28"/>
        <v>-34084.85</v>
      </c>
      <c r="Y39" s="2"/>
      <c r="Z39" s="7">
        <f t="shared" si="29"/>
        <v>-1</v>
      </c>
    </row>
    <row r="40" spans="1:26" s="24" customFormat="1" hidden="1" outlineLevel="2" x14ac:dyDescent="0.25">
      <c r="A40" s="25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2"/>
        <v>0</v>
      </c>
      <c r="G40" s="2"/>
      <c r="H40" s="6">
        <v>754</v>
      </c>
      <c r="I40" s="2"/>
      <c r="J40" s="7">
        <f t="shared" si="23"/>
        <v>8.6921737005257963E-3</v>
      </c>
      <c r="K40" s="2"/>
      <c r="L40" s="6">
        <f t="shared" si="24"/>
        <v>-754</v>
      </c>
      <c r="M40" s="2"/>
      <c r="N40" s="7">
        <f t="shared" si="25"/>
        <v>-1</v>
      </c>
      <c r="O40" s="11"/>
      <c r="P40" s="6"/>
      <c r="Q40" s="2"/>
      <c r="R40" s="7">
        <f t="shared" si="26"/>
        <v>0</v>
      </c>
      <c r="S40" s="2"/>
      <c r="T40" s="6">
        <v>3949</v>
      </c>
      <c r="U40" s="2"/>
      <c r="V40" s="7">
        <f t="shared" si="27"/>
        <v>1.3657041294168762E-2</v>
      </c>
      <c r="W40" s="2"/>
      <c r="X40" s="6">
        <f t="shared" si="28"/>
        <v>-3949</v>
      </c>
      <c r="Y40" s="2"/>
      <c r="Z40" s="7">
        <f t="shared" si="29"/>
        <v>-1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8" si="30">IF(D$12=0,0,D41/D$12)</f>
        <v>0</v>
      </c>
      <c r="G41" s="1"/>
      <c r="H41" s="1">
        <f>SUM(OSRRefH22_2x_0)</f>
        <v>91.97</v>
      </c>
      <c r="I41" s="1"/>
      <c r="J41" s="5">
        <f t="shared" ref="J41:J58" si="31">IF(H$12=0,0,H41/H$12)</f>
        <v>1.0602376859911902E-3</v>
      </c>
      <c r="K41" s="1"/>
      <c r="L41" s="1">
        <f t="shared" ref="L41:L58" si="32">+D41-H41</f>
        <v>-91.97</v>
      </c>
      <c r="M41" s="1"/>
      <c r="N41" s="5">
        <f t="shared" ref="N41:N58" si="33">IF(H41=0,0,L41/H41)</f>
        <v>-1</v>
      </c>
      <c r="O41" s="13"/>
      <c r="P41" s="1">
        <f>SUM(OSRRefP22_2x_0)</f>
        <v>0</v>
      </c>
      <c r="Q41" s="1"/>
      <c r="R41" s="5">
        <f t="shared" ref="R41:R58" si="34">IF(P$12=0,0,P41/P$12)</f>
        <v>0</v>
      </c>
      <c r="S41" s="1"/>
      <c r="T41" s="1">
        <f>SUM(OSRRefT22_2x_0)</f>
        <v>1868.45</v>
      </c>
      <c r="U41" s="1"/>
      <c r="V41" s="5">
        <f t="shared" ref="V41:V58" si="35">IF(T$12=0,0,T41/T$12)</f>
        <v>6.4617621691794441E-3</v>
      </c>
      <c r="W41" s="1"/>
      <c r="X41" s="1">
        <f t="shared" ref="X41:X58" si="36">+P41-T41</f>
        <v>-1868.45</v>
      </c>
      <c r="Y41" s="1"/>
      <c r="Z41" s="5">
        <f t="shared" ref="Z41:Z58" si="37">IF(T41=0,0,X41/T41)</f>
        <v>-1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30"/>
        <v>0</v>
      </c>
      <c r="G42" s="2"/>
      <c r="H42" s="6">
        <v>91.97</v>
      </c>
      <c r="I42" s="2"/>
      <c r="J42" s="7">
        <f t="shared" si="31"/>
        <v>1.0602376859911902E-3</v>
      </c>
      <c r="K42" s="2"/>
      <c r="L42" s="6">
        <f t="shared" si="32"/>
        <v>-91.97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1868.45</v>
      </c>
      <c r="U42" s="2"/>
      <c r="V42" s="7">
        <f t="shared" si="35"/>
        <v>6.4617621691794441E-3</v>
      </c>
      <c r="W42" s="2"/>
      <c r="X42" s="6">
        <f t="shared" si="36"/>
        <v>-1868.45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30"/>
        <v>0</v>
      </c>
      <c r="G43" s="1"/>
      <c r="H43" s="1">
        <f>SUM(OSRRefH22_3x_0)</f>
        <v>-180.04</v>
      </c>
      <c r="I43" s="1"/>
      <c r="J43" s="5">
        <f t="shared" si="31"/>
        <v>-2.07551585284173E-3</v>
      </c>
      <c r="K43" s="1"/>
      <c r="L43" s="1">
        <f t="shared" si="32"/>
        <v>180.04</v>
      </c>
      <c r="M43" s="1"/>
      <c r="N43" s="5">
        <f t="shared" si="33"/>
        <v>-1</v>
      </c>
      <c r="O43" s="13"/>
      <c r="P43" s="1">
        <f>SUM(OSRRefP22_3x_0)</f>
        <v>0</v>
      </c>
      <c r="Q43" s="1"/>
      <c r="R43" s="5">
        <f t="shared" si="34"/>
        <v>0</v>
      </c>
      <c r="S43" s="1"/>
      <c r="T43" s="1">
        <f>SUM(OSRRefT22_3x_0)</f>
        <v>-180.11</v>
      </c>
      <c r="U43" s="1"/>
      <c r="V43" s="5">
        <f t="shared" si="35"/>
        <v>-6.2288420042864924E-4</v>
      </c>
      <c r="W43" s="1"/>
      <c r="X43" s="1">
        <f t="shared" si="36"/>
        <v>180.11</v>
      </c>
      <c r="Y43" s="1"/>
      <c r="Z43" s="5">
        <f t="shared" si="37"/>
        <v>-1</v>
      </c>
    </row>
    <row r="44" spans="1:26" s="24" customFormat="1" hidden="1" outlineLevel="2" x14ac:dyDescent="0.25">
      <c r="A44" s="25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30"/>
        <v>0</v>
      </c>
      <c r="G44" s="2"/>
      <c r="H44" s="6">
        <v>-180.04</v>
      </c>
      <c r="I44" s="2"/>
      <c r="J44" s="7">
        <f t="shared" si="31"/>
        <v>-2.07551585284173E-3</v>
      </c>
      <c r="K44" s="2"/>
      <c r="L44" s="6">
        <f t="shared" si="32"/>
        <v>180.04</v>
      </c>
      <c r="M44" s="2"/>
      <c r="N44" s="7">
        <f t="shared" si="33"/>
        <v>-1</v>
      </c>
      <c r="O44" s="11"/>
      <c r="P44" s="6"/>
      <c r="Q44" s="2"/>
      <c r="R44" s="7">
        <f t="shared" si="34"/>
        <v>0</v>
      </c>
      <c r="S44" s="2"/>
      <c r="T44" s="6">
        <v>-180.11</v>
      </c>
      <c r="U44" s="2"/>
      <c r="V44" s="7">
        <f t="shared" si="35"/>
        <v>-6.2288420042864924E-4</v>
      </c>
      <c r="W44" s="2"/>
      <c r="X44" s="6">
        <f t="shared" si="36"/>
        <v>180.11</v>
      </c>
      <c r="Y44" s="2"/>
      <c r="Z44" s="7">
        <f t="shared" si="37"/>
        <v>-1</v>
      </c>
    </row>
    <row r="45" spans="1:26" s="26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0</v>
      </c>
      <c r="E45" s="1"/>
      <c r="F45" s="5">
        <f t="shared" si="30"/>
        <v>0</v>
      </c>
      <c r="G45" s="1"/>
      <c r="H45" s="1">
        <f>SUM(OSRRefH22_4x_0)</f>
        <v>1336.3</v>
      </c>
      <c r="I45" s="1"/>
      <c r="J45" s="5">
        <f t="shared" si="31"/>
        <v>1.5404975750679869E-2</v>
      </c>
      <c r="K45" s="1"/>
      <c r="L45" s="1">
        <f t="shared" si="32"/>
        <v>-1336.3</v>
      </c>
      <c r="M45" s="1"/>
      <c r="N45" s="5">
        <f t="shared" si="33"/>
        <v>-1</v>
      </c>
      <c r="O45" s="13"/>
      <c r="P45" s="1">
        <f>SUM(OSRRefP22_4x_0)</f>
        <v>0</v>
      </c>
      <c r="Q45" s="1"/>
      <c r="R45" s="5">
        <f t="shared" si="34"/>
        <v>0</v>
      </c>
      <c r="S45" s="1"/>
      <c r="T45" s="1">
        <f>SUM(OSRRefT22_4x_0)</f>
        <v>6127.13</v>
      </c>
      <c r="U45" s="1"/>
      <c r="V45" s="5">
        <f t="shared" si="35"/>
        <v>2.1189786635791401E-2</v>
      </c>
      <c r="W45" s="1"/>
      <c r="X45" s="1">
        <f t="shared" si="36"/>
        <v>-6127.13</v>
      </c>
      <c r="Y45" s="1"/>
      <c r="Z45" s="5">
        <f t="shared" si="37"/>
        <v>-1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30"/>
        <v>0</v>
      </c>
      <c r="G46" s="2"/>
      <c r="H46" s="6">
        <v>1336.3</v>
      </c>
      <c r="I46" s="2"/>
      <c r="J46" s="7">
        <f t="shared" si="31"/>
        <v>1.5404975750679869E-2</v>
      </c>
      <c r="K46" s="2"/>
      <c r="L46" s="6">
        <f t="shared" si="32"/>
        <v>-1336.3</v>
      </c>
      <c r="M46" s="2"/>
      <c r="N46" s="7">
        <f t="shared" si="33"/>
        <v>-1</v>
      </c>
      <c r="O46" s="11"/>
      <c r="P46" s="6"/>
      <c r="Q46" s="2"/>
      <c r="R46" s="7">
        <f t="shared" si="34"/>
        <v>0</v>
      </c>
      <c r="S46" s="2"/>
      <c r="T46" s="6">
        <v>6127.13</v>
      </c>
      <c r="U46" s="2"/>
      <c r="V46" s="7">
        <f t="shared" si="35"/>
        <v>2.1189786635791401E-2</v>
      </c>
      <c r="W46" s="2"/>
      <c r="X46" s="6">
        <f t="shared" si="36"/>
        <v>-6127.13</v>
      </c>
      <c r="Y46" s="2"/>
      <c r="Z46" s="7">
        <f t="shared" si="37"/>
        <v>-1</v>
      </c>
    </row>
    <row r="47" spans="1:26" s="26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1000.91</v>
      </c>
      <c r="E47" s="1"/>
      <c r="F47" s="5">
        <f t="shared" si="30"/>
        <v>0</v>
      </c>
      <c r="G47" s="1"/>
      <c r="H47" s="1">
        <f>SUM(OSRRefH22_5x_0)</f>
        <v>255.35</v>
      </c>
      <c r="I47" s="1"/>
      <c r="J47" s="5">
        <f t="shared" si="31"/>
        <v>2.9436956955295251E-3</v>
      </c>
      <c r="K47" s="1"/>
      <c r="L47" s="1">
        <f t="shared" si="32"/>
        <v>745.56</v>
      </c>
      <c r="M47" s="1"/>
      <c r="N47" s="5">
        <f t="shared" si="33"/>
        <v>2.9197571960054827</v>
      </c>
      <c r="O47" s="13"/>
      <c r="P47" s="1">
        <f>SUM(OSRRefP22_5x_0)</f>
        <v>7006.37</v>
      </c>
      <c r="Q47" s="1"/>
      <c r="R47" s="5">
        <f t="shared" si="34"/>
        <v>0</v>
      </c>
      <c r="S47" s="1"/>
      <c r="T47" s="1">
        <f>SUM(OSRRefT22_5x_0)</f>
        <v>1787.45</v>
      </c>
      <c r="U47" s="1"/>
      <c r="V47" s="5">
        <f t="shared" si="35"/>
        <v>6.1816354675264503E-3</v>
      </c>
      <c r="W47" s="1"/>
      <c r="X47" s="1">
        <f t="shared" si="36"/>
        <v>5218.92</v>
      </c>
      <c r="Y47" s="1"/>
      <c r="Z47" s="5">
        <f t="shared" si="37"/>
        <v>2.9197571960054827</v>
      </c>
    </row>
    <row r="48" spans="1:26" s="24" customFormat="1" hidden="1" outlineLevel="2" x14ac:dyDescent="0.25">
      <c r="A48" s="25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1000.91</v>
      </c>
      <c r="E48" s="2"/>
      <c r="F48" s="7">
        <f t="shared" si="30"/>
        <v>0</v>
      </c>
      <c r="G48" s="2"/>
      <c r="H48" s="6">
        <v>255.35</v>
      </c>
      <c r="I48" s="2"/>
      <c r="J48" s="7">
        <f t="shared" si="31"/>
        <v>2.9436956955295251E-3</v>
      </c>
      <c r="K48" s="2"/>
      <c r="L48" s="6">
        <f t="shared" si="32"/>
        <v>745.56</v>
      </c>
      <c r="M48" s="2"/>
      <c r="N48" s="7">
        <f t="shared" si="33"/>
        <v>2.9197571960054827</v>
      </c>
      <c r="O48" s="11"/>
      <c r="P48" s="6">
        <v>7006.37</v>
      </c>
      <c r="Q48" s="2"/>
      <c r="R48" s="7">
        <f t="shared" si="34"/>
        <v>0</v>
      </c>
      <c r="S48" s="2"/>
      <c r="T48" s="6">
        <v>1787.45</v>
      </c>
      <c r="U48" s="2"/>
      <c r="V48" s="7">
        <f t="shared" si="35"/>
        <v>6.1816354675264503E-3</v>
      </c>
      <c r="W48" s="2"/>
      <c r="X48" s="6">
        <f t="shared" si="36"/>
        <v>5218.92</v>
      </c>
      <c r="Y48" s="2"/>
      <c r="Z48" s="7">
        <f t="shared" si="37"/>
        <v>2.9197571960054827</v>
      </c>
    </row>
    <row r="49" spans="1:26" s="26" customFormat="1" outlineLevel="1" collapsed="1" x14ac:dyDescent="0.25">
      <c r="A49" s="27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SUM(OSRRefD22_6x_0)</f>
        <v>0</v>
      </c>
      <c r="E49" s="1"/>
      <c r="F49" s="5">
        <f t="shared" si="30"/>
        <v>0</v>
      </c>
      <c r="G49" s="1"/>
      <c r="H49" s="1">
        <f>SUM(OSRRefH22_6x_0)</f>
        <v>0</v>
      </c>
      <c r="I49" s="1"/>
      <c r="J49" s="5">
        <f t="shared" si="31"/>
        <v>0</v>
      </c>
      <c r="K49" s="1"/>
      <c r="L49" s="1">
        <f t="shared" si="32"/>
        <v>0</v>
      </c>
      <c r="M49" s="1"/>
      <c r="N49" s="5">
        <f t="shared" si="33"/>
        <v>0</v>
      </c>
      <c r="O49" s="13"/>
      <c r="P49" s="1">
        <f>SUM(OSRRefP22_6x_0)</f>
        <v>0</v>
      </c>
      <c r="Q49" s="1"/>
      <c r="R49" s="5">
        <f t="shared" si="34"/>
        <v>0</v>
      </c>
      <c r="S49" s="1"/>
      <c r="T49" s="1">
        <f>SUM(OSRRefT22_6x_0)</f>
        <v>118.6</v>
      </c>
      <c r="U49" s="1"/>
      <c r="V49" s="5">
        <f t="shared" si="35"/>
        <v>4.101608248894442E-4</v>
      </c>
      <c r="W49" s="1"/>
      <c r="X49" s="1">
        <f t="shared" si="36"/>
        <v>-118.6</v>
      </c>
      <c r="Y49" s="1"/>
      <c r="Z49" s="5">
        <f t="shared" si="37"/>
        <v>-1</v>
      </c>
    </row>
    <row r="50" spans="1:26" s="24" customFormat="1" hidden="1" outlineLevel="2" x14ac:dyDescent="0.25">
      <c r="A50" s="25"/>
      <c r="B50" s="11" t="str">
        <f>CONCATENATE("          ", "6277", " - ", "EMPLOYEE APPRECIATION")</f>
        <v xml:space="preserve">          6277 - EMPLOYEE APPRECIATION</v>
      </c>
      <c r="C50" s="11"/>
      <c r="D50" s="6"/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0</v>
      </c>
      <c r="M50" s="2"/>
      <c r="N50" s="7">
        <f t="shared" si="33"/>
        <v>0</v>
      </c>
      <c r="O50" s="11"/>
      <c r="P50" s="6"/>
      <c r="Q50" s="2"/>
      <c r="R50" s="7">
        <f t="shared" si="34"/>
        <v>0</v>
      </c>
      <c r="S50" s="2"/>
      <c r="T50" s="6">
        <v>118.6</v>
      </c>
      <c r="U50" s="2"/>
      <c r="V50" s="7">
        <f t="shared" si="35"/>
        <v>4.101608248894442E-4</v>
      </c>
      <c r="W50" s="2"/>
      <c r="X50" s="6">
        <f t="shared" si="36"/>
        <v>-118.6</v>
      </c>
      <c r="Y50" s="2"/>
      <c r="Z50" s="7">
        <f t="shared" si="37"/>
        <v>-1</v>
      </c>
    </row>
    <row r="51" spans="1:26" s="26" customFormat="1" outlineLevel="1" collapsed="1" x14ac:dyDescent="0.25">
      <c r="A51" s="27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SUM(OSRRefD22_7x_0)</f>
        <v>0</v>
      </c>
      <c r="E51" s="1"/>
      <c r="F51" s="5">
        <f t="shared" si="30"/>
        <v>0</v>
      </c>
      <c r="G51" s="1"/>
      <c r="H51" s="1">
        <f>SUM(OSRRefH22_7x_0)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3"/>
      <c r="P51" s="1">
        <f>SUM(OSRRefP22_7x_0)</f>
        <v>0</v>
      </c>
      <c r="Q51" s="1"/>
      <c r="R51" s="5">
        <f t="shared" si="34"/>
        <v>0</v>
      </c>
      <c r="S51" s="1"/>
      <c r="T51" s="1">
        <f>SUM(OSRRefT22_7x_0)</f>
        <v>350</v>
      </c>
      <c r="U51" s="1"/>
      <c r="V51" s="5">
        <f t="shared" si="35"/>
        <v>1.2104240194882418E-3</v>
      </c>
      <c r="W51" s="1"/>
      <c r="X51" s="1">
        <f t="shared" si="36"/>
        <v>-350</v>
      </c>
      <c r="Y51" s="1"/>
      <c r="Z51" s="5">
        <f t="shared" si="37"/>
        <v>-1</v>
      </c>
    </row>
    <row r="52" spans="1:26" s="24" customFormat="1" hidden="1" outlineLevel="2" x14ac:dyDescent="0.25">
      <c r="A52" s="25"/>
      <c r="B52" s="11" t="str">
        <f>CONCATENATE("          ", "6351", " - ", "EQUIPMENT RENTAL")</f>
        <v xml:space="preserve">          6351 - EQUIPMENT RENTAL</v>
      </c>
      <c r="C52" s="11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1"/>
      <c r="P52" s="6"/>
      <c r="Q52" s="2"/>
      <c r="R52" s="7">
        <f t="shared" si="34"/>
        <v>0</v>
      </c>
      <c r="S52" s="2"/>
      <c r="T52" s="6">
        <v>350</v>
      </c>
      <c r="U52" s="2"/>
      <c r="V52" s="7">
        <f t="shared" si="35"/>
        <v>1.2104240194882418E-3</v>
      </c>
      <c r="W52" s="2"/>
      <c r="X52" s="6">
        <f t="shared" si="36"/>
        <v>-350</v>
      </c>
      <c r="Y52" s="2"/>
      <c r="Z52" s="7">
        <f t="shared" si="37"/>
        <v>-1</v>
      </c>
    </row>
    <row r="53" spans="1:26" s="26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SUM(OSRRefD22_8x_0)</f>
        <v>0</v>
      </c>
      <c r="E53" s="1"/>
      <c r="F53" s="5">
        <f t="shared" si="30"/>
        <v>0</v>
      </c>
      <c r="G53" s="1"/>
      <c r="H53" s="1">
        <f>SUM(OSRRefH22_8x_0)</f>
        <v>2406.8000000000002</v>
      </c>
      <c r="I53" s="1"/>
      <c r="J53" s="5">
        <f t="shared" si="31"/>
        <v>2.7745787350696934E-2</v>
      </c>
      <c r="K53" s="1"/>
      <c r="L53" s="1">
        <f t="shared" si="32"/>
        <v>-2406.8000000000002</v>
      </c>
      <c r="M53" s="1"/>
      <c r="N53" s="5">
        <f t="shared" si="33"/>
        <v>-1</v>
      </c>
      <c r="O53" s="13"/>
      <c r="P53" s="1">
        <f>SUM(OSRRefP22_8x_0)</f>
        <v>455</v>
      </c>
      <c r="Q53" s="1"/>
      <c r="R53" s="5">
        <f t="shared" si="34"/>
        <v>0</v>
      </c>
      <c r="S53" s="1"/>
      <c r="T53" s="1">
        <f>SUM(OSRRefT22_8x_0)</f>
        <v>14920.24</v>
      </c>
      <c r="U53" s="1"/>
      <c r="V53" s="5">
        <f t="shared" si="35"/>
        <v>5.1599476778654979E-2</v>
      </c>
      <c r="W53" s="1"/>
      <c r="X53" s="1">
        <f t="shared" si="36"/>
        <v>-14465.24</v>
      </c>
      <c r="Y53" s="1"/>
      <c r="Z53" s="5">
        <f t="shared" si="37"/>
        <v>-0.96950451199176424</v>
      </c>
    </row>
    <row r="54" spans="1:26" s="24" customFormat="1" hidden="1" outlineLevel="2" x14ac:dyDescent="0.25">
      <c r="A54" s="25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30"/>
        <v>0</v>
      </c>
      <c r="G54" s="2"/>
      <c r="H54" s="6">
        <v>2406.8000000000002</v>
      </c>
      <c r="I54" s="2"/>
      <c r="J54" s="7">
        <f t="shared" si="31"/>
        <v>2.7745787350696934E-2</v>
      </c>
      <c r="K54" s="2"/>
      <c r="L54" s="6">
        <f t="shared" si="32"/>
        <v>-2406.8000000000002</v>
      </c>
      <c r="M54" s="2"/>
      <c r="N54" s="7">
        <f t="shared" si="33"/>
        <v>-1</v>
      </c>
      <c r="O54" s="11"/>
      <c r="P54" s="6">
        <v>455</v>
      </c>
      <c r="Q54" s="2"/>
      <c r="R54" s="7">
        <f t="shared" si="34"/>
        <v>0</v>
      </c>
      <c r="S54" s="2"/>
      <c r="T54" s="6">
        <v>14920.24</v>
      </c>
      <c r="U54" s="2"/>
      <c r="V54" s="7">
        <f t="shared" si="35"/>
        <v>5.1599476778654979E-2</v>
      </c>
      <c r="W54" s="2"/>
      <c r="X54" s="6">
        <f t="shared" si="36"/>
        <v>-14465.24</v>
      </c>
      <c r="Y54" s="2"/>
      <c r="Z54" s="7">
        <f t="shared" si="37"/>
        <v>-0.96950451199176424</v>
      </c>
    </row>
    <row r="55" spans="1:26" s="26" customFormat="1" outlineLevel="1" collapsed="1" x14ac:dyDescent="0.25">
      <c r="A55" s="27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SUM(OSRRefD22_9x_0)</f>
        <v>0</v>
      </c>
      <c r="E55" s="1"/>
      <c r="F55" s="5">
        <f t="shared" si="30"/>
        <v>0</v>
      </c>
      <c r="G55" s="1"/>
      <c r="H55" s="1">
        <f>SUM(OSRRefH22_9x_0)</f>
        <v>0</v>
      </c>
      <c r="I55" s="1"/>
      <c r="J55" s="5">
        <f t="shared" si="31"/>
        <v>0</v>
      </c>
      <c r="K55" s="1"/>
      <c r="L55" s="1">
        <f t="shared" si="32"/>
        <v>0</v>
      </c>
      <c r="M55" s="1"/>
      <c r="N55" s="5">
        <f t="shared" si="33"/>
        <v>0</v>
      </c>
      <c r="O55" s="13"/>
      <c r="P55" s="1">
        <f>SUM(OSRRefP22_9x_0)</f>
        <v>242.03</v>
      </c>
      <c r="Q55" s="1"/>
      <c r="R55" s="5">
        <f t="shared" si="34"/>
        <v>0</v>
      </c>
      <c r="S55" s="1"/>
      <c r="T55" s="1">
        <f>SUM(OSRRefT22_9x_0)</f>
        <v>5381.05</v>
      </c>
      <c r="U55" s="1"/>
      <c r="V55" s="5">
        <f t="shared" si="35"/>
        <v>1.8609577628763439E-2</v>
      </c>
      <c r="W55" s="1"/>
      <c r="X55" s="1">
        <f t="shared" si="36"/>
        <v>-5139.0200000000004</v>
      </c>
      <c r="Y55" s="1"/>
      <c r="Z55" s="5">
        <f t="shared" si="37"/>
        <v>-0.95502178942771399</v>
      </c>
    </row>
    <row r="56" spans="1:26" s="24" customFormat="1" hidden="1" outlineLevel="2" x14ac:dyDescent="0.25">
      <c r="A56" s="25"/>
      <c r="B56" s="11" t="str">
        <f>CONCATENATE("          ", "6371", " - ", "COMPUTER SOFTWARE MAINTENANCE")</f>
        <v xml:space="preserve">          6371 - COMPUTER SOFTWARE MAINTENANCE</v>
      </c>
      <c r="C56" s="11"/>
      <c r="D56" s="6"/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0</v>
      </c>
      <c r="M56" s="2"/>
      <c r="N56" s="7">
        <f t="shared" si="33"/>
        <v>0</v>
      </c>
      <c r="O56" s="11"/>
      <c r="P56" s="6"/>
      <c r="Q56" s="2"/>
      <c r="R56" s="7">
        <f t="shared" si="34"/>
        <v>0</v>
      </c>
      <c r="S56" s="2"/>
      <c r="T56" s="6">
        <v>2623.84</v>
      </c>
      <c r="U56" s="2"/>
      <c r="V56" s="7">
        <f t="shared" si="35"/>
        <v>9.0741684551257952E-3</v>
      </c>
      <c r="W56" s="2"/>
      <c r="X56" s="6">
        <f t="shared" si="36"/>
        <v>-2623.84</v>
      </c>
      <c r="Y56" s="2"/>
      <c r="Z56" s="7">
        <f t="shared" si="37"/>
        <v>-1</v>
      </c>
    </row>
    <row r="57" spans="1:26" s="24" customFormat="1" hidden="1" outlineLevel="2" x14ac:dyDescent="0.25">
      <c r="A57" s="25"/>
      <c r="B57" s="11" t="str">
        <f>CONCATENATE("          ", "6373", " - ", "MAINTENANCE CONTRACTS")</f>
        <v xml:space="preserve">          6373 - MAINTENANCE CONTRACTS</v>
      </c>
      <c r="C57" s="11"/>
      <c r="D57" s="6"/>
      <c r="E57" s="2"/>
      <c r="F57" s="7">
        <f t="shared" si="30"/>
        <v>0</v>
      </c>
      <c r="G57" s="2"/>
      <c r="H57" s="6"/>
      <c r="I57" s="2"/>
      <c r="J57" s="7">
        <f t="shared" si="31"/>
        <v>0</v>
      </c>
      <c r="K57" s="2"/>
      <c r="L57" s="6">
        <f t="shared" si="32"/>
        <v>0</v>
      </c>
      <c r="M57" s="2"/>
      <c r="N57" s="7">
        <f t="shared" si="33"/>
        <v>0</v>
      </c>
      <c r="O57" s="11"/>
      <c r="P57" s="6">
        <v>235.8</v>
      </c>
      <c r="Q57" s="2"/>
      <c r="R57" s="7">
        <f t="shared" si="34"/>
        <v>0</v>
      </c>
      <c r="S57" s="2"/>
      <c r="T57" s="6">
        <v>573</v>
      </c>
      <c r="U57" s="2"/>
      <c r="V57" s="7">
        <f t="shared" si="35"/>
        <v>1.9816370376193214E-3</v>
      </c>
      <c r="W57" s="2"/>
      <c r="X57" s="6">
        <f t="shared" si="36"/>
        <v>-337.2</v>
      </c>
      <c r="Y57" s="2"/>
      <c r="Z57" s="7">
        <f t="shared" si="37"/>
        <v>-0.58848167539267016</v>
      </c>
    </row>
    <row r="58" spans="1:26" s="24" customFormat="1" hidden="1" outlineLevel="2" x14ac:dyDescent="0.25">
      <c r="A58" s="25"/>
      <c r="B58" s="11" t="str">
        <f>CONCATENATE("          ", "6375", " - ", "OUTSIDE REPAIRS &amp; MAINTENANCE")</f>
        <v xml:space="preserve">          6375 - OUTSIDE REPAIRS &amp; MAINTENANCE</v>
      </c>
      <c r="C58" s="11"/>
      <c r="D58" s="6"/>
      <c r="E58" s="2"/>
      <c r="F58" s="7">
        <f t="shared" si="30"/>
        <v>0</v>
      </c>
      <c r="G58" s="2"/>
      <c r="H58" s="6"/>
      <c r="I58" s="2"/>
      <c r="J58" s="7">
        <f t="shared" si="31"/>
        <v>0</v>
      </c>
      <c r="K58" s="2"/>
      <c r="L58" s="6">
        <f t="shared" si="32"/>
        <v>0</v>
      </c>
      <c r="M58" s="2"/>
      <c r="N58" s="7">
        <f t="shared" si="33"/>
        <v>0</v>
      </c>
      <c r="O58" s="11"/>
      <c r="P58" s="6">
        <v>6.23</v>
      </c>
      <c r="Q58" s="2"/>
      <c r="R58" s="7">
        <f t="shared" si="34"/>
        <v>0</v>
      </c>
      <c r="S58" s="2"/>
      <c r="T58" s="6">
        <v>2184.21</v>
      </c>
      <c r="U58" s="2"/>
      <c r="V58" s="7">
        <f t="shared" si="35"/>
        <v>7.5537721360183219E-3</v>
      </c>
      <c r="W58" s="2"/>
      <c r="X58" s="6">
        <f t="shared" si="36"/>
        <v>-2177.98</v>
      </c>
      <c r="Y58" s="2"/>
      <c r="Z58" s="7">
        <f t="shared" si="37"/>
        <v>-0.99714771015607473</v>
      </c>
    </row>
    <row r="59" spans="1:26" s="26" customFormat="1" outlineLevel="1" collapsed="1" x14ac:dyDescent="0.25">
      <c r="A59" s="27"/>
      <c r="B59" s="13" t="str">
        <f>CONCATENATE("     ","Royalty &amp; Commissions                             ")</f>
        <v xml:space="preserve">     Royalty &amp; Commissions                             </v>
      </c>
      <c r="C59" s="13"/>
      <c r="D59" s="1">
        <f>SUM(OSRRefD22_10x_0)</f>
        <v>0</v>
      </c>
      <c r="E59" s="1"/>
      <c r="F59" s="5">
        <f t="shared" ref="F59:F63" si="38">IF(D$12=0,0,D59/D$12)</f>
        <v>0</v>
      </c>
      <c r="G59" s="1"/>
      <c r="H59" s="1">
        <f>SUM(OSRRefH22_10x_0)</f>
        <v>17641.37</v>
      </c>
      <c r="I59" s="1"/>
      <c r="J59" s="5">
        <f t="shared" ref="J59:J63" si="39">IF(H$12=0,0,H59/H$12)</f>
        <v>0.20337115696982064</v>
      </c>
      <c r="K59" s="1"/>
      <c r="L59" s="1">
        <f t="shared" ref="L59:L63" si="40">+D59-H59</f>
        <v>-17641.37</v>
      </c>
      <c r="M59" s="1"/>
      <c r="N59" s="5">
        <f t="shared" ref="N59:N63" si="41">IF(H59=0,0,L59/H59)</f>
        <v>-1</v>
      </c>
      <c r="O59" s="13"/>
      <c r="P59" s="1">
        <f>SUM(OSRRefP22_10x_0)</f>
        <v>0</v>
      </c>
      <c r="Q59" s="1"/>
      <c r="R59" s="5">
        <f t="shared" ref="R59:R63" si="42">IF(P$12=0,0,P59/P$12)</f>
        <v>0</v>
      </c>
      <c r="S59" s="1"/>
      <c r="T59" s="1">
        <f>SUM(OSRRefT22_10x_0)</f>
        <v>61679.239999999991</v>
      </c>
      <c r="U59" s="1"/>
      <c r="V59" s="5">
        <f t="shared" ref="V59:V63" si="43">IF(T$12=0,0,T59/T$12)</f>
        <v>0.21330866742794266</v>
      </c>
      <c r="W59" s="1"/>
      <c r="X59" s="1">
        <f t="shared" ref="X59:X63" si="44">+P59-T59</f>
        <v>-61679.239999999991</v>
      </c>
      <c r="Y59" s="1"/>
      <c r="Z59" s="5">
        <f t="shared" ref="Z59:Z63" si="45">IF(T59=0,0,X59/T59)</f>
        <v>-1</v>
      </c>
    </row>
    <row r="60" spans="1:26" s="24" customFormat="1" hidden="1" outlineLevel="2" x14ac:dyDescent="0.25">
      <c r="A60" s="25"/>
      <c r="B60" s="11" t="str">
        <f>CONCATENATE("          ", "6254", " - ", "ROYALTY &amp; COMMISSIONS")</f>
        <v xml:space="preserve">          6254 - ROYALTY &amp; COMMISSIONS</v>
      </c>
      <c r="C60" s="11"/>
      <c r="D60" s="6"/>
      <c r="E60" s="2"/>
      <c r="F60" s="7">
        <f t="shared" si="38"/>
        <v>0</v>
      </c>
      <c r="G60" s="2"/>
      <c r="H60" s="6">
        <v>17641.37</v>
      </c>
      <c r="I60" s="2"/>
      <c r="J60" s="7">
        <f t="shared" si="39"/>
        <v>0.20337115696982064</v>
      </c>
      <c r="K60" s="2"/>
      <c r="L60" s="6">
        <f t="shared" si="40"/>
        <v>-17641.37</v>
      </c>
      <c r="M60" s="2"/>
      <c r="N60" s="7">
        <f t="shared" si="41"/>
        <v>-1</v>
      </c>
      <c r="O60" s="11"/>
      <c r="P60" s="6"/>
      <c r="Q60" s="2"/>
      <c r="R60" s="7">
        <f t="shared" si="42"/>
        <v>0</v>
      </c>
      <c r="S60" s="2"/>
      <c r="T60" s="6">
        <v>61679.239999999991</v>
      </c>
      <c r="U60" s="2"/>
      <c r="V60" s="7">
        <f t="shared" si="43"/>
        <v>0.21330866742794266</v>
      </c>
      <c r="W60" s="2"/>
      <c r="X60" s="6">
        <f t="shared" si="44"/>
        <v>-61679.239999999991</v>
      </c>
      <c r="Y60" s="2"/>
      <c r="Z60" s="7">
        <f t="shared" si="45"/>
        <v>-1</v>
      </c>
    </row>
    <row r="61" spans="1:26" s="26" customFormat="1" outlineLevel="1" collapsed="1" x14ac:dyDescent="0.25">
      <c r="A61" s="27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SUM(OSRRefD22_11x_0)</f>
        <v>0</v>
      </c>
      <c r="E61" s="1"/>
      <c r="F61" s="5">
        <f t="shared" si="38"/>
        <v>0</v>
      </c>
      <c r="G61" s="1"/>
      <c r="H61" s="1">
        <f>SUM(OSRRefH22_11x_0)</f>
        <v>307.06</v>
      </c>
      <c r="I61" s="1"/>
      <c r="J61" s="5">
        <f t="shared" si="39"/>
        <v>3.5398128070072295E-3</v>
      </c>
      <c r="K61" s="1"/>
      <c r="L61" s="1">
        <f t="shared" si="40"/>
        <v>-307.06</v>
      </c>
      <c r="M61" s="1"/>
      <c r="N61" s="5">
        <f t="shared" si="41"/>
        <v>-1</v>
      </c>
      <c r="O61" s="13"/>
      <c r="P61" s="1">
        <f>SUM(OSRRefP22_11x_0)</f>
        <v>0</v>
      </c>
      <c r="Q61" s="1"/>
      <c r="R61" s="5">
        <f t="shared" si="42"/>
        <v>0</v>
      </c>
      <c r="S61" s="1"/>
      <c r="T61" s="1">
        <f>SUM(OSRRefT22_11x_0)</f>
        <v>2188.34</v>
      </c>
      <c r="U61" s="1"/>
      <c r="V61" s="5">
        <f t="shared" si="43"/>
        <v>7.5680551394482834E-3</v>
      </c>
      <c r="W61" s="1"/>
      <c r="X61" s="1">
        <f t="shared" si="44"/>
        <v>-2188.34</v>
      </c>
      <c r="Y61" s="1"/>
      <c r="Z61" s="5">
        <f t="shared" si="45"/>
        <v>-1</v>
      </c>
    </row>
    <row r="62" spans="1:26" s="24" customFormat="1" hidden="1" outlineLevel="2" x14ac:dyDescent="0.25">
      <c r="A62" s="25"/>
      <c r="B62" s="11" t="str">
        <f>CONCATENATE("          ", "6282", " - ", "JANITORIAL/EXTERMINATOR EXPENS")</f>
        <v xml:space="preserve">          6282 - JANITORIAL/EXTERMINATOR EXPENS</v>
      </c>
      <c r="C62" s="11"/>
      <c r="D62" s="6"/>
      <c r="E62" s="2"/>
      <c r="F62" s="7">
        <f t="shared" si="38"/>
        <v>0</v>
      </c>
      <c r="G62" s="2"/>
      <c r="H62" s="6">
        <v>225.81</v>
      </c>
      <c r="I62" s="2"/>
      <c r="J62" s="7">
        <f t="shared" si="39"/>
        <v>2.6031561582436739E-3</v>
      </c>
      <c r="K62" s="2"/>
      <c r="L62" s="6">
        <f t="shared" si="40"/>
        <v>-225.81</v>
      </c>
      <c r="M62" s="2"/>
      <c r="N62" s="7">
        <f t="shared" si="41"/>
        <v>-1</v>
      </c>
      <c r="O62" s="11"/>
      <c r="P62" s="6"/>
      <c r="Q62" s="2"/>
      <c r="R62" s="7">
        <f t="shared" si="42"/>
        <v>0</v>
      </c>
      <c r="S62" s="2"/>
      <c r="T62" s="6">
        <v>1806.48</v>
      </c>
      <c r="U62" s="2"/>
      <c r="V62" s="7">
        <f t="shared" si="43"/>
        <v>6.2474479506431967E-3</v>
      </c>
      <c r="W62" s="2"/>
      <c r="X62" s="6">
        <f t="shared" si="44"/>
        <v>-1806.48</v>
      </c>
      <c r="Y62" s="2"/>
      <c r="Z62" s="7">
        <f t="shared" si="45"/>
        <v>-1</v>
      </c>
    </row>
    <row r="63" spans="1:26" s="24" customFormat="1" hidden="1" outlineLevel="2" x14ac:dyDescent="0.25">
      <c r="A63" s="25"/>
      <c r="B63" s="11" t="str">
        <f>CONCATENATE("          ", "6286", " - ", "LAUNDRY EXPENSE")</f>
        <v xml:space="preserve">          6286 - LAUNDRY EXPENSE</v>
      </c>
      <c r="C63" s="11"/>
      <c r="D63" s="6"/>
      <c r="E63" s="2"/>
      <c r="F63" s="7">
        <f t="shared" si="38"/>
        <v>0</v>
      </c>
      <c r="G63" s="2"/>
      <c r="H63" s="6">
        <v>81.25</v>
      </c>
      <c r="I63" s="2"/>
      <c r="J63" s="7">
        <f t="shared" si="39"/>
        <v>9.3665664876355558E-4</v>
      </c>
      <c r="K63" s="2"/>
      <c r="L63" s="6">
        <f t="shared" si="40"/>
        <v>-81.25</v>
      </c>
      <c r="M63" s="2"/>
      <c r="N63" s="7">
        <f t="shared" si="41"/>
        <v>-1</v>
      </c>
      <c r="O63" s="11"/>
      <c r="P63" s="6"/>
      <c r="Q63" s="2"/>
      <c r="R63" s="7">
        <f t="shared" si="42"/>
        <v>0</v>
      </c>
      <c r="S63" s="2"/>
      <c r="T63" s="6">
        <v>381.86</v>
      </c>
      <c r="U63" s="2"/>
      <c r="V63" s="7">
        <f t="shared" si="43"/>
        <v>1.3206071888050858E-3</v>
      </c>
      <c r="W63" s="2"/>
      <c r="X63" s="6">
        <f t="shared" si="44"/>
        <v>-381.86</v>
      </c>
      <c r="Y63" s="2"/>
      <c r="Z63" s="7">
        <f t="shared" si="45"/>
        <v>-1</v>
      </c>
    </row>
    <row r="64" spans="1:26" s="26" customFormat="1" outlineLevel="1" collapsed="1" x14ac:dyDescent="0.25">
      <c r="A64" s="27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SUM(OSRRefD22_12x_0)</f>
        <v>0</v>
      </c>
      <c r="E64" s="1"/>
      <c r="F64" s="5">
        <f t="shared" ref="F64:F71" si="46">IF(D$12=0,0,D64/D$12)</f>
        <v>0</v>
      </c>
      <c r="G64" s="1"/>
      <c r="H64" s="1">
        <f>SUM(OSRRefH22_12x_0)</f>
        <v>865.04</v>
      </c>
      <c r="I64" s="1"/>
      <c r="J64" s="5">
        <f t="shared" ref="J64:J71" si="47">IF(H$12=0,0,H64/H$12)</f>
        <v>9.9722519070329363E-3</v>
      </c>
      <c r="K64" s="1"/>
      <c r="L64" s="1">
        <f t="shared" ref="L64:L71" si="48">+D64-H64</f>
        <v>-865.04</v>
      </c>
      <c r="M64" s="1"/>
      <c r="N64" s="5">
        <f t="shared" ref="N64:N71" si="49">IF(H64=0,0,L64/H64)</f>
        <v>-1</v>
      </c>
      <c r="O64" s="13"/>
      <c r="P64" s="1">
        <f>SUM(OSRRefP22_12x_0)</f>
        <v>0</v>
      </c>
      <c r="Q64" s="1"/>
      <c r="R64" s="5">
        <f t="shared" ref="R64:R71" si="50">IF(P$12=0,0,P64/P$12)</f>
        <v>0</v>
      </c>
      <c r="S64" s="1"/>
      <c r="T64" s="1">
        <f>SUM(OSRRefT22_12x_0)</f>
        <v>13601.19</v>
      </c>
      <c r="U64" s="1"/>
      <c r="V64" s="5">
        <f t="shared" ref="V64:V71" si="51">IF(T$12=0,0,T64/T$12)</f>
        <v>4.7037734484637939E-2</v>
      </c>
      <c r="W64" s="1"/>
      <c r="X64" s="1">
        <f t="shared" ref="X64:X71" si="52">+P64-T64</f>
        <v>-13601.19</v>
      </c>
      <c r="Y64" s="1"/>
      <c r="Z64" s="5">
        <f t="shared" ref="Z64:Z71" si="53">IF(T64=0,0,X64/T64)</f>
        <v>-1</v>
      </c>
    </row>
    <row r="65" spans="1:26" s="24" customFormat="1" hidden="1" outlineLevel="2" x14ac:dyDescent="0.25">
      <c r="A65" s="25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46"/>
        <v>0</v>
      </c>
      <c r="G65" s="2"/>
      <c r="H65" s="6"/>
      <c r="I65" s="2"/>
      <c r="J65" s="7">
        <f t="shared" si="47"/>
        <v>0</v>
      </c>
      <c r="K65" s="2"/>
      <c r="L65" s="6">
        <f t="shared" si="48"/>
        <v>0</v>
      </c>
      <c r="M65" s="2"/>
      <c r="N65" s="7">
        <f t="shared" si="49"/>
        <v>0</v>
      </c>
      <c r="O65" s="11"/>
      <c r="P65" s="6"/>
      <c r="Q65" s="2"/>
      <c r="R65" s="7">
        <f t="shared" si="50"/>
        <v>0</v>
      </c>
      <c r="S65" s="2"/>
      <c r="T65" s="6">
        <v>3756.46</v>
      </c>
      <c r="U65" s="2"/>
      <c r="V65" s="7">
        <f t="shared" si="51"/>
        <v>1.2991169749276573E-2</v>
      </c>
      <c r="W65" s="2"/>
      <c r="X65" s="6">
        <f t="shared" si="52"/>
        <v>-3756.46</v>
      </c>
      <c r="Y65" s="2"/>
      <c r="Z65" s="7">
        <f t="shared" si="53"/>
        <v>-1</v>
      </c>
    </row>
    <row r="66" spans="1:26" s="24" customFormat="1" hidden="1" outlineLevel="2" x14ac:dyDescent="0.25">
      <c r="A66" s="25"/>
      <c r="B66" s="11" t="str">
        <f>CONCATENATE("          ", "6237", " - ", "JANITORIAL SUPPLIES")</f>
        <v xml:space="preserve">          6237 - JANITORIAL SUPPLIES</v>
      </c>
      <c r="C66" s="11"/>
      <c r="D66" s="6"/>
      <c r="E66" s="2"/>
      <c r="F66" s="7">
        <f t="shared" si="46"/>
        <v>0</v>
      </c>
      <c r="G66" s="2"/>
      <c r="H66" s="6">
        <v>507.29</v>
      </c>
      <c r="I66" s="2"/>
      <c r="J66" s="7">
        <f t="shared" si="47"/>
        <v>5.8480806320155591E-3</v>
      </c>
      <c r="K66" s="2"/>
      <c r="L66" s="6">
        <f t="shared" si="48"/>
        <v>-507.29</v>
      </c>
      <c r="M66" s="2"/>
      <c r="N66" s="7">
        <f t="shared" si="49"/>
        <v>-1</v>
      </c>
      <c r="O66" s="11"/>
      <c r="P66" s="6"/>
      <c r="Q66" s="2"/>
      <c r="R66" s="7">
        <f t="shared" si="50"/>
        <v>0</v>
      </c>
      <c r="S66" s="2"/>
      <c r="T66" s="6">
        <v>1239.47</v>
      </c>
      <c r="U66" s="2"/>
      <c r="V66" s="7">
        <f t="shared" si="51"/>
        <v>4.2865264555288314E-3</v>
      </c>
      <c r="W66" s="2"/>
      <c r="X66" s="6">
        <f t="shared" si="52"/>
        <v>-1239.47</v>
      </c>
      <c r="Y66" s="2"/>
      <c r="Z66" s="7">
        <f t="shared" si="53"/>
        <v>-1</v>
      </c>
    </row>
    <row r="67" spans="1:26" s="24" customFormat="1" hidden="1" outlineLevel="2" x14ac:dyDescent="0.25">
      <c r="A67" s="25"/>
      <c r="B67" s="11" t="str">
        <f>CONCATENATE("          ", "6239", " - ", "KITCHEN SUPPLIES")</f>
        <v xml:space="preserve">          6239 - KITCHEN SUPPLIES</v>
      </c>
      <c r="C67" s="11"/>
      <c r="D67" s="6"/>
      <c r="E67" s="2"/>
      <c r="F67" s="7">
        <f t="shared" si="46"/>
        <v>0</v>
      </c>
      <c r="G67" s="2"/>
      <c r="H67" s="6">
        <v>303.58999999999997</v>
      </c>
      <c r="I67" s="2"/>
      <c r="J67" s="7">
        <f t="shared" si="47"/>
        <v>3.4998103630538811E-3</v>
      </c>
      <c r="K67" s="2"/>
      <c r="L67" s="6">
        <f t="shared" si="48"/>
        <v>-303.58999999999997</v>
      </c>
      <c r="M67" s="2"/>
      <c r="N67" s="7">
        <f t="shared" si="49"/>
        <v>-1</v>
      </c>
      <c r="O67" s="11"/>
      <c r="P67" s="6"/>
      <c r="Q67" s="2"/>
      <c r="R67" s="7">
        <f t="shared" si="50"/>
        <v>0</v>
      </c>
      <c r="S67" s="2"/>
      <c r="T67" s="6">
        <v>5765.78</v>
      </c>
      <c r="U67" s="2"/>
      <c r="V67" s="7">
        <f t="shared" si="51"/>
        <v>1.9940110294528326E-2</v>
      </c>
      <c r="W67" s="2"/>
      <c r="X67" s="6">
        <f t="shared" si="52"/>
        <v>-5765.78</v>
      </c>
      <c r="Y67" s="2"/>
      <c r="Z67" s="7">
        <f t="shared" si="53"/>
        <v>-1</v>
      </c>
    </row>
    <row r="68" spans="1:26" s="24" customFormat="1" hidden="1" outlineLevel="2" x14ac:dyDescent="0.25">
      <c r="A68" s="25"/>
      <c r="B68" s="11" t="str">
        <f>CONCATENATE("          ", "6241", " - ", "OFFICE EXPENSE")</f>
        <v xml:space="preserve">          6241 - OFFICE EXPENSE</v>
      </c>
      <c r="C68" s="11"/>
      <c r="D68" s="6"/>
      <c r="E68" s="2"/>
      <c r="F68" s="7">
        <f t="shared" si="46"/>
        <v>0</v>
      </c>
      <c r="G68" s="2"/>
      <c r="H68" s="6"/>
      <c r="I68" s="2"/>
      <c r="J68" s="7">
        <f t="shared" si="47"/>
        <v>0</v>
      </c>
      <c r="K68" s="2"/>
      <c r="L68" s="6">
        <f t="shared" si="48"/>
        <v>0</v>
      </c>
      <c r="M68" s="2"/>
      <c r="N68" s="7">
        <f t="shared" si="49"/>
        <v>0</v>
      </c>
      <c r="O68" s="11"/>
      <c r="P68" s="6"/>
      <c r="Q68" s="2"/>
      <c r="R68" s="7">
        <f t="shared" si="50"/>
        <v>0</v>
      </c>
      <c r="S68" s="2"/>
      <c r="T68" s="6">
        <v>599.88</v>
      </c>
      <c r="U68" s="2"/>
      <c r="V68" s="7">
        <f t="shared" si="51"/>
        <v>2.0745976023160183E-3</v>
      </c>
      <c r="W68" s="2"/>
      <c r="X68" s="6">
        <f t="shared" si="52"/>
        <v>-599.88</v>
      </c>
      <c r="Y68" s="2"/>
      <c r="Z68" s="7">
        <f t="shared" si="53"/>
        <v>-1</v>
      </c>
    </row>
    <row r="69" spans="1:26" s="24" customFormat="1" hidden="1" outlineLevel="2" x14ac:dyDescent="0.25">
      <c r="A69" s="25"/>
      <c r="B69" s="11" t="str">
        <f>CONCATENATE("          ", "6243", " - ", "PAPER SUPPLIES")</f>
        <v xml:space="preserve">          6243 - PAPER SUPPLIES</v>
      </c>
      <c r="C69" s="11"/>
      <c r="D69" s="6"/>
      <c r="E69" s="2"/>
      <c r="F69" s="7">
        <f t="shared" si="46"/>
        <v>0</v>
      </c>
      <c r="G69" s="2"/>
      <c r="H69" s="6">
        <v>354.16</v>
      </c>
      <c r="I69" s="2"/>
      <c r="J69" s="7">
        <f t="shared" si="47"/>
        <v>4.0827854612443181E-3</v>
      </c>
      <c r="K69" s="2"/>
      <c r="L69" s="6">
        <f t="shared" si="48"/>
        <v>-354.16</v>
      </c>
      <c r="M69" s="2"/>
      <c r="N69" s="7">
        <f t="shared" si="49"/>
        <v>-1</v>
      </c>
      <c r="O69" s="11"/>
      <c r="P69" s="6"/>
      <c r="Q69" s="2"/>
      <c r="R69" s="7">
        <f t="shared" si="50"/>
        <v>0</v>
      </c>
      <c r="S69" s="2"/>
      <c r="T69" s="6">
        <v>2039.96</v>
      </c>
      <c r="U69" s="2"/>
      <c r="V69" s="7">
        <f t="shared" si="51"/>
        <v>7.0549045222720961E-3</v>
      </c>
      <c r="W69" s="2"/>
      <c r="X69" s="6">
        <f t="shared" si="52"/>
        <v>-2039.96</v>
      </c>
      <c r="Y69" s="2"/>
      <c r="Z69" s="7">
        <f t="shared" si="53"/>
        <v>-1</v>
      </c>
    </row>
    <row r="70" spans="1:26" s="24" customFormat="1" hidden="1" outlineLevel="2" x14ac:dyDescent="0.25">
      <c r="A70" s="25"/>
      <c r="B70" s="11" t="str">
        <f>CONCATENATE("          ", "6247", " - ", "STORE SUPPLIES")</f>
        <v xml:space="preserve">          6247 - STORE SUPPLIES</v>
      </c>
      <c r="C70" s="11"/>
      <c r="D70" s="6"/>
      <c r="E70" s="2"/>
      <c r="F70" s="7">
        <f t="shared" si="46"/>
        <v>0</v>
      </c>
      <c r="G70" s="2"/>
      <c r="H70" s="6">
        <v>-300</v>
      </c>
      <c r="I70" s="2"/>
      <c r="J70" s="7">
        <f t="shared" si="47"/>
        <v>-3.4584245492808208E-3</v>
      </c>
      <c r="K70" s="2"/>
      <c r="L70" s="6">
        <f t="shared" si="48"/>
        <v>300</v>
      </c>
      <c r="M70" s="2"/>
      <c r="N70" s="7">
        <f t="shared" si="49"/>
        <v>-1</v>
      </c>
      <c r="O70" s="11"/>
      <c r="P70" s="6"/>
      <c r="Q70" s="2"/>
      <c r="R70" s="7">
        <f t="shared" si="50"/>
        <v>0</v>
      </c>
      <c r="S70" s="2"/>
      <c r="T70" s="6">
        <v>-254.8</v>
      </c>
      <c r="U70" s="2"/>
      <c r="V70" s="7">
        <f t="shared" si="51"/>
        <v>-8.8118868618744007E-4</v>
      </c>
      <c r="W70" s="2"/>
      <c r="X70" s="6">
        <f t="shared" si="52"/>
        <v>254.8</v>
      </c>
      <c r="Y70" s="2"/>
      <c r="Z70" s="7">
        <f t="shared" si="53"/>
        <v>-1</v>
      </c>
    </row>
    <row r="71" spans="1:26" s="24" customFormat="1" hidden="1" outlineLevel="2" x14ac:dyDescent="0.25">
      <c r="A71" s="25"/>
      <c r="B71" s="11" t="str">
        <f>CONCATENATE("          ", "6248", " - ", "UNIFORMS")</f>
        <v xml:space="preserve">          6248 - UNIFORMS</v>
      </c>
      <c r="C71" s="11"/>
      <c r="D71" s="6"/>
      <c r="E71" s="2"/>
      <c r="F71" s="7">
        <f t="shared" si="46"/>
        <v>0</v>
      </c>
      <c r="G71" s="2"/>
      <c r="H71" s="6"/>
      <c r="I71" s="2"/>
      <c r="J71" s="7">
        <f t="shared" si="47"/>
        <v>0</v>
      </c>
      <c r="K71" s="2"/>
      <c r="L71" s="6">
        <f t="shared" si="48"/>
        <v>0</v>
      </c>
      <c r="M71" s="2"/>
      <c r="N71" s="7">
        <f t="shared" si="49"/>
        <v>0</v>
      </c>
      <c r="O71" s="11"/>
      <c r="P71" s="6"/>
      <c r="Q71" s="2"/>
      <c r="R71" s="7">
        <f t="shared" si="50"/>
        <v>0</v>
      </c>
      <c r="S71" s="2"/>
      <c r="T71" s="6">
        <v>454.44</v>
      </c>
      <c r="U71" s="2"/>
      <c r="V71" s="7">
        <f t="shared" si="51"/>
        <v>1.5716145469035331E-3</v>
      </c>
      <c r="W71" s="2"/>
      <c r="X71" s="6">
        <f t="shared" si="52"/>
        <v>-454.44</v>
      </c>
      <c r="Y71" s="2"/>
      <c r="Z71" s="7">
        <f t="shared" si="53"/>
        <v>-1</v>
      </c>
    </row>
    <row r="72" spans="1:26" s="26" customFormat="1" outlineLevel="1" collapsed="1" x14ac:dyDescent="0.25">
      <c r="A72" s="27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SUM(OSRRefD22_13x_0)</f>
        <v>0</v>
      </c>
      <c r="E72" s="1"/>
      <c r="F72" s="5">
        <f t="shared" ref="F72:F75" si="54">IF(D$12=0,0,D72/D$12)</f>
        <v>0</v>
      </c>
      <c r="G72" s="1"/>
      <c r="H72" s="1">
        <f>SUM(OSRRefH22_13x_0)</f>
        <v>313.11</v>
      </c>
      <c r="I72" s="1"/>
      <c r="J72" s="5">
        <f t="shared" ref="J72:J75" si="55">IF(H$12=0,0,H72/H$12)</f>
        <v>3.6095577020843926E-3</v>
      </c>
      <c r="K72" s="1"/>
      <c r="L72" s="1">
        <f t="shared" ref="L72:L75" si="56">+D72-H72</f>
        <v>-313.11</v>
      </c>
      <c r="M72" s="1"/>
      <c r="N72" s="5">
        <f t="shared" ref="N72:N75" si="57">IF(H72=0,0,L72/H72)</f>
        <v>-1</v>
      </c>
      <c r="O72" s="13"/>
      <c r="P72" s="1">
        <f>SUM(OSRRefP22_13x_0)</f>
        <v>132.54</v>
      </c>
      <c r="Q72" s="1"/>
      <c r="R72" s="5">
        <f t="shared" ref="R72:R75" si="58">IF(P$12=0,0,P72/P$12)</f>
        <v>0</v>
      </c>
      <c r="S72" s="1"/>
      <c r="T72" s="1">
        <f>SUM(OSRRefT22_13x_0)</f>
        <v>2175.84</v>
      </c>
      <c r="U72" s="1"/>
      <c r="V72" s="5">
        <f t="shared" ref="V72:V75" si="59">IF(T$12=0,0,T72/T$12)</f>
        <v>7.5248257101808462E-3</v>
      </c>
      <c r="W72" s="1"/>
      <c r="X72" s="1">
        <f t="shared" ref="X72:X75" si="60">+P72-T72</f>
        <v>-2043.3000000000002</v>
      </c>
      <c r="Y72" s="1"/>
      <c r="Z72" s="5">
        <f t="shared" ref="Z72:Z75" si="61">IF(T72=0,0,X72/T72)</f>
        <v>-0.93908559452900953</v>
      </c>
    </row>
    <row r="73" spans="1:26" s="24" customFormat="1" hidden="1" outlineLevel="2" x14ac:dyDescent="0.25">
      <c r="A73" s="25"/>
      <c r="B73" s="11" t="str">
        <f>CONCATENATE("          ", "6309", " - ", "TELEPHONE")</f>
        <v xml:space="preserve">          6309 - TELEPHONE</v>
      </c>
      <c r="C73" s="11"/>
      <c r="D73" s="6"/>
      <c r="E73" s="2"/>
      <c r="F73" s="7">
        <f t="shared" si="54"/>
        <v>0</v>
      </c>
      <c r="G73" s="2"/>
      <c r="H73" s="6">
        <v>313.11</v>
      </c>
      <c r="I73" s="2"/>
      <c r="J73" s="7">
        <f t="shared" si="55"/>
        <v>3.6095577020843926E-3</v>
      </c>
      <c r="K73" s="2"/>
      <c r="L73" s="6">
        <f t="shared" si="56"/>
        <v>-313.11</v>
      </c>
      <c r="M73" s="2"/>
      <c r="N73" s="7">
        <f t="shared" si="57"/>
        <v>-1</v>
      </c>
      <c r="O73" s="11"/>
      <c r="P73" s="6">
        <v>132.54</v>
      </c>
      <c r="Q73" s="2"/>
      <c r="R73" s="7">
        <f t="shared" si="58"/>
        <v>0</v>
      </c>
      <c r="S73" s="2"/>
      <c r="T73" s="6">
        <v>2175.84</v>
      </c>
      <c r="U73" s="2"/>
      <c r="V73" s="7">
        <f t="shared" si="59"/>
        <v>7.5248257101808462E-3</v>
      </c>
      <c r="W73" s="2"/>
      <c r="X73" s="6">
        <f t="shared" si="60"/>
        <v>-2043.3000000000002</v>
      </c>
      <c r="Y73" s="2"/>
      <c r="Z73" s="7">
        <f t="shared" si="61"/>
        <v>-0.93908559452900953</v>
      </c>
    </row>
    <row r="74" spans="1:26" s="26" customFormat="1" outlineLevel="1" collapsed="1" x14ac:dyDescent="0.25">
      <c r="A74" s="27"/>
      <c r="B74" s="13" t="str">
        <f>CONCATENATE("     ","Training                                          ")</f>
        <v xml:space="preserve">     Training                                          </v>
      </c>
      <c r="C74" s="13"/>
      <c r="D74" s="1">
        <f>SUM(OSRRefD22_14x_0)</f>
        <v>0</v>
      </c>
      <c r="E74" s="1"/>
      <c r="F74" s="5">
        <f t="shared" si="54"/>
        <v>0</v>
      </c>
      <c r="G74" s="1"/>
      <c r="H74" s="1">
        <f>SUM(OSRRefH22_14x_0)</f>
        <v>0</v>
      </c>
      <c r="I74" s="1"/>
      <c r="J74" s="5">
        <f t="shared" si="55"/>
        <v>0</v>
      </c>
      <c r="K74" s="1"/>
      <c r="L74" s="1">
        <f t="shared" si="56"/>
        <v>0</v>
      </c>
      <c r="M74" s="1"/>
      <c r="N74" s="5">
        <f t="shared" si="57"/>
        <v>0</v>
      </c>
      <c r="O74" s="13"/>
      <c r="P74" s="1">
        <f>SUM(OSRRefP22_14x_0)</f>
        <v>0</v>
      </c>
      <c r="Q74" s="1"/>
      <c r="R74" s="5">
        <f t="shared" si="58"/>
        <v>0</v>
      </c>
      <c r="S74" s="1"/>
      <c r="T74" s="1">
        <f>SUM(OSRRefT22_14x_0)</f>
        <v>237.95</v>
      </c>
      <c r="U74" s="1"/>
      <c r="V74" s="5">
        <f t="shared" si="59"/>
        <v>8.229154155349346E-4</v>
      </c>
      <c r="W74" s="1"/>
      <c r="X74" s="1">
        <f t="shared" si="60"/>
        <v>-237.95</v>
      </c>
      <c r="Y74" s="1"/>
      <c r="Z74" s="5">
        <f t="shared" si="61"/>
        <v>-1</v>
      </c>
    </row>
    <row r="75" spans="1:26" s="24" customFormat="1" hidden="1" outlineLevel="2" x14ac:dyDescent="0.25">
      <c r="A75" s="25"/>
      <c r="B75" s="11" t="str">
        <f>CONCATENATE("          ", "6376", " - ", "TRAINING")</f>
        <v xml:space="preserve">          6376 - TRAINING</v>
      </c>
      <c r="C75" s="11"/>
      <c r="D75" s="6"/>
      <c r="E75" s="2"/>
      <c r="F75" s="7">
        <f t="shared" si="54"/>
        <v>0</v>
      </c>
      <c r="G75" s="2"/>
      <c r="H75" s="6"/>
      <c r="I75" s="2"/>
      <c r="J75" s="7">
        <f t="shared" si="55"/>
        <v>0</v>
      </c>
      <c r="K75" s="2"/>
      <c r="L75" s="6">
        <f t="shared" si="56"/>
        <v>0</v>
      </c>
      <c r="M75" s="2"/>
      <c r="N75" s="7">
        <f t="shared" si="57"/>
        <v>0</v>
      </c>
      <c r="O75" s="11"/>
      <c r="P75" s="6"/>
      <c r="Q75" s="2"/>
      <c r="R75" s="7">
        <f t="shared" si="58"/>
        <v>0</v>
      </c>
      <c r="S75" s="2"/>
      <c r="T75" s="6">
        <v>237.95</v>
      </c>
      <c r="U75" s="2"/>
      <c r="V75" s="7">
        <f t="shared" si="59"/>
        <v>8.229154155349346E-4</v>
      </c>
      <c r="W75" s="2"/>
      <c r="X75" s="6">
        <f t="shared" si="60"/>
        <v>-237.95</v>
      </c>
      <c r="Y75" s="2"/>
      <c r="Z75" s="7">
        <f t="shared" si="61"/>
        <v>-1</v>
      </c>
    </row>
    <row r="76" spans="1:26" s="61" customFormat="1" x14ac:dyDescent="0.25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25">
      <c r="A77" s="10"/>
      <c r="B77" s="29" t="s">
        <v>0</v>
      </c>
      <c r="C77" s="10"/>
      <c r="D77" s="4">
        <f>SUM(OSRRefD25x_0)</f>
        <v>0</v>
      </c>
      <c r="E77" s="4"/>
      <c r="F77" s="12">
        <f t="shared" ref="F77:F78" si="62">IF(D$12=0,0,D77/D$12)</f>
        <v>0</v>
      </c>
      <c r="G77" s="4"/>
      <c r="H77" s="4">
        <f>SUM(OSRRefH25x_0)</f>
        <v>0</v>
      </c>
      <c r="I77" s="4"/>
      <c r="J77" s="12">
        <f t="shared" ref="J77:J78" si="63">IF(H$12=0,0,H77/H$12)</f>
        <v>0</v>
      </c>
      <c r="K77" s="4"/>
      <c r="L77" s="4">
        <f t="shared" ref="L77:L78" si="64">+D77-H77</f>
        <v>0</v>
      </c>
      <c r="M77" s="4"/>
      <c r="N77" s="12">
        <f t="shared" ref="N77:N78" si="65">IF(H77=0,0,L77/H77)</f>
        <v>0</v>
      </c>
      <c r="O77" s="10"/>
      <c r="P77" s="4">
        <f>SUM(OSRRefP25x_0)</f>
        <v>0</v>
      </c>
      <c r="Q77" s="4"/>
      <c r="R77" s="12">
        <f t="shared" ref="R77:R78" si="66">IF(P$12=0,0,P77/P$12)</f>
        <v>0</v>
      </c>
      <c r="S77" s="4"/>
      <c r="T77" s="4">
        <f>SUM(OSRRefT25x_0)</f>
        <v>32460.44</v>
      </c>
      <c r="U77" s="4"/>
      <c r="V77" s="12">
        <f t="shared" ref="V77:V78" si="67">IF(T$12=0,0,T77/T$12)</f>
        <v>0.11225970359759115</v>
      </c>
      <c r="W77" s="4"/>
      <c r="X77" s="4">
        <f t="shared" ref="X77:X78" si="68">+P77-T77</f>
        <v>-32460.44</v>
      </c>
      <c r="Y77" s="4"/>
      <c r="Z77" s="12">
        <f t="shared" ref="Z77:Z78" si="69">IF(T77=0,0,X77/T77)</f>
        <v>-1</v>
      </c>
    </row>
    <row r="78" spans="1:26" s="24" customFormat="1" hidden="1" outlineLevel="1" x14ac:dyDescent="0.25">
      <c r="A78" s="44"/>
      <c r="B78" s="11" t="str">
        <f>CONCATENATE("          ", "9150", " - ", "MISC. INCOME")</f>
        <v xml:space="preserve">          9150 - MISC. INCOME</v>
      </c>
      <c r="C78" s="11"/>
      <c r="D78" s="2">
        <f>0</f>
        <v>0</v>
      </c>
      <c r="E78" s="2"/>
      <c r="F78" s="19">
        <f t="shared" si="62"/>
        <v>0</v>
      </c>
      <c r="G78" s="2"/>
      <c r="H78" s="2">
        <f>0</f>
        <v>0</v>
      </c>
      <c r="I78" s="2"/>
      <c r="J78" s="19">
        <f t="shared" si="63"/>
        <v>0</v>
      </c>
      <c r="K78" s="2"/>
      <c r="L78" s="2">
        <f t="shared" si="64"/>
        <v>0</v>
      </c>
      <c r="M78" s="2"/>
      <c r="N78" s="19">
        <f t="shared" si="65"/>
        <v>0</v>
      </c>
      <c r="O78" s="11"/>
      <c r="P78" s="2">
        <f>0</f>
        <v>0</v>
      </c>
      <c r="Q78" s="2"/>
      <c r="R78" s="19">
        <f t="shared" si="66"/>
        <v>0</v>
      </c>
      <c r="S78" s="2"/>
      <c r="T78" s="2">
        <f>--32460.44</f>
        <v>32460.44</v>
      </c>
      <c r="U78" s="2"/>
      <c r="V78" s="19">
        <f t="shared" si="67"/>
        <v>0.11225970359759115</v>
      </c>
      <c r="W78" s="2"/>
      <c r="X78" s="2">
        <f t="shared" si="68"/>
        <v>-32460.44</v>
      </c>
      <c r="Y78" s="2"/>
      <c r="Z78" s="19">
        <f t="shared" si="69"/>
        <v>-1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3</v>
      </c>
      <c r="C80" s="28"/>
      <c r="D80" s="20">
        <f>+D21-D23+D77</f>
        <v>-1000.91</v>
      </c>
      <c r="E80" s="14"/>
      <c r="F80" s="22">
        <f>IF(D$12=0,0,D80/D$12)</f>
        <v>0</v>
      </c>
      <c r="G80" s="14"/>
      <c r="H80" s="20">
        <f>+H21-H23+H77</f>
        <v>5626.3099999999904</v>
      </c>
      <c r="I80" s="14"/>
      <c r="J80" s="22">
        <f>IF(H$12=0,0,H80/H$12)</f>
        <v>6.486056208621381E-2</v>
      </c>
      <c r="K80" s="15"/>
      <c r="L80" s="20">
        <f>+D80-H80</f>
        <v>-6627.2199999999903</v>
      </c>
      <c r="M80" s="15"/>
      <c r="N80" s="22">
        <f>IF(H80=0,0,L80/H80)</f>
        <v>-1.1778981250588754</v>
      </c>
      <c r="O80" s="29"/>
      <c r="P80" s="20">
        <f>+P21-P23+P77</f>
        <v>-10635.05</v>
      </c>
      <c r="Q80" s="14"/>
      <c r="R80" s="22">
        <f>IF(P$12=0,0,P80/P$12)</f>
        <v>0</v>
      </c>
      <c r="S80" s="14"/>
      <c r="T80" s="20">
        <f>+T21-T23+T77</f>
        <v>19808.389999999981</v>
      </c>
      <c r="U80" s="14"/>
      <c r="V80" s="22">
        <f>IF(T$12=0,0,T80/T$12)</f>
        <v>6.8504431552544778E-2</v>
      </c>
      <c r="W80" s="15"/>
      <c r="X80" s="20">
        <f>+P80-T80</f>
        <v>-30443.439999999981</v>
      </c>
      <c r="Y80" s="15"/>
      <c r="Z80" s="22">
        <f>IF(T80=0,0,X80/T80)</f>
        <v>-1.5368962343734149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/>
      <c r="E82" s="4"/>
      <c r="F82" s="12">
        <f>IF(D$12=0,0,D82/D$12)</f>
        <v>0</v>
      </c>
      <c r="G82" s="4"/>
      <c r="H82" s="4">
        <v>8292.9</v>
      </c>
      <c r="I82" s="4"/>
      <c r="J82" s="12">
        <f>IF(H$12=0,0,H82/H$12)</f>
        <v>9.5601229815769725E-2</v>
      </c>
      <c r="K82" s="4"/>
      <c r="L82" s="4">
        <f>+D82-H82</f>
        <v>-8292.9</v>
      </c>
      <c r="M82" s="4"/>
      <c r="N82" s="12">
        <f>IF(H82=0,0,L82/H82)</f>
        <v>-1</v>
      </c>
      <c r="O82" s="10"/>
      <c r="P82" s="4"/>
      <c r="Q82" s="4"/>
      <c r="R82" s="12">
        <f>IF(P$12=0,0,P82/P$12)</f>
        <v>0</v>
      </c>
      <c r="S82" s="4"/>
      <c r="T82" s="4">
        <v>30154.76</v>
      </c>
      <c r="U82" s="4"/>
      <c r="V82" s="12">
        <f>IF(T$12=0,0,T82/T$12)</f>
        <v>0.10428584515972357</v>
      </c>
      <c r="W82" s="4"/>
      <c r="X82" s="4">
        <f>+P82-T82</f>
        <v>-30154.76</v>
      </c>
      <c r="Y82" s="4"/>
      <c r="Z82" s="12">
        <f>IF(T82=0,0,X82/T82)</f>
        <v>-1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4</v>
      </c>
      <c r="C84" s="28"/>
      <c r="D84" s="30">
        <f>+D80-D82</f>
        <v>-1000.91</v>
      </c>
      <c r="E84" s="14"/>
      <c r="F84" s="36">
        <f>IF(D$12=0,0,D84/D$12)</f>
        <v>0</v>
      </c>
      <c r="G84" s="14"/>
      <c r="H84" s="30">
        <f>+H80-H82</f>
        <v>-2666.5900000000092</v>
      </c>
      <c r="I84" s="14"/>
      <c r="J84" s="36">
        <f>IF(H$12=0,0,H84/H$12)</f>
        <v>-3.0740667729555918E-2</v>
      </c>
      <c r="K84" s="15"/>
      <c r="L84" s="30">
        <f>D84-H84</f>
        <v>1665.6800000000094</v>
      </c>
      <c r="M84" s="15"/>
      <c r="N84" s="36">
        <f>IF(H84=0,0,L84/H84)</f>
        <v>-0.62464795862881195</v>
      </c>
      <c r="O84" s="29"/>
      <c r="P84" s="30">
        <f>+P80-P82</f>
        <v>-10635.05</v>
      </c>
      <c r="Q84" s="14"/>
      <c r="R84" s="36">
        <f>IF(P$12=0,0,P84/P$12)</f>
        <v>0</v>
      </c>
      <c r="S84" s="14"/>
      <c r="T84" s="30">
        <f>+T80-T82</f>
        <v>-10346.370000000017</v>
      </c>
      <c r="U84" s="14"/>
      <c r="V84" s="36">
        <f>IF(T$12=0,0,T84/T$12)</f>
        <v>-3.5781413607178798E-2</v>
      </c>
      <c r="W84" s="15"/>
      <c r="X84" s="30">
        <f>P84-T84</f>
        <v>-288.6799999999821</v>
      </c>
      <c r="Y84" s="15"/>
      <c r="Z84" s="36">
        <f>IF(T84=0,0,X84/T84)</f>
        <v>2.7901573208766128E-2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5</v>
      </c>
      <c r="C87" s="28"/>
      <c r="D87" s="32">
        <f>SUM(D84:D86)</f>
        <v>-1000.91</v>
      </c>
      <c r="E87" s="14"/>
      <c r="F87" s="31">
        <f>IF(D$12=0,0,D87/D$12)</f>
        <v>0</v>
      </c>
      <c r="G87" s="14"/>
      <c r="H87" s="32">
        <f>SUM(H84:H86)</f>
        <v>-2666.5900000000092</v>
      </c>
      <c r="I87" s="14"/>
      <c r="J87" s="31">
        <f>IF(H$12=0,0,H87/H$12)</f>
        <v>-3.0740667729555918E-2</v>
      </c>
      <c r="K87" s="15"/>
      <c r="L87" s="32">
        <f>+D87-H87</f>
        <v>1665.6800000000094</v>
      </c>
      <c r="M87" s="15"/>
      <c r="N87" s="31">
        <f>IF(H87=0,0,L87/H87)</f>
        <v>-0.62464795862881195</v>
      </c>
      <c r="O87" s="29"/>
      <c r="P87" s="32">
        <f>SUM(P84:P86)</f>
        <v>-10635.05</v>
      </c>
      <c r="Q87" s="14"/>
      <c r="R87" s="31">
        <f>IF(P$12=0,0,P87/P$12)</f>
        <v>0</v>
      </c>
      <c r="S87" s="14"/>
      <c r="T87" s="32">
        <f>SUM(T84:T86)</f>
        <v>-10346.370000000017</v>
      </c>
      <c r="U87" s="14"/>
      <c r="V87" s="31">
        <f>IF(T$12=0,0,T87/T$12)</f>
        <v>-3.5781413607178798E-2</v>
      </c>
      <c r="W87" s="15"/>
      <c r="X87" s="32">
        <f>+P87-T87</f>
        <v>-288.6799999999821</v>
      </c>
      <c r="Y87" s="15"/>
      <c r="Z87" s="31">
        <f>IF(T87=0,0,X87/T87)</f>
        <v>2.7901573208766128E-2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62">
        <v>44238.49656565972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9" t="s">
        <v>313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6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","455", " - ", "Vending")</f>
        <v>Department 455 - Vending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0</v>
      </c>
      <c r="E18" s="21"/>
      <c r="F18" s="35">
        <f t="shared" ref="F18:F26" si="0">IF(D$12=0,0,D18/D$12)</f>
        <v>0</v>
      </c>
      <c r="G18" s="21"/>
      <c r="H18" s="21">
        <f>SUM(OSRRefH22x_0)</f>
        <v>8352.23</v>
      </c>
      <c r="I18" s="21"/>
      <c r="J18" s="35">
        <f t="shared" ref="J18:J26" si="1">IF(H$12=0,0,H18/H$12)</f>
        <v>0</v>
      </c>
      <c r="K18" s="4"/>
      <c r="L18" s="21">
        <f t="shared" ref="L18:L26" si="2">+D18-H18</f>
        <v>-8352.23</v>
      </c>
      <c r="M18" s="4"/>
      <c r="N18" s="35">
        <f t="shared" ref="N18:N26" si="3">IF(H18=0,0,L18/H18)</f>
        <v>-1</v>
      </c>
      <c r="O18" s="10"/>
      <c r="P18" s="21">
        <f>SUM(OSRRefP22x_0)</f>
        <v>0</v>
      </c>
      <c r="Q18" s="21"/>
      <c r="R18" s="35">
        <f t="shared" ref="R18:R26" si="4">IF(P$12=0,0,P18/P$12)</f>
        <v>0</v>
      </c>
      <c r="S18" s="21"/>
      <c r="T18" s="21">
        <f>SUM(OSRRefT22x_0)</f>
        <v>60693.49</v>
      </c>
      <c r="U18" s="21"/>
      <c r="V18" s="35">
        <f t="shared" ref="V18:V26" si="5">IF(T$12=0,0,T18/T$12)</f>
        <v>0</v>
      </c>
      <c r="W18" s="4"/>
      <c r="X18" s="21">
        <f t="shared" ref="X18:X26" si="6">+P18-T18</f>
        <v>-60693.49</v>
      </c>
      <c r="Y18" s="4"/>
      <c r="Z18" s="35">
        <f t="shared" ref="Z18:Z26" si="7">IF(T18=0,0,X18/T18)</f>
        <v>-1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2817.4700000000003</v>
      </c>
      <c r="I19" s="1"/>
      <c r="J19" s="5">
        <f t="shared" si="1"/>
        <v>0</v>
      </c>
      <c r="K19" s="1"/>
      <c r="L19" s="1">
        <f t="shared" si="2"/>
        <v>-2817.4700000000003</v>
      </c>
      <c r="M19" s="1"/>
      <c r="N19" s="5">
        <f t="shared" si="3"/>
        <v>-1</v>
      </c>
      <c r="O19" s="13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27279.769999999997</v>
      </c>
      <c r="U19" s="1"/>
      <c r="V19" s="5">
        <f t="shared" si="5"/>
        <v>0</v>
      </c>
      <c r="W19" s="1"/>
      <c r="X19" s="1">
        <f t="shared" si="6"/>
        <v>-27279.769999999997</v>
      </c>
      <c r="Y19" s="1"/>
      <c r="Z19" s="5">
        <f t="shared" si="7"/>
        <v>-1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384.92</v>
      </c>
      <c r="I20" s="2"/>
      <c r="J20" s="7">
        <f t="shared" si="1"/>
        <v>0</v>
      </c>
      <c r="K20" s="2"/>
      <c r="L20" s="6">
        <f t="shared" si="2"/>
        <v>-384.92</v>
      </c>
      <c r="M20" s="2"/>
      <c r="N20" s="7">
        <f t="shared" si="3"/>
        <v>-1</v>
      </c>
      <c r="O20" s="11"/>
      <c r="P20" s="6"/>
      <c r="Q20" s="2"/>
      <c r="R20" s="7">
        <f t="shared" si="4"/>
        <v>0</v>
      </c>
      <c r="S20" s="2"/>
      <c r="T20" s="6">
        <v>2523.56</v>
      </c>
      <c r="U20" s="2"/>
      <c r="V20" s="7">
        <f t="shared" si="5"/>
        <v>0</v>
      </c>
      <c r="W20" s="2"/>
      <c r="X20" s="6">
        <f t="shared" si="6"/>
        <v>-2523.56</v>
      </c>
      <c r="Y20" s="2"/>
      <c r="Z20" s="7">
        <f t="shared" si="7"/>
        <v>-1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17.11</v>
      </c>
      <c r="I21" s="2"/>
      <c r="J21" s="7">
        <f t="shared" si="1"/>
        <v>0</v>
      </c>
      <c r="K21" s="2"/>
      <c r="L21" s="6">
        <f t="shared" si="2"/>
        <v>-17.11</v>
      </c>
      <c r="M21" s="2"/>
      <c r="N21" s="7">
        <f t="shared" si="3"/>
        <v>-1</v>
      </c>
      <c r="O21" s="11"/>
      <c r="P21" s="6"/>
      <c r="Q21" s="2"/>
      <c r="R21" s="7">
        <f t="shared" si="4"/>
        <v>0</v>
      </c>
      <c r="S21" s="2"/>
      <c r="T21" s="6">
        <v>142.21</v>
      </c>
      <c r="U21" s="2"/>
      <c r="V21" s="7">
        <f t="shared" si="5"/>
        <v>0</v>
      </c>
      <c r="W21" s="2"/>
      <c r="X21" s="6">
        <f t="shared" si="6"/>
        <v>-142.21</v>
      </c>
      <c r="Y21" s="2"/>
      <c r="Z21" s="7">
        <f t="shared" si="7"/>
        <v>-1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934.1</v>
      </c>
      <c r="I22" s="2"/>
      <c r="J22" s="7">
        <f t="shared" si="1"/>
        <v>0</v>
      </c>
      <c r="K22" s="2"/>
      <c r="L22" s="6">
        <f t="shared" si="2"/>
        <v>-934.1</v>
      </c>
      <c r="M22" s="2"/>
      <c r="N22" s="7">
        <f t="shared" si="3"/>
        <v>-1</v>
      </c>
      <c r="O22" s="11"/>
      <c r="P22" s="6"/>
      <c r="Q22" s="2"/>
      <c r="R22" s="7">
        <f t="shared" si="4"/>
        <v>0</v>
      </c>
      <c r="S22" s="2"/>
      <c r="T22" s="6">
        <v>6525.8</v>
      </c>
      <c r="U22" s="2"/>
      <c r="V22" s="7">
        <f t="shared" si="5"/>
        <v>0</v>
      </c>
      <c r="W22" s="2"/>
      <c r="X22" s="6">
        <f t="shared" si="6"/>
        <v>-6525.8</v>
      </c>
      <c r="Y22" s="2"/>
      <c r="Z22" s="7">
        <f t="shared" si="7"/>
        <v>-1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13.08</v>
      </c>
      <c r="I23" s="2"/>
      <c r="J23" s="7">
        <f t="shared" si="1"/>
        <v>0</v>
      </c>
      <c r="K23" s="2"/>
      <c r="L23" s="6">
        <f t="shared" si="2"/>
        <v>-13.08</v>
      </c>
      <c r="M23" s="2"/>
      <c r="N23" s="7">
        <f t="shared" si="3"/>
        <v>-1</v>
      </c>
      <c r="O23" s="11"/>
      <c r="P23" s="6"/>
      <c r="Q23" s="2"/>
      <c r="R23" s="7">
        <f t="shared" si="4"/>
        <v>0</v>
      </c>
      <c r="S23" s="2"/>
      <c r="T23" s="6">
        <v>121.23</v>
      </c>
      <c r="U23" s="2"/>
      <c r="V23" s="7">
        <f t="shared" si="5"/>
        <v>0</v>
      </c>
      <c r="W23" s="2"/>
      <c r="X23" s="6">
        <f t="shared" si="6"/>
        <v>-121.23</v>
      </c>
      <c r="Y23" s="2"/>
      <c r="Z23" s="7">
        <f t="shared" si="7"/>
        <v>-1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771.4</v>
      </c>
      <c r="I24" s="2"/>
      <c r="J24" s="7">
        <f t="shared" si="1"/>
        <v>0</v>
      </c>
      <c r="K24" s="2"/>
      <c r="L24" s="6">
        <f t="shared" si="2"/>
        <v>-771.4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4766.34</v>
      </c>
      <c r="U24" s="2"/>
      <c r="V24" s="7">
        <f t="shared" si="5"/>
        <v>0</v>
      </c>
      <c r="W24" s="2"/>
      <c r="X24" s="6">
        <f t="shared" si="6"/>
        <v>-4766.34</v>
      </c>
      <c r="Y24" s="2"/>
      <c r="Z24" s="7">
        <f t="shared" si="7"/>
        <v>-1</v>
      </c>
    </row>
    <row r="25" spans="1:26" s="24" customFormat="1" hidden="1" outlineLevel="2" x14ac:dyDescent="0.25">
      <c r="A25" s="25"/>
      <c r="B25" s="11" t="str">
        <f>CONCATENATE("          ", "6118", " - ", "VACATION")</f>
        <v xml:space="preserve">          6118 - VACATION</v>
      </c>
      <c r="C25" s="11"/>
      <c r="D25" s="6"/>
      <c r="E25" s="2"/>
      <c r="F25" s="7">
        <f t="shared" si="0"/>
        <v>0</v>
      </c>
      <c r="G25" s="2"/>
      <c r="H25" s="6">
        <v>464.78</v>
      </c>
      <c r="I25" s="2"/>
      <c r="J25" s="7">
        <f t="shared" si="1"/>
        <v>0</v>
      </c>
      <c r="K25" s="2"/>
      <c r="L25" s="6">
        <f t="shared" si="2"/>
        <v>-464.78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4848.6000000000004</v>
      </c>
      <c r="U25" s="2"/>
      <c r="V25" s="7">
        <f t="shared" si="5"/>
        <v>0</v>
      </c>
      <c r="W25" s="2"/>
      <c r="X25" s="6">
        <f t="shared" si="6"/>
        <v>-4848.6000000000004</v>
      </c>
      <c r="Y25" s="2"/>
      <c r="Z25" s="7">
        <f t="shared" si="7"/>
        <v>-1</v>
      </c>
    </row>
    <row r="26" spans="1:26" s="24" customFormat="1" hidden="1" outlineLevel="2" x14ac:dyDescent="0.25">
      <c r="A26" s="25"/>
      <c r="B26" s="11" t="str">
        <f>CONCATENATE("          ", "6119", " - ", "SICK LEAVE")</f>
        <v xml:space="preserve">          6119 - SICK LEAVE</v>
      </c>
      <c r="C26" s="11"/>
      <c r="D26" s="6"/>
      <c r="E26" s="2"/>
      <c r="F26" s="7">
        <f t="shared" si="0"/>
        <v>0</v>
      </c>
      <c r="G26" s="2"/>
      <c r="H26" s="6">
        <v>232.08</v>
      </c>
      <c r="I26" s="2"/>
      <c r="J26" s="7">
        <f t="shared" si="1"/>
        <v>0</v>
      </c>
      <c r="K26" s="2"/>
      <c r="L26" s="6">
        <f t="shared" si="2"/>
        <v>-232.08</v>
      </c>
      <c r="M26" s="2"/>
      <c r="N26" s="7">
        <f t="shared" si="3"/>
        <v>-1</v>
      </c>
      <c r="O26" s="11"/>
      <c r="P26" s="6"/>
      <c r="Q26" s="2"/>
      <c r="R26" s="7">
        <f t="shared" si="4"/>
        <v>0</v>
      </c>
      <c r="S26" s="2"/>
      <c r="T26" s="6">
        <v>8352.0300000000007</v>
      </c>
      <c r="U26" s="2"/>
      <c r="V26" s="7">
        <f t="shared" si="5"/>
        <v>0</v>
      </c>
      <c r="W26" s="2"/>
      <c r="X26" s="6">
        <f t="shared" si="6"/>
        <v>-8352.0300000000007</v>
      </c>
      <c r="Y26" s="2"/>
      <c r="Z26" s="7">
        <f t="shared" si="7"/>
        <v>-1</v>
      </c>
    </row>
    <row r="27" spans="1:26" s="26" customFormat="1" outlineLevel="1" collapsed="1" x14ac:dyDescent="0.25">
      <c r="A27" s="27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0</v>
      </c>
      <c r="E27" s="1"/>
      <c r="F27" s="5">
        <f t="shared" ref="F27:F29" si="8">IF(D$12=0,0,D27/D$12)</f>
        <v>0</v>
      </c>
      <c r="G27" s="1"/>
      <c r="H27" s="1">
        <f>SUM(OSRRefH22_1x_0)</f>
        <v>5534.76</v>
      </c>
      <c r="I27" s="1"/>
      <c r="J27" s="5">
        <f t="shared" ref="J27:J29" si="9">IF(H$12=0,0,H27/H$12)</f>
        <v>0</v>
      </c>
      <c r="K27" s="1"/>
      <c r="L27" s="1">
        <f t="shared" ref="L27:L29" si="10">+D27-H27</f>
        <v>-5534.76</v>
      </c>
      <c r="M27" s="1"/>
      <c r="N27" s="5">
        <f t="shared" ref="N27:N29" si="11">IF(H27=0,0,L27/H27)</f>
        <v>-1</v>
      </c>
      <c r="O27" s="13"/>
      <c r="P27" s="1">
        <f>SUM(OSRRefP22_1x_0)</f>
        <v>0</v>
      </c>
      <c r="Q27" s="1"/>
      <c r="R27" s="5">
        <f t="shared" ref="R27:R29" si="12">IF(P$12=0,0,P27/P$12)</f>
        <v>0</v>
      </c>
      <c r="S27" s="1"/>
      <c r="T27" s="1">
        <f>SUM(OSRRefT22_1x_0)</f>
        <v>33413.72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-33413.72</v>
      </c>
      <c r="Y27" s="1"/>
      <c r="Z27" s="5">
        <f t="shared" ref="Z27:Z29" si="15">IF(T27=0,0,X27/T27)</f>
        <v>-1</v>
      </c>
    </row>
    <row r="28" spans="1:26" s="24" customFormat="1" hidden="1" outlineLevel="2" x14ac:dyDescent="0.25">
      <c r="A28" s="25"/>
      <c r="B28" s="11" t="str">
        <f>CONCATENATE("          ", "6001", " - ", "ADMINISTRATIVE SALARIES")</f>
        <v xml:space="preserve">          6001 - ADMINISTRATIVE SALARIES</v>
      </c>
      <c r="C28" s="11"/>
      <c r="D28" s="6"/>
      <c r="E28" s="2"/>
      <c r="F28" s="7">
        <f t="shared" si="8"/>
        <v>0</v>
      </c>
      <c r="G28" s="2"/>
      <c r="H28" s="6">
        <v>5534.76</v>
      </c>
      <c r="I28" s="2"/>
      <c r="J28" s="7">
        <f t="shared" si="9"/>
        <v>0</v>
      </c>
      <c r="K28" s="2"/>
      <c r="L28" s="6">
        <f t="shared" si="10"/>
        <v>-5534.76</v>
      </c>
      <c r="M28" s="2"/>
      <c r="N28" s="7">
        <f t="shared" si="11"/>
        <v>-1</v>
      </c>
      <c r="O28" s="11"/>
      <c r="P28" s="6"/>
      <c r="Q28" s="2"/>
      <c r="R28" s="7">
        <f t="shared" si="12"/>
        <v>0</v>
      </c>
      <c r="S28" s="2"/>
      <c r="T28" s="6">
        <v>33413.72</v>
      </c>
      <c r="U28" s="2"/>
      <c r="V28" s="7">
        <f t="shared" si="13"/>
        <v>0</v>
      </c>
      <c r="W28" s="2"/>
      <c r="X28" s="6">
        <f t="shared" si="14"/>
        <v>-33413.72</v>
      </c>
      <c r="Y28" s="2"/>
      <c r="Z28" s="7">
        <f t="shared" si="15"/>
        <v>-1</v>
      </c>
    </row>
    <row r="29" spans="1:26" s="24" customFormat="1" hidden="1" outlineLevel="2" x14ac:dyDescent="0.25">
      <c r="A29" s="25"/>
      <c r="B29" s="11" t="str">
        <f>CONCATENATE("          ", "6002", " - ", "STAFF SALARIES")</f>
        <v xml:space="preserve">          6002 - STAFF SALARIES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/>
      <c r="Q29" s="2"/>
      <c r="R29" s="7">
        <f t="shared" si="12"/>
        <v>0</v>
      </c>
      <c r="S29" s="2"/>
      <c r="T29" s="6">
        <v>0</v>
      </c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61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collapsed="1" x14ac:dyDescent="0.25">
      <c r="A31" s="10"/>
      <c r="B31" s="29" t="s">
        <v>0</v>
      </c>
      <c r="C31" s="10"/>
      <c r="D31" s="4">
        <f>SUM(OSRRefD25x_0)</f>
        <v>786.95</v>
      </c>
      <c r="E31" s="4"/>
      <c r="F31" s="12">
        <f t="shared" ref="F31:F33" si="16">IF(D$12=0,0,D31/D$12)</f>
        <v>0</v>
      </c>
      <c r="G31" s="4"/>
      <c r="H31" s="4">
        <f>SUM(OSRRefH25x_0)</f>
        <v>17307.7</v>
      </c>
      <c r="I31" s="4"/>
      <c r="J31" s="12">
        <f t="shared" ref="J31:J33" si="17">IF(H$12=0,0,H31/H$12)</f>
        <v>0</v>
      </c>
      <c r="K31" s="4"/>
      <c r="L31" s="4">
        <f t="shared" ref="L31:L33" si="18">+D31-H31</f>
        <v>-16520.75</v>
      </c>
      <c r="M31" s="4"/>
      <c r="N31" s="12">
        <f t="shared" ref="N31:N33" si="19">IF(H31=0,0,L31/H31)</f>
        <v>-0.95453179798586751</v>
      </c>
      <c r="O31" s="10"/>
      <c r="P31" s="4">
        <f>SUM(OSRRefP25x_0)</f>
        <v>13803.939999999999</v>
      </c>
      <c r="Q31" s="4"/>
      <c r="R31" s="12">
        <f t="shared" ref="R31:R33" si="20">IF(P$12=0,0,P31/P$12)</f>
        <v>0</v>
      </c>
      <c r="S31" s="4"/>
      <c r="T31" s="4">
        <f>SUM(OSRRefT25x_0)</f>
        <v>347763.03</v>
      </c>
      <c r="U31" s="4"/>
      <c r="V31" s="12">
        <f t="shared" ref="V31:V33" si="21">IF(T$12=0,0,T31/T$12)</f>
        <v>0</v>
      </c>
      <c r="W31" s="4"/>
      <c r="X31" s="4">
        <f t="shared" ref="X31:X33" si="22">+P31-T31</f>
        <v>-333959.09000000003</v>
      </c>
      <c r="Y31" s="4"/>
      <c r="Z31" s="12">
        <f t="shared" ref="Z31:Z33" si="23">IF(T31=0,0,X31/T31)</f>
        <v>-0.96030647651074352</v>
      </c>
    </row>
    <row r="32" spans="1:26" s="24" customFormat="1" hidden="1" outlineLevel="1" x14ac:dyDescent="0.25">
      <c r="A32" s="44"/>
      <c r="B32" s="11" t="str">
        <f>CONCATENATE("          ", "9160", " - ", "MISC. INCOME")</f>
        <v xml:space="preserve">          9160 - MISC. INCOME</v>
      </c>
      <c r="C32" s="11"/>
      <c r="D32" s="2">
        <f>0</f>
        <v>0</v>
      </c>
      <c r="E32" s="2"/>
      <c r="F32" s="19">
        <f t="shared" si="16"/>
        <v>0</v>
      </c>
      <c r="G32" s="2"/>
      <c r="H32" s="2">
        <f>--17307.7</f>
        <v>17307.7</v>
      </c>
      <c r="I32" s="2"/>
      <c r="J32" s="19">
        <f t="shared" si="17"/>
        <v>0</v>
      </c>
      <c r="K32" s="2"/>
      <c r="L32" s="2">
        <f t="shared" si="18"/>
        <v>-17307.7</v>
      </c>
      <c r="M32" s="2"/>
      <c r="N32" s="19">
        <f t="shared" si="19"/>
        <v>-1</v>
      </c>
      <c r="O32" s="11"/>
      <c r="P32" s="2">
        <f>--11701.82</f>
        <v>11701.82</v>
      </c>
      <c r="Q32" s="2"/>
      <c r="R32" s="19">
        <f t="shared" si="20"/>
        <v>0</v>
      </c>
      <c r="S32" s="2"/>
      <c r="T32" s="2">
        <f>--120346.97</f>
        <v>120346.97</v>
      </c>
      <c r="U32" s="2"/>
      <c r="V32" s="19">
        <f t="shared" si="21"/>
        <v>0</v>
      </c>
      <c r="W32" s="2"/>
      <c r="X32" s="2">
        <f t="shared" si="22"/>
        <v>-108645.15</v>
      </c>
      <c r="Y32" s="2"/>
      <c r="Z32" s="19">
        <f t="shared" si="23"/>
        <v>-0.90276597740682618</v>
      </c>
    </row>
    <row r="33" spans="1:26" s="24" customFormat="1" hidden="1" outlineLevel="1" x14ac:dyDescent="0.25">
      <c r="A33" s="44"/>
      <c r="B33" s="11" t="str">
        <f>CONCATENATE("          ", "9165", " - ", "OTHER INCOME")</f>
        <v xml:space="preserve">          9165 - OTHER INCOME</v>
      </c>
      <c r="C33" s="11"/>
      <c r="D33" s="2">
        <f>--786.95</f>
        <v>786.95</v>
      </c>
      <c r="E33" s="2"/>
      <c r="F33" s="19">
        <f t="shared" si="16"/>
        <v>0</v>
      </c>
      <c r="G33" s="2"/>
      <c r="H33" s="2">
        <f>0</f>
        <v>0</v>
      </c>
      <c r="I33" s="2"/>
      <c r="J33" s="19">
        <f t="shared" si="17"/>
        <v>0</v>
      </c>
      <c r="K33" s="2"/>
      <c r="L33" s="2">
        <f t="shared" si="18"/>
        <v>786.95</v>
      </c>
      <c r="M33" s="2"/>
      <c r="N33" s="19">
        <f t="shared" si="19"/>
        <v>0</v>
      </c>
      <c r="O33" s="11"/>
      <c r="P33" s="2">
        <f>--2102.12</f>
        <v>2102.12</v>
      </c>
      <c r="Q33" s="2"/>
      <c r="R33" s="19">
        <f t="shared" si="20"/>
        <v>0</v>
      </c>
      <c r="S33" s="2"/>
      <c r="T33" s="2">
        <f>--227416.06</f>
        <v>227416.06</v>
      </c>
      <c r="U33" s="2"/>
      <c r="V33" s="19">
        <f t="shared" si="21"/>
        <v>0</v>
      </c>
      <c r="W33" s="2"/>
      <c r="X33" s="2">
        <f t="shared" si="22"/>
        <v>-225313.94</v>
      </c>
      <c r="Y33" s="2"/>
      <c r="Z33" s="19">
        <f t="shared" si="23"/>
        <v>-0.99075650154171169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8" t="s">
        <v>3</v>
      </c>
      <c r="C35" s="28"/>
      <c r="D35" s="20">
        <f>+D16-D18+D31</f>
        <v>786.95</v>
      </c>
      <c r="E35" s="14"/>
      <c r="F35" s="22">
        <f>IF(D$12=0,0,D35/D$12)</f>
        <v>0</v>
      </c>
      <c r="G35" s="14"/>
      <c r="H35" s="20">
        <f>+H16-H18+H31</f>
        <v>8955.4700000000012</v>
      </c>
      <c r="I35" s="14"/>
      <c r="J35" s="22">
        <f>IF(H$12=0,0,H35/H$12)</f>
        <v>0</v>
      </c>
      <c r="K35" s="15"/>
      <c r="L35" s="20">
        <f>+D35-H35</f>
        <v>-8168.5200000000013</v>
      </c>
      <c r="M35" s="15"/>
      <c r="N35" s="22">
        <f>IF(H35=0,0,L35/H35)</f>
        <v>-0.91212633172798308</v>
      </c>
      <c r="O35" s="29"/>
      <c r="P35" s="20">
        <f>+P16-P18+P31</f>
        <v>13803.939999999999</v>
      </c>
      <c r="Q35" s="14"/>
      <c r="R35" s="22">
        <f>IF(P$12=0,0,P35/P$12)</f>
        <v>0</v>
      </c>
      <c r="S35" s="14"/>
      <c r="T35" s="20">
        <f>+T16-T18+T31</f>
        <v>287069.54000000004</v>
      </c>
      <c r="U35" s="14"/>
      <c r="V35" s="22">
        <f>IF(T$12=0,0,T35/T$12)</f>
        <v>0</v>
      </c>
      <c r="W35" s="15"/>
      <c r="X35" s="20">
        <f>+P35-T35</f>
        <v>-273265.60000000003</v>
      </c>
      <c r="Y35" s="15"/>
      <c r="Z35" s="22">
        <f>IF(T35=0,0,X35/T35)</f>
        <v>-0.95191429923216508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51"/>
      <c r="B37" s="10" t="s">
        <v>13</v>
      </c>
      <c r="C37" s="10"/>
      <c r="D37" s="4"/>
      <c r="E37" s="4"/>
      <c r="F37" s="12">
        <f>IF(D$12=0,0,D37/D$12)</f>
        <v>0</v>
      </c>
      <c r="G37" s="4"/>
      <c r="H37" s="4"/>
      <c r="I37" s="4"/>
      <c r="J37" s="12">
        <f>IF(H$12=0,0,H37/H$12)</f>
        <v>0</v>
      </c>
      <c r="K37" s="4"/>
      <c r="L37" s="4">
        <f>+D37-H37</f>
        <v>0</v>
      </c>
      <c r="M37" s="4"/>
      <c r="N37" s="12">
        <f>IF(H37=0,0,L37/H37)</f>
        <v>0</v>
      </c>
      <c r="O37" s="10"/>
      <c r="P37" s="4"/>
      <c r="Q37" s="4"/>
      <c r="R37" s="12">
        <f>IF(P$12=0,0,P37/P$12)</f>
        <v>0</v>
      </c>
      <c r="S37" s="4"/>
      <c r="T37" s="4"/>
      <c r="U37" s="4"/>
      <c r="V37" s="12">
        <f>IF(T$12=0,0,T37/T$12)</f>
        <v>0</v>
      </c>
      <c r="W37" s="4"/>
      <c r="X37" s="4">
        <f>+P37-T37</f>
        <v>0</v>
      </c>
      <c r="Y37" s="4"/>
      <c r="Z37" s="12">
        <f>IF(T37=0,0,X37/T37)</f>
        <v>0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8" t="s">
        <v>4</v>
      </c>
      <c r="C39" s="28"/>
      <c r="D39" s="30">
        <f>+D35-D37</f>
        <v>786.95</v>
      </c>
      <c r="E39" s="14"/>
      <c r="F39" s="36">
        <f>IF(D$12=0,0,D39/D$12)</f>
        <v>0</v>
      </c>
      <c r="G39" s="14"/>
      <c r="H39" s="30">
        <f>+H35-H37</f>
        <v>8955.4700000000012</v>
      </c>
      <c r="I39" s="14"/>
      <c r="J39" s="36">
        <f>IF(H$12=0,0,H39/H$12)</f>
        <v>0</v>
      </c>
      <c r="K39" s="15"/>
      <c r="L39" s="30">
        <f>D39-H39</f>
        <v>-8168.5200000000013</v>
      </c>
      <c r="M39" s="15"/>
      <c r="N39" s="36">
        <f>IF(H39=0,0,L39/H39)</f>
        <v>-0.91212633172798308</v>
      </c>
      <c r="O39" s="29"/>
      <c r="P39" s="30">
        <f>+P35-P37</f>
        <v>13803.939999999999</v>
      </c>
      <c r="Q39" s="14"/>
      <c r="R39" s="36">
        <f>IF(P$12=0,0,P39/P$12)</f>
        <v>0</v>
      </c>
      <c r="S39" s="14"/>
      <c r="T39" s="30">
        <f>+T35-T37</f>
        <v>287069.54000000004</v>
      </c>
      <c r="U39" s="14"/>
      <c r="V39" s="36">
        <f>IF(T$12=0,0,T39/T$12)</f>
        <v>0</v>
      </c>
      <c r="W39" s="15"/>
      <c r="X39" s="30">
        <f>P39-T39</f>
        <v>-273265.60000000003</v>
      </c>
      <c r="Y39" s="15"/>
      <c r="Z39" s="36">
        <f>IF(T39=0,0,X39/T39)</f>
        <v>-0.95191429923216508</v>
      </c>
    </row>
    <row r="40" spans="1:26" ht="15.75" thickTop="1" x14ac:dyDescent="0.25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.75" thickBot="1" x14ac:dyDescent="0.3">
      <c r="A42" s="10"/>
      <c r="B42" s="28" t="s">
        <v>5</v>
      </c>
      <c r="C42" s="28"/>
      <c r="D42" s="32">
        <f>SUM(D39:D41)</f>
        <v>786.95</v>
      </c>
      <c r="E42" s="14"/>
      <c r="F42" s="31">
        <f>IF(D$12=0,0,D42/D$12)</f>
        <v>0</v>
      </c>
      <c r="G42" s="14"/>
      <c r="H42" s="32">
        <f>SUM(H39:H41)</f>
        <v>8955.4700000000012</v>
      </c>
      <c r="I42" s="14"/>
      <c r="J42" s="31">
        <f>IF(H$12=0,0,H42/H$12)</f>
        <v>0</v>
      </c>
      <c r="K42" s="15"/>
      <c r="L42" s="32">
        <f>+D42-H42</f>
        <v>-8168.5200000000013</v>
      </c>
      <c r="M42" s="15"/>
      <c r="N42" s="31">
        <f>IF(H42=0,0,L42/H42)</f>
        <v>-0.91212633172798308</v>
      </c>
      <c r="O42" s="29"/>
      <c r="P42" s="32">
        <f>SUM(P39:P41)</f>
        <v>13803.939999999999</v>
      </c>
      <c r="Q42" s="14"/>
      <c r="R42" s="31">
        <f>IF(P$12=0,0,P42/P$12)</f>
        <v>0</v>
      </c>
      <c r="S42" s="14"/>
      <c r="T42" s="32">
        <f>SUM(T39:T41)</f>
        <v>287069.54000000004</v>
      </c>
      <c r="U42" s="14"/>
      <c r="V42" s="31">
        <f>IF(T$12=0,0,T42/T$12)</f>
        <v>0</v>
      </c>
      <c r="W42" s="15"/>
      <c r="X42" s="32">
        <f>+P42-T42</f>
        <v>-273265.60000000003</v>
      </c>
      <c r="Y42" s="15"/>
      <c r="Z42" s="31">
        <f>IF(T42=0,0,X42/T42)</f>
        <v>-0.95191429923216508</v>
      </c>
    </row>
    <row r="43" spans="1:26" ht="15.75" thickTop="1" x14ac:dyDescent="0.25">
      <c r="A43" s="9"/>
      <c r="C43" s="9"/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A44" s="9"/>
      <c r="B44" s="62">
        <v>44238.496717013892</v>
      </c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  <row r="45" spans="1:26" x14ac:dyDescent="0.25">
      <c r="A45" s="9"/>
      <c r="B45" s="59" t="s">
        <v>313</v>
      </c>
      <c r="D45" s="18"/>
      <c r="E45" s="18"/>
      <c r="G45" s="18"/>
      <c r="H45" s="18"/>
      <c r="I45" s="18"/>
      <c r="J45" s="42"/>
      <c r="K45" s="18"/>
      <c r="L45" s="18"/>
      <c r="M45" s="18"/>
      <c r="P45" s="18"/>
      <c r="Q45" s="18"/>
      <c r="R45" s="42"/>
      <c r="S45" s="18"/>
      <c r="T45" s="18"/>
      <c r="U45" s="18"/>
      <c r="V45" s="42"/>
      <c r="W45" s="18"/>
      <c r="X45" s="18"/>
    </row>
    <row r="46" spans="1:26" x14ac:dyDescent="0.25">
      <c r="A46" s="9"/>
      <c r="B46" s="56"/>
      <c r="D46" s="18"/>
      <c r="E46" s="18"/>
      <c r="G46" s="18"/>
      <c r="H46" s="18"/>
      <c r="I46" s="18"/>
      <c r="J46" s="42"/>
      <c r="K46" s="18"/>
      <c r="L46" s="18"/>
      <c r="M46" s="18"/>
      <c r="P46" s="18"/>
      <c r="Q46" s="18"/>
      <c r="R46" s="42"/>
      <c r="S46" s="18"/>
      <c r="T46" s="18"/>
      <c r="U46" s="18"/>
      <c r="V46" s="42"/>
      <c r="W46" s="18"/>
      <c r="X46" s="18"/>
    </row>
    <row r="47" spans="1:26" x14ac:dyDescent="0.25">
      <c r="D47" s="18"/>
      <c r="E47" s="18"/>
      <c r="G47" s="18"/>
      <c r="H47" s="18"/>
      <c r="I47" s="18"/>
      <c r="J47" s="42"/>
      <c r="K47" s="18"/>
      <c r="L47" s="18"/>
      <c r="M47" s="18"/>
      <c r="P47" s="18"/>
      <c r="Q47" s="18"/>
      <c r="R47" s="42"/>
      <c r="S47" s="18"/>
      <c r="T47" s="18"/>
      <c r="U47" s="18"/>
      <c r="V47" s="42"/>
      <c r="W47" s="18"/>
      <c r="X47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298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300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38251.15</v>
      </c>
      <c r="E12" s="4"/>
      <c r="F12" s="12"/>
      <c r="G12" s="4"/>
      <c r="H12" s="4">
        <f>SUM(OSRRefH13x_0)</f>
        <v>648989.25</v>
      </c>
      <c r="I12" s="4"/>
      <c r="J12" s="12"/>
      <c r="K12" s="4"/>
      <c r="L12" s="4">
        <f t="shared" ref="L12:L17" si="0">+D12-H12</f>
        <v>-610738.1</v>
      </c>
      <c r="M12" s="4"/>
      <c r="N12" s="12">
        <f t="shared" ref="N12:N17" si="1">IF(H12=0,0,L12/H12)</f>
        <v>-0.94106042588532857</v>
      </c>
      <c r="O12" s="10"/>
      <c r="P12" s="4">
        <f>SUM(OSRRefP13x_0)</f>
        <v>674751.01</v>
      </c>
      <c r="Q12" s="4"/>
      <c r="R12" s="12"/>
      <c r="S12" s="4"/>
      <c r="T12" s="4">
        <f>SUM(OSRRefT13x_0)</f>
        <v>6737303.3799999999</v>
      </c>
      <c r="U12" s="4"/>
      <c r="V12" s="12"/>
      <c r="W12" s="4"/>
      <c r="X12" s="4">
        <f t="shared" ref="X12:X17" si="2">+P12-T12</f>
        <v>-6062552.3700000001</v>
      </c>
      <c r="Y12" s="4"/>
      <c r="Z12" s="12">
        <f t="shared" ref="Z12:Z17" si="3">IF(T12=0,0,X12/T12)</f>
        <v>-0.89984850437297659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--46.44</f>
        <v>46.44</v>
      </c>
      <c r="E13" s="2"/>
      <c r="F13" s="19"/>
      <c r="G13" s="2"/>
      <c r="H13" s="2">
        <f>--386.73</f>
        <v>386.73</v>
      </c>
      <c r="I13" s="2"/>
      <c r="J13" s="19"/>
      <c r="K13" s="2"/>
      <c r="L13" s="2">
        <f t="shared" si="0"/>
        <v>-340.29</v>
      </c>
      <c r="M13" s="2"/>
      <c r="N13" s="19">
        <f t="shared" si="1"/>
        <v>-0.87991622061903652</v>
      </c>
      <c r="O13" s="11"/>
      <c r="P13" s="2">
        <f>--579.52</f>
        <v>579.52</v>
      </c>
      <c r="Q13" s="2"/>
      <c r="R13" s="19"/>
      <c r="S13" s="2"/>
      <c r="T13" s="2">
        <f>--20725.69</f>
        <v>20725.689999999999</v>
      </c>
      <c r="U13" s="2"/>
      <c r="V13" s="19"/>
      <c r="W13" s="2"/>
      <c r="X13" s="2">
        <f t="shared" si="2"/>
        <v>-20146.169999999998</v>
      </c>
      <c r="Y13" s="2"/>
      <c r="Z13" s="19">
        <f t="shared" si="3"/>
        <v>-0.97203856662914478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--973.49</f>
        <v>973.49</v>
      </c>
      <c r="U14" s="2"/>
      <c r="V14" s="19"/>
      <c r="W14" s="2"/>
      <c r="X14" s="2">
        <f t="shared" si="2"/>
        <v>-973.49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--35996.95</f>
        <v>35996.949999999997</v>
      </c>
      <c r="E15" s="2"/>
      <c r="F15" s="19"/>
      <c r="G15" s="2"/>
      <c r="H15" s="2">
        <f>--604694.27</f>
        <v>604694.27</v>
      </c>
      <c r="I15" s="2"/>
      <c r="J15" s="19"/>
      <c r="K15" s="2"/>
      <c r="L15" s="2">
        <f t="shared" si="0"/>
        <v>-568697.32000000007</v>
      </c>
      <c r="M15" s="2"/>
      <c r="N15" s="19">
        <f t="shared" si="1"/>
        <v>-0.94047082668734405</v>
      </c>
      <c r="O15" s="11"/>
      <c r="P15" s="2">
        <f>--642202.33</f>
        <v>642202.32999999996</v>
      </c>
      <c r="Q15" s="2"/>
      <c r="R15" s="19"/>
      <c r="S15" s="2"/>
      <c r="T15" s="2">
        <f>--6445205.51</f>
        <v>6445205.5099999998</v>
      </c>
      <c r="U15" s="2"/>
      <c r="V15" s="19"/>
      <c r="W15" s="2"/>
      <c r="X15" s="2">
        <f t="shared" si="2"/>
        <v>-5803003.1799999997</v>
      </c>
      <c r="Y15" s="2"/>
      <c r="Z15" s="19">
        <f t="shared" si="3"/>
        <v>-0.90035968147119638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--2207.76</f>
        <v>2207.7600000000002</v>
      </c>
      <c r="E16" s="2"/>
      <c r="F16" s="19"/>
      <c r="G16" s="2"/>
      <c r="H16" s="2">
        <f>--43908.25</f>
        <v>43908.25</v>
      </c>
      <c r="I16" s="2"/>
      <c r="J16" s="19"/>
      <c r="K16" s="2"/>
      <c r="L16" s="2">
        <f t="shared" si="0"/>
        <v>-41700.49</v>
      </c>
      <c r="M16" s="2"/>
      <c r="N16" s="19">
        <f t="shared" si="1"/>
        <v>-0.94971878861034087</v>
      </c>
      <c r="O16" s="11"/>
      <c r="P16" s="2">
        <f>--31969.16</f>
        <v>31969.16</v>
      </c>
      <c r="Q16" s="2"/>
      <c r="R16" s="19"/>
      <c r="S16" s="2"/>
      <c r="T16" s="2">
        <f>--266664.79</f>
        <v>266664.78999999998</v>
      </c>
      <c r="U16" s="2"/>
      <c r="V16" s="19"/>
      <c r="W16" s="2"/>
      <c r="X16" s="2">
        <f t="shared" si="2"/>
        <v>-234695.62999999998</v>
      </c>
      <c r="Y16" s="2"/>
      <c r="Z16" s="19">
        <f t="shared" si="3"/>
        <v>-0.88011480630794936</v>
      </c>
    </row>
    <row r="17" spans="1:26" s="24" customFormat="1" hidden="1" outlineLevel="1" x14ac:dyDescent="0.25">
      <c r="A17" s="44"/>
      <c r="B17" s="11" t="str">
        <f>CONCATENATE("          ", "4155", " - ", "NON-TAXABLE SALES-FOOD")</f>
        <v xml:space="preserve">          4155 - NON-TAXABLE SALES-FOOD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--3733.9</f>
        <v>3733.9</v>
      </c>
      <c r="U17" s="2"/>
      <c r="V17" s="19"/>
      <c r="W17" s="2"/>
      <c r="X17" s="2">
        <f t="shared" si="2"/>
        <v>-3733.9</v>
      </c>
      <c r="Y17" s="2"/>
      <c r="Z17" s="19">
        <f t="shared" si="3"/>
        <v>-1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9" t="s">
        <v>8</v>
      </c>
      <c r="C19" s="10"/>
      <c r="D19" s="4">
        <f>SUM(OSRRefD16x_0)</f>
        <v>31982.57</v>
      </c>
      <c r="E19" s="4"/>
      <c r="F19" s="12">
        <f t="shared" ref="F19:F21" si="4">IF(D$12=0,0,D19/D$12)</f>
        <v>0.83612048265215555</v>
      </c>
      <c r="G19" s="4"/>
      <c r="H19" s="4">
        <f>SUM(OSRRefH16x_0)</f>
        <v>154839.35</v>
      </c>
      <c r="I19" s="4"/>
      <c r="J19" s="12">
        <f t="shared" ref="J19:J21" si="5">IF(H$12=0,0,H19/H$12)</f>
        <v>0.23858538488888684</v>
      </c>
      <c r="K19" s="4"/>
      <c r="L19" s="4">
        <f t="shared" ref="L19:L21" si="6">+D19-H19</f>
        <v>-122856.78</v>
      </c>
      <c r="M19" s="4"/>
      <c r="N19" s="12">
        <f t="shared" ref="N19:N21" si="7">IF(H19=0,0,L19/H19)</f>
        <v>-0.79344675626705996</v>
      </c>
      <c r="O19" s="10"/>
      <c r="P19" s="4">
        <f>SUM(OSRRefP16x_0)</f>
        <v>282847.38</v>
      </c>
      <c r="Q19" s="4"/>
      <c r="R19" s="12">
        <f t="shared" ref="R19:R21" si="8">IF(P$12=0,0,P19/P$12)</f>
        <v>0.41918778306089532</v>
      </c>
      <c r="S19" s="4"/>
      <c r="T19" s="4">
        <f>SUM(OSRRefT16x_0)</f>
        <v>1618831.13</v>
      </c>
      <c r="U19" s="4"/>
      <c r="V19" s="12">
        <f t="shared" ref="V19:V21" si="9">IF(T$12=0,0,T19/T$12)</f>
        <v>0.24027879385772885</v>
      </c>
      <c r="W19" s="4"/>
      <c r="X19" s="4">
        <f t="shared" ref="X19:X21" si="10">+P19-T19</f>
        <v>-1335983.75</v>
      </c>
      <c r="Y19" s="4"/>
      <c r="Z19" s="12">
        <f t="shared" ref="Z19:Z21" si="11">IF(T19=0,0,X19/T19)</f>
        <v>-0.82527678473788679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29350.59</v>
      </c>
      <c r="E20" s="2"/>
      <c r="F20" s="19">
        <f t="shared" si="4"/>
        <v>0.76731261674485596</v>
      </c>
      <c r="G20" s="2"/>
      <c r="H20" s="2">
        <v>199642.35</v>
      </c>
      <c r="I20" s="2"/>
      <c r="J20" s="19">
        <f t="shared" si="5"/>
        <v>0.30762042668657458</v>
      </c>
      <c r="K20" s="2"/>
      <c r="L20" s="2">
        <f t="shared" si="6"/>
        <v>-170291.76</v>
      </c>
      <c r="M20" s="2"/>
      <c r="N20" s="19">
        <f t="shared" si="7"/>
        <v>-0.85298414890427809</v>
      </c>
      <c r="O20" s="11"/>
      <c r="P20" s="2">
        <v>285679.08</v>
      </c>
      <c r="Q20" s="2"/>
      <c r="R20" s="19">
        <f t="shared" si="8"/>
        <v>0.42338444221076454</v>
      </c>
      <c r="S20" s="2"/>
      <c r="T20" s="2">
        <v>1657453.39</v>
      </c>
      <c r="U20" s="2"/>
      <c r="V20" s="19">
        <f t="shared" si="9"/>
        <v>0.24601139306272415</v>
      </c>
      <c r="W20" s="2"/>
      <c r="X20" s="2">
        <f t="shared" si="10"/>
        <v>-1371774.3099999998</v>
      </c>
      <c r="Y20" s="2"/>
      <c r="Z20" s="19">
        <f t="shared" si="11"/>
        <v>-0.82763975040046223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2631.98</v>
      </c>
      <c r="E21" s="2"/>
      <c r="F21" s="19">
        <f t="shared" si="4"/>
        <v>6.8807865907299523E-2</v>
      </c>
      <c r="G21" s="2"/>
      <c r="H21" s="2">
        <v>-44803</v>
      </c>
      <c r="I21" s="2"/>
      <c r="J21" s="19">
        <f t="shared" si="5"/>
        <v>-6.9035041797687713E-2</v>
      </c>
      <c r="K21" s="2"/>
      <c r="L21" s="2">
        <f t="shared" si="6"/>
        <v>47434.98</v>
      </c>
      <c r="M21" s="2"/>
      <c r="N21" s="19">
        <f t="shared" si="7"/>
        <v>-1.0587456197129657</v>
      </c>
      <c r="O21" s="11"/>
      <c r="P21" s="2">
        <v>-2831.7</v>
      </c>
      <c r="Q21" s="2"/>
      <c r="R21" s="19">
        <f t="shared" si="8"/>
        <v>-4.1966591498692231E-3</v>
      </c>
      <c r="S21" s="2"/>
      <c r="T21" s="2">
        <v>-38622.259999999995</v>
      </c>
      <c r="U21" s="2"/>
      <c r="V21" s="19">
        <f t="shared" si="9"/>
        <v>-5.7325992049952774E-3</v>
      </c>
      <c r="W21" s="2"/>
      <c r="X21" s="2">
        <f t="shared" si="10"/>
        <v>35790.559999999998</v>
      </c>
      <c r="Y21" s="2"/>
      <c r="Z21" s="19">
        <f t="shared" si="11"/>
        <v>-0.92668217758360083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D12-D19</f>
        <v>6268.5800000000017</v>
      </c>
      <c r="E23" s="14"/>
      <c r="F23" s="22">
        <f>IF(D$12=0,0,D23/D$12)</f>
        <v>0.16387951734784448</v>
      </c>
      <c r="G23" s="14"/>
      <c r="H23" s="20">
        <f>H12-H19</f>
        <v>494149.9</v>
      </c>
      <c r="I23" s="14"/>
      <c r="J23" s="22">
        <f>IF(H$12=0,0,H23/H$12)</f>
        <v>0.76141461511111319</v>
      </c>
      <c r="K23" s="15"/>
      <c r="L23" s="20">
        <f>+D23-H23</f>
        <v>-487881.32</v>
      </c>
      <c r="M23" s="15"/>
      <c r="N23" s="22">
        <f>IF(H23=0,0,L23/H23)</f>
        <v>-0.98731441613162318</v>
      </c>
      <c r="O23" s="29"/>
      <c r="P23" s="20">
        <f>P12-P19</f>
        <v>391903.63</v>
      </c>
      <c r="Q23" s="14"/>
      <c r="R23" s="22">
        <f>IF(P$12=0,0,P23/P$12)</f>
        <v>0.58081221693910468</v>
      </c>
      <c r="S23" s="14"/>
      <c r="T23" s="20">
        <f>T12-T19</f>
        <v>5118472.25</v>
      </c>
      <c r="U23" s="14"/>
      <c r="V23" s="22">
        <f>IF(T$12=0,0,T23/T$12)</f>
        <v>0.75972120614227112</v>
      </c>
      <c r="W23" s="15"/>
      <c r="X23" s="20">
        <f>+P23-T23</f>
        <v>-4726568.62</v>
      </c>
      <c r="Y23" s="15"/>
      <c r="Z23" s="22">
        <f>IF(T23=0,0,X23/T23)</f>
        <v>-0.92343347568212375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181978.56</v>
      </c>
      <c r="E25" s="21"/>
      <c r="F25" s="35">
        <f t="shared" ref="F25:F35" si="12">IF(D$12=0,0,D25/D$12)</f>
        <v>4.7574663768278862</v>
      </c>
      <c r="G25" s="21"/>
      <c r="H25" s="21">
        <f>SUM(OSRRefH22x_0)</f>
        <v>406371.21000000014</v>
      </c>
      <c r="I25" s="21"/>
      <c r="J25" s="35">
        <f t="shared" ref="J25:J35" si="13">IF(H$12=0,0,H25/H$12)</f>
        <v>0.62616015596560359</v>
      </c>
      <c r="K25" s="4"/>
      <c r="L25" s="21">
        <f t="shared" ref="L25:L35" si="14">+D25-H25</f>
        <v>-224392.65000000014</v>
      </c>
      <c r="M25" s="4"/>
      <c r="N25" s="35">
        <f t="shared" ref="N25:N35" si="15">IF(H25=0,0,L25/H25)</f>
        <v>-0.55218638643224771</v>
      </c>
      <c r="O25" s="10"/>
      <c r="P25" s="21">
        <f>SUM(OSRRefP22x_0)</f>
        <v>1585446.06</v>
      </c>
      <c r="Q25" s="21"/>
      <c r="R25" s="35">
        <f t="shared" ref="R25:R35" si="16">IF(P$12=0,0,P25/P$12)</f>
        <v>2.3496757122305012</v>
      </c>
      <c r="S25" s="21"/>
      <c r="T25" s="21">
        <f>SUM(OSRRefT22x_0)</f>
        <v>3350940.84</v>
      </c>
      <c r="U25" s="21"/>
      <c r="V25" s="35">
        <f t="shared" ref="V25:V35" si="17">IF(T$12=0,0,T25/T$12)</f>
        <v>0.4973712256965338</v>
      </c>
      <c r="W25" s="4"/>
      <c r="X25" s="21">
        <f t="shared" ref="X25:X35" si="18">+P25-T25</f>
        <v>-1765494.7799999998</v>
      </c>
      <c r="Y25" s="4"/>
      <c r="Z25" s="35">
        <f t="shared" ref="Z25:Z35" si="19">IF(T25=0,0,X25/T25)</f>
        <v>-0.52686539819664491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73060.73000000001</v>
      </c>
      <c r="E26" s="1"/>
      <c r="F26" s="5">
        <f t="shared" si="12"/>
        <v>1.9100270187955135</v>
      </c>
      <c r="G26" s="1"/>
      <c r="H26" s="1">
        <f>SUM(OSRRefH22_0x_0)</f>
        <v>94274.670000000013</v>
      </c>
      <c r="I26" s="1"/>
      <c r="J26" s="5">
        <f t="shared" si="13"/>
        <v>0.1452638391159792</v>
      </c>
      <c r="K26" s="1"/>
      <c r="L26" s="1">
        <f t="shared" si="14"/>
        <v>-21213.940000000002</v>
      </c>
      <c r="M26" s="1"/>
      <c r="N26" s="5">
        <f t="shared" si="15"/>
        <v>-0.2250226916731716</v>
      </c>
      <c r="O26" s="13"/>
      <c r="P26" s="1">
        <f>SUM(OSRRefP22_0x_0)</f>
        <v>539768.98</v>
      </c>
      <c r="Q26" s="1"/>
      <c r="R26" s="5">
        <f t="shared" si="16"/>
        <v>0.79995283000762007</v>
      </c>
      <c r="S26" s="1"/>
      <c r="T26" s="1">
        <f>SUM(OSRRefT22_0x_0)</f>
        <v>663693.44000000006</v>
      </c>
      <c r="U26" s="1"/>
      <c r="V26" s="5">
        <f t="shared" si="17"/>
        <v>9.8510249957008772E-2</v>
      </c>
      <c r="W26" s="1"/>
      <c r="X26" s="1">
        <f t="shared" si="18"/>
        <v>-123924.46000000008</v>
      </c>
      <c r="Y26" s="1"/>
      <c r="Z26" s="5">
        <f t="shared" si="19"/>
        <v>-0.18671942877723799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7273.64</v>
      </c>
      <c r="E27" s="2"/>
      <c r="F27" s="7">
        <f t="shared" si="12"/>
        <v>0.19015480580322422</v>
      </c>
      <c r="G27" s="2"/>
      <c r="H27" s="6">
        <v>9638.9599999999991</v>
      </c>
      <c r="I27" s="2"/>
      <c r="J27" s="7">
        <f t="shared" si="13"/>
        <v>1.4852264502069949E-2</v>
      </c>
      <c r="K27" s="2"/>
      <c r="L27" s="6">
        <f t="shared" si="14"/>
        <v>-2365.3199999999988</v>
      </c>
      <c r="M27" s="2"/>
      <c r="N27" s="7">
        <f t="shared" si="15"/>
        <v>-0.24539161901283946</v>
      </c>
      <c r="O27" s="11"/>
      <c r="P27" s="6">
        <v>56379.68</v>
      </c>
      <c r="Q27" s="2"/>
      <c r="R27" s="7">
        <f t="shared" si="16"/>
        <v>8.3556273594907249E-2</v>
      </c>
      <c r="S27" s="2"/>
      <c r="T27" s="6">
        <v>95736.65</v>
      </c>
      <c r="U27" s="2"/>
      <c r="V27" s="7">
        <f t="shared" si="17"/>
        <v>1.420993602339457E-2</v>
      </c>
      <c r="W27" s="2"/>
      <c r="X27" s="6">
        <f t="shared" si="18"/>
        <v>-39356.969999999994</v>
      </c>
      <c r="Y27" s="2"/>
      <c r="Z27" s="7">
        <f t="shared" si="19"/>
        <v>-0.41109616849973335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881.13</v>
      </c>
      <c r="E28" s="2"/>
      <c r="F28" s="7">
        <f t="shared" si="12"/>
        <v>2.3035385864215847E-2</v>
      </c>
      <c r="G28" s="2"/>
      <c r="H28" s="6">
        <v>6421.15</v>
      </c>
      <c r="I28" s="2"/>
      <c r="J28" s="7">
        <f t="shared" si="13"/>
        <v>9.8940775983577534E-3</v>
      </c>
      <c r="K28" s="2"/>
      <c r="L28" s="6">
        <f t="shared" si="14"/>
        <v>-5540.0199999999995</v>
      </c>
      <c r="M28" s="2"/>
      <c r="N28" s="7">
        <f t="shared" si="15"/>
        <v>-0.86277691690740754</v>
      </c>
      <c r="O28" s="11"/>
      <c r="P28" s="6">
        <v>34988.5</v>
      </c>
      <c r="Q28" s="2"/>
      <c r="R28" s="7">
        <f t="shared" si="16"/>
        <v>5.1853942389800942E-2</v>
      </c>
      <c r="S28" s="2"/>
      <c r="T28" s="6">
        <v>54677.61</v>
      </c>
      <c r="U28" s="2"/>
      <c r="V28" s="7">
        <f t="shared" si="17"/>
        <v>8.1156520518747971E-3</v>
      </c>
      <c r="W28" s="2"/>
      <c r="X28" s="6">
        <f t="shared" si="18"/>
        <v>-19689.11</v>
      </c>
      <c r="Y28" s="2"/>
      <c r="Z28" s="7">
        <f t="shared" si="19"/>
        <v>-0.36009456155819541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45413.66</v>
      </c>
      <c r="E29" s="2"/>
      <c r="F29" s="7">
        <f t="shared" si="12"/>
        <v>1.1872495336741511</v>
      </c>
      <c r="G29" s="2"/>
      <c r="H29" s="6">
        <v>51635.66</v>
      </c>
      <c r="I29" s="2"/>
      <c r="J29" s="7">
        <f t="shared" si="13"/>
        <v>7.9563197695493415E-2</v>
      </c>
      <c r="K29" s="2"/>
      <c r="L29" s="6">
        <f t="shared" si="14"/>
        <v>-6222</v>
      </c>
      <c r="M29" s="2"/>
      <c r="N29" s="7">
        <f t="shared" si="15"/>
        <v>-0.12049812087228089</v>
      </c>
      <c r="O29" s="11"/>
      <c r="P29" s="6">
        <v>313005.58999999997</v>
      </c>
      <c r="Q29" s="2"/>
      <c r="R29" s="7">
        <f t="shared" si="16"/>
        <v>0.46388309963404123</v>
      </c>
      <c r="S29" s="2"/>
      <c r="T29" s="6">
        <v>329595.16000000003</v>
      </c>
      <c r="U29" s="2"/>
      <c r="V29" s="7">
        <f t="shared" si="17"/>
        <v>4.8920931923359529E-2</v>
      </c>
      <c r="W29" s="2"/>
      <c r="X29" s="6">
        <f t="shared" si="18"/>
        <v>-16589.570000000065</v>
      </c>
      <c r="Y29" s="2"/>
      <c r="Z29" s="7">
        <f t="shared" si="19"/>
        <v>-5.0333172368186664E-2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555.41999999999996</v>
      </c>
      <c r="E30" s="2"/>
      <c r="F30" s="7">
        <f t="shared" si="12"/>
        <v>1.4520347754250524E-2</v>
      </c>
      <c r="G30" s="2"/>
      <c r="H30" s="6">
        <v>434.97</v>
      </c>
      <c r="I30" s="2"/>
      <c r="J30" s="7">
        <f t="shared" si="13"/>
        <v>6.7022681808674028E-4</v>
      </c>
      <c r="K30" s="2"/>
      <c r="L30" s="6">
        <f t="shared" si="14"/>
        <v>120.44999999999993</v>
      </c>
      <c r="M30" s="2"/>
      <c r="N30" s="7">
        <f t="shared" si="15"/>
        <v>0.27691564935512775</v>
      </c>
      <c r="O30" s="11"/>
      <c r="P30" s="6">
        <v>2201.2800000000002</v>
      </c>
      <c r="Q30" s="2"/>
      <c r="R30" s="7">
        <f t="shared" si="16"/>
        <v>3.2623589551944504E-3</v>
      </c>
      <c r="S30" s="2"/>
      <c r="T30" s="6">
        <v>4660.1400000000003</v>
      </c>
      <c r="U30" s="2"/>
      <c r="V30" s="7">
        <f t="shared" si="17"/>
        <v>6.9169217076283718E-4</v>
      </c>
      <c r="W30" s="2"/>
      <c r="X30" s="6">
        <f t="shared" si="18"/>
        <v>-2458.86</v>
      </c>
      <c r="Y30" s="2"/>
      <c r="Z30" s="7">
        <f t="shared" si="19"/>
        <v>-0.52763650877441448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5305.4</v>
      </c>
      <c r="E31" s="2"/>
      <c r="F31" s="7">
        <f t="shared" si="12"/>
        <v>0.1386990979356176</v>
      </c>
      <c r="G31" s="2"/>
      <c r="H31" s="6">
        <v>6063.12</v>
      </c>
      <c r="I31" s="2"/>
      <c r="J31" s="7">
        <f t="shared" si="13"/>
        <v>9.3424043618596138E-3</v>
      </c>
      <c r="K31" s="2"/>
      <c r="L31" s="6">
        <f t="shared" si="14"/>
        <v>-757.72000000000025</v>
      </c>
      <c r="M31" s="2"/>
      <c r="N31" s="7">
        <f t="shared" si="15"/>
        <v>-0.12497196163031579</v>
      </c>
      <c r="O31" s="11"/>
      <c r="P31" s="6">
        <v>28955.78</v>
      </c>
      <c r="Q31" s="2"/>
      <c r="R31" s="7">
        <f t="shared" si="16"/>
        <v>4.2913281448811763E-2</v>
      </c>
      <c r="S31" s="2"/>
      <c r="T31" s="6">
        <v>31969.660000000003</v>
      </c>
      <c r="U31" s="2"/>
      <c r="V31" s="7">
        <f t="shared" si="17"/>
        <v>4.7451715021329501E-3</v>
      </c>
      <c r="W31" s="2"/>
      <c r="X31" s="6">
        <f t="shared" si="18"/>
        <v>-3013.8800000000047</v>
      </c>
      <c r="Y31" s="2"/>
      <c r="Z31" s="7">
        <f t="shared" si="19"/>
        <v>-9.4273132713954558E-2</v>
      </c>
    </row>
    <row r="32" spans="1:26" s="24" customFormat="1" hidden="1" outlineLevel="2" x14ac:dyDescent="0.25">
      <c r="A32" s="25"/>
      <c r="B32" s="11" t="str">
        <f>CONCATENATE("          ", "6117", " - ", "RETIREMENT STAFF HOURLY")</f>
        <v xml:space="preserve">          6117 - RETIREMENT STAFF HOURLY</v>
      </c>
      <c r="C32" s="11"/>
      <c r="D32" s="6">
        <v>1440.43</v>
      </c>
      <c r="E32" s="2"/>
      <c r="F32" s="7">
        <f t="shared" si="12"/>
        <v>3.765716847728761E-2</v>
      </c>
      <c r="G32" s="2"/>
      <c r="H32" s="6">
        <v>2264.3000000000002</v>
      </c>
      <c r="I32" s="2"/>
      <c r="J32" s="7">
        <f t="shared" si="13"/>
        <v>3.488963800247847E-3</v>
      </c>
      <c r="K32" s="2"/>
      <c r="L32" s="6">
        <f t="shared" si="14"/>
        <v>-823.87000000000012</v>
      </c>
      <c r="M32" s="2"/>
      <c r="N32" s="7">
        <f t="shared" si="15"/>
        <v>-0.36385196307909734</v>
      </c>
      <c r="O32" s="11"/>
      <c r="P32" s="6">
        <v>10473.23</v>
      </c>
      <c r="Q32" s="2"/>
      <c r="R32" s="7">
        <f t="shared" si="16"/>
        <v>1.552162182017334E-2</v>
      </c>
      <c r="S32" s="2"/>
      <c r="T32" s="6">
        <v>12732.31</v>
      </c>
      <c r="U32" s="2"/>
      <c r="V32" s="7">
        <f t="shared" si="17"/>
        <v>1.8898228685673346E-3</v>
      </c>
      <c r="W32" s="2"/>
      <c r="X32" s="6">
        <f t="shared" si="18"/>
        <v>-2259.08</v>
      </c>
      <c r="Y32" s="2"/>
      <c r="Z32" s="7">
        <f t="shared" si="19"/>
        <v>-0.17742891902569133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>
        <v>6545.79</v>
      </c>
      <c r="E33" s="2"/>
      <c r="F33" s="7">
        <f t="shared" si="12"/>
        <v>0.17112661972254428</v>
      </c>
      <c r="G33" s="2"/>
      <c r="H33" s="6">
        <v>7754.21</v>
      </c>
      <c r="I33" s="2"/>
      <c r="J33" s="7">
        <f t="shared" si="13"/>
        <v>1.1948133193269379E-2</v>
      </c>
      <c r="K33" s="2"/>
      <c r="L33" s="6">
        <f t="shared" si="14"/>
        <v>-1208.42</v>
      </c>
      <c r="M33" s="2"/>
      <c r="N33" s="7">
        <f t="shared" si="15"/>
        <v>-0.15584050470647559</v>
      </c>
      <c r="O33" s="11"/>
      <c r="P33" s="6">
        <v>46613.79</v>
      </c>
      <c r="Q33" s="2"/>
      <c r="R33" s="7">
        <f t="shared" si="16"/>
        <v>6.9082949575725722E-2</v>
      </c>
      <c r="S33" s="2"/>
      <c r="T33" s="6">
        <v>61310.210000000006</v>
      </c>
      <c r="U33" s="2"/>
      <c r="V33" s="7">
        <f t="shared" si="17"/>
        <v>9.1001112079949122E-3</v>
      </c>
      <c r="W33" s="2"/>
      <c r="X33" s="6">
        <f t="shared" si="18"/>
        <v>-14696.420000000006</v>
      </c>
      <c r="Y33" s="2"/>
      <c r="Z33" s="7">
        <f t="shared" si="19"/>
        <v>-0.23970591521379561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>
        <v>4211.6000000000004</v>
      </c>
      <c r="E34" s="2"/>
      <c r="F34" s="7">
        <f t="shared" si="12"/>
        <v>0.1101038792297748</v>
      </c>
      <c r="G34" s="2"/>
      <c r="H34" s="6">
        <v>5163.3500000000004</v>
      </c>
      <c r="I34" s="2"/>
      <c r="J34" s="7">
        <f t="shared" si="13"/>
        <v>7.9559869443137938E-3</v>
      </c>
      <c r="K34" s="2"/>
      <c r="L34" s="6">
        <f t="shared" si="14"/>
        <v>-951.75</v>
      </c>
      <c r="M34" s="2"/>
      <c r="N34" s="7">
        <f t="shared" si="15"/>
        <v>-0.1843280041058615</v>
      </c>
      <c r="O34" s="11"/>
      <c r="P34" s="6">
        <v>30875.83</v>
      </c>
      <c r="Q34" s="2"/>
      <c r="R34" s="7">
        <f t="shared" si="16"/>
        <v>4.5758849623655992E-2</v>
      </c>
      <c r="S34" s="2"/>
      <c r="T34" s="6">
        <v>46566.950000000004</v>
      </c>
      <c r="U34" s="2"/>
      <c r="V34" s="7">
        <f t="shared" si="17"/>
        <v>6.9118083858649105E-3</v>
      </c>
      <c r="W34" s="2"/>
      <c r="X34" s="6">
        <f t="shared" si="18"/>
        <v>-15691.120000000003</v>
      </c>
      <c r="Y34" s="2"/>
      <c r="Z34" s="7">
        <f t="shared" si="19"/>
        <v>-0.33695829338189426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>
        <v>1433.66</v>
      </c>
      <c r="E35" s="2"/>
      <c r="F35" s="7">
        <f t="shared" si="12"/>
        <v>3.7480180334447465E-2</v>
      </c>
      <c r="G35" s="2"/>
      <c r="H35" s="6">
        <v>4898.95</v>
      </c>
      <c r="I35" s="2"/>
      <c r="J35" s="7">
        <f t="shared" si="13"/>
        <v>7.5485842022806997E-3</v>
      </c>
      <c r="K35" s="2"/>
      <c r="L35" s="6">
        <f t="shared" si="14"/>
        <v>-3465.29</v>
      </c>
      <c r="M35" s="2"/>
      <c r="N35" s="7">
        <f t="shared" si="15"/>
        <v>-0.70735361659131035</v>
      </c>
      <c r="O35" s="11"/>
      <c r="P35" s="6">
        <v>16275.3</v>
      </c>
      <c r="Q35" s="2"/>
      <c r="R35" s="7">
        <f t="shared" si="16"/>
        <v>2.4120452965309382E-2</v>
      </c>
      <c r="S35" s="2"/>
      <c r="T35" s="6">
        <v>26444.75</v>
      </c>
      <c r="U35" s="2"/>
      <c r="V35" s="7">
        <f t="shared" si="17"/>
        <v>3.9251238230569334E-3</v>
      </c>
      <c r="W35" s="2"/>
      <c r="X35" s="6">
        <f t="shared" si="18"/>
        <v>-10169.450000000001</v>
      </c>
      <c r="Y35" s="2"/>
      <c r="Z35" s="7">
        <f t="shared" si="19"/>
        <v>-0.38455459023057509</v>
      </c>
    </row>
    <row r="36" spans="1:26" s="26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107539.51</v>
      </c>
      <c r="E36" s="1"/>
      <c r="F36" s="5">
        <f t="shared" ref="F36:F43" si="20">IF(D$12=0,0,D36/D$12)</f>
        <v>2.8114059315863704</v>
      </c>
      <c r="G36" s="1"/>
      <c r="H36" s="1">
        <f>SUM(OSRRefH22_1x_0)</f>
        <v>214542.4</v>
      </c>
      <c r="I36" s="1"/>
      <c r="J36" s="5">
        <f t="shared" ref="J36:J43" si="21">IF(H$12=0,0,H36/H$12)</f>
        <v>0.33057928155204419</v>
      </c>
      <c r="K36" s="1"/>
      <c r="L36" s="1">
        <f t="shared" ref="L36:L43" si="22">+D36-H36</f>
        <v>-107002.89</v>
      </c>
      <c r="M36" s="1"/>
      <c r="N36" s="5">
        <f t="shared" ref="N36:N43" si="23">IF(H36=0,0,L36/H36)</f>
        <v>-0.49874938473700303</v>
      </c>
      <c r="O36" s="13"/>
      <c r="P36" s="1">
        <f>SUM(OSRRefP22_1x_0)</f>
        <v>748055.5199999999</v>
      </c>
      <c r="Q36" s="1"/>
      <c r="R36" s="5">
        <f t="shared" ref="R36:R43" si="24">IF(P$12=0,0,P36/P$12)</f>
        <v>1.108639348313091</v>
      </c>
      <c r="S36" s="1"/>
      <c r="T36" s="1">
        <f>SUM(OSRRefT22_1x_0)</f>
        <v>1736172.3900000001</v>
      </c>
      <c r="U36" s="1"/>
      <c r="V36" s="5">
        <f t="shared" ref="V36:V43" si="25">IF(T$12=0,0,T36/T$12)</f>
        <v>0.25769544461273763</v>
      </c>
      <c r="W36" s="1"/>
      <c r="X36" s="1">
        <f t="shared" ref="X36:X43" si="26">+P36-T36</f>
        <v>-988116.87000000023</v>
      </c>
      <c r="Y36" s="1"/>
      <c r="Z36" s="5">
        <f t="shared" ref="Z36:Z43" si="27">IF(T36=0,0,X36/T36)</f>
        <v>-0.56913522855872634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6">
        <v>10826.56</v>
      </c>
      <c r="E37" s="2"/>
      <c r="F37" s="7">
        <f t="shared" si="20"/>
        <v>0.2830388105978513</v>
      </c>
      <c r="G37" s="2"/>
      <c r="H37" s="6">
        <v>8552.0400000000009</v>
      </c>
      <c r="I37" s="2"/>
      <c r="J37" s="7">
        <f t="shared" si="21"/>
        <v>1.3177475589926954E-2</v>
      </c>
      <c r="K37" s="2"/>
      <c r="L37" s="6">
        <f t="shared" si="22"/>
        <v>2274.5199999999986</v>
      </c>
      <c r="M37" s="2"/>
      <c r="N37" s="7">
        <f t="shared" si="23"/>
        <v>0.26596227332893652</v>
      </c>
      <c r="O37" s="11"/>
      <c r="P37" s="6">
        <v>64135.82</v>
      </c>
      <c r="Q37" s="2"/>
      <c r="R37" s="7">
        <f t="shared" si="24"/>
        <v>9.5051091513001215E-2</v>
      </c>
      <c r="S37" s="2"/>
      <c r="T37" s="6">
        <v>54164.28</v>
      </c>
      <c r="U37" s="2"/>
      <c r="V37" s="7">
        <f t="shared" si="25"/>
        <v>8.0394598469157846E-3</v>
      </c>
      <c r="W37" s="2"/>
      <c r="X37" s="6">
        <f t="shared" si="26"/>
        <v>9971.5400000000009</v>
      </c>
      <c r="Y37" s="2"/>
      <c r="Z37" s="7">
        <f t="shared" si="27"/>
        <v>0.18409808087544044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>
        <v>32454.489999999998</v>
      </c>
      <c r="E38" s="2"/>
      <c r="F38" s="7">
        <f t="shared" si="20"/>
        <v>0.84845788950136136</v>
      </c>
      <c r="G38" s="2"/>
      <c r="H38" s="6">
        <v>44330.89</v>
      </c>
      <c r="I38" s="2"/>
      <c r="J38" s="7">
        <f t="shared" si="21"/>
        <v>6.8307587529377406E-2</v>
      </c>
      <c r="K38" s="2"/>
      <c r="L38" s="6">
        <f t="shared" si="22"/>
        <v>-11876.400000000001</v>
      </c>
      <c r="M38" s="2"/>
      <c r="N38" s="7">
        <f t="shared" si="23"/>
        <v>-0.26790348671095937</v>
      </c>
      <c r="O38" s="11"/>
      <c r="P38" s="6">
        <v>202412.44</v>
      </c>
      <c r="Q38" s="2"/>
      <c r="R38" s="7">
        <f t="shared" si="24"/>
        <v>0.29998093667173614</v>
      </c>
      <c r="S38" s="2"/>
      <c r="T38" s="6">
        <v>280612.18000000005</v>
      </c>
      <c r="U38" s="2"/>
      <c r="V38" s="7">
        <f t="shared" si="25"/>
        <v>4.1650518638215166E-2</v>
      </c>
      <c r="W38" s="2"/>
      <c r="X38" s="6">
        <f t="shared" si="26"/>
        <v>-78199.740000000049</v>
      </c>
      <c r="Y38" s="2"/>
      <c r="Z38" s="7">
        <f t="shared" si="27"/>
        <v>-0.2786755015409525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>
        <v>37580.93</v>
      </c>
      <c r="E39" s="2"/>
      <c r="F39" s="7">
        <f t="shared" si="20"/>
        <v>0.98247843528887369</v>
      </c>
      <c r="G39" s="2"/>
      <c r="H39" s="6">
        <v>48556.32</v>
      </c>
      <c r="I39" s="2"/>
      <c r="J39" s="7">
        <f t="shared" si="21"/>
        <v>7.4818373339774119E-2</v>
      </c>
      <c r="K39" s="2"/>
      <c r="L39" s="6">
        <f t="shared" si="22"/>
        <v>-10975.39</v>
      </c>
      <c r="M39" s="2"/>
      <c r="N39" s="7">
        <f t="shared" si="23"/>
        <v>-0.22603422170378643</v>
      </c>
      <c r="O39" s="11"/>
      <c r="P39" s="6">
        <v>312897.69</v>
      </c>
      <c r="Q39" s="2"/>
      <c r="R39" s="7">
        <f t="shared" si="24"/>
        <v>0.46372318879522684</v>
      </c>
      <c r="S39" s="2"/>
      <c r="T39" s="6">
        <v>412083.58</v>
      </c>
      <c r="U39" s="2"/>
      <c r="V39" s="7">
        <f t="shared" si="25"/>
        <v>6.1164468446424633E-2</v>
      </c>
      <c r="W39" s="2"/>
      <c r="X39" s="6">
        <f t="shared" si="26"/>
        <v>-99185.890000000014</v>
      </c>
      <c r="Y39" s="2"/>
      <c r="Z39" s="7">
        <f t="shared" si="27"/>
        <v>-0.24069362336640546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8579.9500000000007</v>
      </c>
      <c r="E40" s="2"/>
      <c r="F40" s="7">
        <f t="shared" si="20"/>
        <v>0.22430567446991792</v>
      </c>
      <c r="G40" s="2"/>
      <c r="H40" s="6">
        <v>14623.73</v>
      </c>
      <c r="I40" s="2"/>
      <c r="J40" s="7">
        <f t="shared" si="21"/>
        <v>2.2533085101178487E-2</v>
      </c>
      <c r="K40" s="2"/>
      <c r="L40" s="6">
        <f t="shared" si="22"/>
        <v>-6043.7799999999988</v>
      </c>
      <c r="M40" s="2"/>
      <c r="N40" s="7">
        <f t="shared" si="23"/>
        <v>-0.41328580328001124</v>
      </c>
      <c r="O40" s="11"/>
      <c r="P40" s="6">
        <v>70743.679999999993</v>
      </c>
      <c r="Q40" s="2"/>
      <c r="R40" s="7">
        <f t="shared" si="24"/>
        <v>0.10484412613180082</v>
      </c>
      <c r="S40" s="2"/>
      <c r="T40" s="6">
        <v>289982.48</v>
      </c>
      <c r="U40" s="2"/>
      <c r="V40" s="7">
        <f t="shared" si="25"/>
        <v>4.304132731514311E-2</v>
      </c>
      <c r="W40" s="2"/>
      <c r="X40" s="6">
        <f t="shared" si="26"/>
        <v>-219238.8</v>
      </c>
      <c r="Y40" s="2"/>
      <c r="Z40" s="7">
        <f t="shared" si="27"/>
        <v>-0.75604153740598401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325</v>
      </c>
      <c r="I41" s="2"/>
      <c r="J41" s="7">
        <f t="shared" si="21"/>
        <v>5.0077871089544246E-4</v>
      </c>
      <c r="K41" s="2"/>
      <c r="L41" s="6">
        <f t="shared" si="22"/>
        <v>-325</v>
      </c>
      <c r="M41" s="2"/>
      <c r="N41" s="7">
        <f t="shared" si="23"/>
        <v>-1</v>
      </c>
      <c r="O41" s="11"/>
      <c r="P41" s="6"/>
      <c r="Q41" s="2"/>
      <c r="R41" s="7">
        <f t="shared" si="24"/>
        <v>0</v>
      </c>
      <c r="S41" s="2"/>
      <c r="T41" s="6">
        <v>29870.6</v>
      </c>
      <c r="U41" s="2"/>
      <c r="V41" s="7">
        <f t="shared" si="25"/>
        <v>4.4336136158974627E-3</v>
      </c>
      <c r="W41" s="2"/>
      <c r="X41" s="6">
        <f t="shared" si="26"/>
        <v>-29870.6</v>
      </c>
      <c r="Y41" s="2"/>
      <c r="Z41" s="7">
        <f t="shared" si="27"/>
        <v>-1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18097.580000000002</v>
      </c>
      <c r="E42" s="2"/>
      <c r="F42" s="7">
        <f t="shared" si="20"/>
        <v>0.47312512172836635</v>
      </c>
      <c r="G42" s="2"/>
      <c r="H42" s="6">
        <v>93835.17</v>
      </c>
      <c r="I42" s="2"/>
      <c r="J42" s="7">
        <f t="shared" si="21"/>
        <v>0.14458663221309134</v>
      </c>
      <c r="K42" s="2"/>
      <c r="L42" s="6">
        <f t="shared" si="22"/>
        <v>-75737.59</v>
      </c>
      <c r="M42" s="2"/>
      <c r="N42" s="7">
        <f t="shared" si="23"/>
        <v>-0.80713436124216531</v>
      </c>
      <c r="O42" s="11"/>
      <c r="P42" s="6">
        <v>87235.010000000009</v>
      </c>
      <c r="Q42" s="2"/>
      <c r="R42" s="7">
        <f t="shared" si="24"/>
        <v>0.12928474164121667</v>
      </c>
      <c r="S42" s="2"/>
      <c r="T42" s="6">
        <v>549956.52</v>
      </c>
      <c r="U42" s="2"/>
      <c r="V42" s="7">
        <f t="shared" si="25"/>
        <v>8.1628581790241433E-2</v>
      </c>
      <c r="W42" s="2"/>
      <c r="X42" s="6">
        <f t="shared" si="26"/>
        <v>-462721.51</v>
      </c>
      <c r="Y42" s="2"/>
      <c r="Z42" s="7">
        <f t="shared" si="27"/>
        <v>-0.84137835114674153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4319.25</v>
      </c>
      <c r="I43" s="2"/>
      <c r="J43" s="7">
        <f t="shared" si="21"/>
        <v>6.6553490678004298E-3</v>
      </c>
      <c r="K43" s="2"/>
      <c r="L43" s="6">
        <f t="shared" si="22"/>
        <v>-4319.25</v>
      </c>
      <c r="M43" s="2"/>
      <c r="N43" s="7">
        <f t="shared" si="23"/>
        <v>-1</v>
      </c>
      <c r="O43" s="11"/>
      <c r="P43" s="6">
        <v>10630.88</v>
      </c>
      <c r="Q43" s="2"/>
      <c r="R43" s="7">
        <f t="shared" si="24"/>
        <v>1.5755263560109378E-2</v>
      </c>
      <c r="S43" s="2"/>
      <c r="T43" s="6">
        <v>119502.75000000001</v>
      </c>
      <c r="U43" s="2"/>
      <c r="V43" s="7">
        <f t="shared" si="25"/>
        <v>1.7737474959900058E-2</v>
      </c>
      <c r="W43" s="2"/>
      <c r="X43" s="6">
        <f t="shared" si="26"/>
        <v>-108871.87000000001</v>
      </c>
      <c r="Y43" s="2"/>
      <c r="Z43" s="7">
        <f t="shared" si="27"/>
        <v>-0.9110407082682197</v>
      </c>
    </row>
    <row r="44" spans="1:26" s="26" customFormat="1" outlineLevel="1" collapsed="1" x14ac:dyDescent="0.25">
      <c r="A44" s="27"/>
      <c r="B44" s="13" t="str">
        <f>CONCATENATE("     ","Advertising/Promo                                 ")</f>
        <v xml:space="preserve">     Advertising/Promo                                 </v>
      </c>
      <c r="C44" s="13"/>
      <c r="D44" s="1">
        <f>SUM(OSRRefD22_2x_0)</f>
        <v>16.170000000000002</v>
      </c>
      <c r="E44" s="1"/>
      <c r="F44" s="5">
        <f t="shared" ref="F44:F67" si="28">IF(D$12=0,0,D44/D$12)</f>
        <v>4.227323884379947E-4</v>
      </c>
      <c r="G44" s="1"/>
      <c r="H44" s="1">
        <f>SUM(OSRRefH22_2x_0)</f>
        <v>289.5</v>
      </c>
      <c r="I44" s="1"/>
      <c r="J44" s="5">
        <f t="shared" ref="J44:J67" si="29">IF(H$12=0,0,H44/H$12)</f>
        <v>4.4607826708994026E-4</v>
      </c>
      <c r="K44" s="1"/>
      <c r="L44" s="1">
        <f t="shared" ref="L44:L67" si="30">+D44-H44</f>
        <v>-273.33</v>
      </c>
      <c r="M44" s="1"/>
      <c r="N44" s="5">
        <f t="shared" ref="N44:N67" si="31">IF(H44=0,0,L44/H44)</f>
        <v>-0.94414507772020717</v>
      </c>
      <c r="O44" s="13"/>
      <c r="P44" s="1">
        <f>SUM(OSRRefP22_2x_0)</f>
        <v>1445.17</v>
      </c>
      <c r="Q44" s="1"/>
      <c r="R44" s="5">
        <f t="shared" ref="R44:R67" si="32">IF(P$12=0,0,P44/P$12)</f>
        <v>2.1417826406810417E-3</v>
      </c>
      <c r="S44" s="1"/>
      <c r="T44" s="1">
        <f>SUM(OSRRefT22_2x_0)</f>
        <v>8218.2999999999993</v>
      </c>
      <c r="U44" s="1"/>
      <c r="V44" s="5">
        <f t="shared" ref="V44:V67" si="33">IF(T$12=0,0,T44/T$12)</f>
        <v>1.2198203845764771E-3</v>
      </c>
      <c r="W44" s="1"/>
      <c r="X44" s="1">
        <f t="shared" ref="X44:X67" si="34">+P44-T44</f>
        <v>-6773.1299999999992</v>
      </c>
      <c r="Y44" s="1"/>
      <c r="Z44" s="5">
        <f t="shared" ref="Z44:Z67" si="35">IF(T44=0,0,X44/T44)</f>
        <v>-0.82415219692637165</v>
      </c>
    </row>
    <row r="45" spans="1:26" s="24" customFormat="1" hidden="1" outlineLevel="2" x14ac:dyDescent="0.25">
      <c r="A45" s="25"/>
      <c r="B45" s="11" t="str">
        <f>CONCATENATE("          ", "6362", " - ", "ADVERTISING EXPENSE")</f>
        <v xml:space="preserve">          6362 - ADVERTISING EXPENSE</v>
      </c>
      <c r="C45" s="11"/>
      <c r="D45" s="6">
        <v>16.170000000000002</v>
      </c>
      <c r="E45" s="2"/>
      <c r="F45" s="7">
        <f t="shared" si="28"/>
        <v>4.227323884379947E-4</v>
      </c>
      <c r="G45" s="2"/>
      <c r="H45" s="6">
        <v>289.5</v>
      </c>
      <c r="I45" s="2"/>
      <c r="J45" s="7">
        <f t="shared" si="29"/>
        <v>4.4607826708994026E-4</v>
      </c>
      <c r="K45" s="2"/>
      <c r="L45" s="6">
        <f t="shared" si="30"/>
        <v>-273.33</v>
      </c>
      <c r="M45" s="2"/>
      <c r="N45" s="7">
        <f t="shared" si="31"/>
        <v>-0.94414507772020717</v>
      </c>
      <c r="O45" s="11"/>
      <c r="P45" s="6">
        <v>1445.17</v>
      </c>
      <c r="Q45" s="2"/>
      <c r="R45" s="7">
        <f t="shared" si="32"/>
        <v>2.1417826406810417E-3</v>
      </c>
      <c r="S45" s="2"/>
      <c r="T45" s="6">
        <v>8218.2999999999993</v>
      </c>
      <c r="U45" s="2"/>
      <c r="V45" s="7">
        <f t="shared" si="33"/>
        <v>1.2198203845764771E-3</v>
      </c>
      <c r="W45" s="2"/>
      <c r="X45" s="6">
        <f t="shared" si="34"/>
        <v>-6773.1299999999992</v>
      </c>
      <c r="Y45" s="2"/>
      <c r="Z45" s="7">
        <f t="shared" si="35"/>
        <v>-0.82415219692637165</v>
      </c>
    </row>
    <row r="46" spans="1:26" s="26" customFormat="1" outlineLevel="1" collapsed="1" x14ac:dyDescent="0.25">
      <c r="A46" s="27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SUM(OSRRefD22_3x_0)</f>
        <v>0</v>
      </c>
      <c r="E46" s="1"/>
      <c r="F46" s="5">
        <f t="shared" si="28"/>
        <v>0</v>
      </c>
      <c r="G46" s="1"/>
      <c r="H46" s="1">
        <f>SUM(OSRRefH22_3x_0)</f>
        <v>-0.1</v>
      </c>
      <c r="I46" s="1"/>
      <c r="J46" s="5">
        <f t="shared" si="29"/>
        <v>-1.5408575719859769E-7</v>
      </c>
      <c r="K46" s="1"/>
      <c r="L46" s="1">
        <f t="shared" si="30"/>
        <v>0.1</v>
      </c>
      <c r="M46" s="1"/>
      <c r="N46" s="5">
        <f t="shared" si="31"/>
        <v>-1</v>
      </c>
      <c r="O46" s="13"/>
      <c r="P46" s="1">
        <f>SUM(OSRRefP22_3x_0)</f>
        <v>69.739999999999995</v>
      </c>
      <c r="Q46" s="1"/>
      <c r="R46" s="5">
        <f t="shared" si="32"/>
        <v>1.0335664410491211E-4</v>
      </c>
      <c r="S46" s="1"/>
      <c r="T46" s="1">
        <f>SUM(OSRRefT22_3x_0)</f>
        <v>28.96</v>
      </c>
      <c r="U46" s="1"/>
      <c r="V46" s="5">
        <f t="shared" si="33"/>
        <v>4.2984556827245033E-6</v>
      </c>
      <c r="W46" s="1"/>
      <c r="X46" s="1">
        <f t="shared" si="34"/>
        <v>40.779999999999994</v>
      </c>
      <c r="Y46" s="1"/>
      <c r="Z46" s="5">
        <f t="shared" si="35"/>
        <v>1.4081491712707179</v>
      </c>
    </row>
    <row r="47" spans="1:26" s="24" customFormat="1" hidden="1" outlineLevel="2" x14ac:dyDescent="0.25">
      <c r="A47" s="25"/>
      <c r="B47" s="11" t="str">
        <f>CONCATENATE("          ", "6272", " - ", "CASH (OVER/SHORT)")</f>
        <v xml:space="preserve">          6272 - CASH (OVER/SHORT)</v>
      </c>
      <c r="C47" s="11"/>
      <c r="D47" s="6"/>
      <c r="E47" s="2"/>
      <c r="F47" s="7">
        <f t="shared" si="28"/>
        <v>0</v>
      </c>
      <c r="G47" s="2"/>
      <c r="H47" s="6">
        <v>-0.1</v>
      </c>
      <c r="I47" s="2"/>
      <c r="J47" s="7">
        <f t="shared" si="29"/>
        <v>-1.5408575719859769E-7</v>
      </c>
      <c r="K47" s="2"/>
      <c r="L47" s="6">
        <f t="shared" si="30"/>
        <v>0.1</v>
      </c>
      <c r="M47" s="2"/>
      <c r="N47" s="7">
        <f t="shared" si="31"/>
        <v>-1</v>
      </c>
      <c r="O47" s="11"/>
      <c r="P47" s="6">
        <v>69.739999999999995</v>
      </c>
      <c r="Q47" s="2"/>
      <c r="R47" s="7">
        <f t="shared" si="32"/>
        <v>1.0335664410491211E-4</v>
      </c>
      <c r="S47" s="2"/>
      <c r="T47" s="6">
        <v>28.96</v>
      </c>
      <c r="U47" s="2"/>
      <c r="V47" s="7">
        <f t="shared" si="33"/>
        <v>4.2984556827245033E-6</v>
      </c>
      <c r="W47" s="2"/>
      <c r="X47" s="6">
        <f t="shared" si="34"/>
        <v>40.779999999999994</v>
      </c>
      <c r="Y47" s="2"/>
      <c r="Z47" s="7">
        <f t="shared" si="35"/>
        <v>1.4081491712707179</v>
      </c>
    </row>
    <row r="48" spans="1:26" s="26" customFormat="1" outlineLevel="1" collapsed="1" x14ac:dyDescent="0.25">
      <c r="A48" s="27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SUM(OSRRefD22_4x_0)</f>
        <v>76.12</v>
      </c>
      <c r="E48" s="1"/>
      <c r="F48" s="5">
        <f t="shared" si="28"/>
        <v>1.9900055292455259E-3</v>
      </c>
      <c r="G48" s="1"/>
      <c r="H48" s="1">
        <f>SUM(OSRRefH22_4x_0)</f>
        <v>112.91</v>
      </c>
      <c r="I48" s="1"/>
      <c r="J48" s="5">
        <f t="shared" si="29"/>
        <v>1.7397822845293662E-4</v>
      </c>
      <c r="K48" s="1"/>
      <c r="L48" s="1">
        <f t="shared" si="30"/>
        <v>-36.789999999999992</v>
      </c>
      <c r="M48" s="1"/>
      <c r="N48" s="5">
        <f t="shared" si="31"/>
        <v>-0.32583473563014786</v>
      </c>
      <c r="O48" s="13"/>
      <c r="P48" s="1">
        <f>SUM(OSRRefP22_4x_0)</f>
        <v>111.32</v>
      </c>
      <c r="Q48" s="1"/>
      <c r="R48" s="5">
        <f t="shared" si="32"/>
        <v>1.6497937513276192E-4</v>
      </c>
      <c r="S48" s="1"/>
      <c r="T48" s="1">
        <f>SUM(OSRRefT22_4x_0)</f>
        <v>2739.92</v>
      </c>
      <c r="U48" s="1"/>
      <c r="V48" s="5">
        <f t="shared" si="33"/>
        <v>4.0667902949621961E-4</v>
      </c>
      <c r="W48" s="1"/>
      <c r="X48" s="1">
        <f t="shared" si="34"/>
        <v>-2628.6</v>
      </c>
      <c r="Y48" s="1"/>
      <c r="Z48" s="5">
        <f t="shared" si="35"/>
        <v>-0.95937107652778175</v>
      </c>
    </row>
    <row r="49" spans="1:26" s="24" customFormat="1" hidden="1" outlineLevel="2" x14ac:dyDescent="0.25">
      <c r="A49" s="25"/>
      <c r="B49" s="11" t="str">
        <f>CONCATENATE("          ", "6381", " - ", "BANK/CREDIT CARD FEES")</f>
        <v xml:space="preserve">          6381 - BANK/CREDIT CARD FEES</v>
      </c>
      <c r="C49" s="11"/>
      <c r="D49" s="6">
        <v>76.12</v>
      </c>
      <c r="E49" s="2"/>
      <c r="F49" s="7">
        <f t="shared" si="28"/>
        <v>1.9900055292455259E-3</v>
      </c>
      <c r="G49" s="2"/>
      <c r="H49" s="6">
        <v>112.91</v>
      </c>
      <c r="I49" s="2"/>
      <c r="J49" s="7">
        <f t="shared" si="29"/>
        <v>1.7397822845293662E-4</v>
      </c>
      <c r="K49" s="2"/>
      <c r="L49" s="6">
        <f t="shared" si="30"/>
        <v>-36.789999999999992</v>
      </c>
      <c r="M49" s="2"/>
      <c r="N49" s="7">
        <f t="shared" si="31"/>
        <v>-0.32583473563014786</v>
      </c>
      <c r="O49" s="11"/>
      <c r="P49" s="6">
        <v>111.32</v>
      </c>
      <c r="Q49" s="2"/>
      <c r="R49" s="7">
        <f t="shared" si="32"/>
        <v>1.6497937513276192E-4</v>
      </c>
      <c r="S49" s="2"/>
      <c r="T49" s="6">
        <v>2739.92</v>
      </c>
      <c r="U49" s="2"/>
      <c r="V49" s="7">
        <f t="shared" si="33"/>
        <v>4.0667902949621961E-4</v>
      </c>
      <c r="W49" s="2"/>
      <c r="X49" s="6">
        <f t="shared" si="34"/>
        <v>-2628.6</v>
      </c>
      <c r="Y49" s="2"/>
      <c r="Z49" s="7">
        <f t="shared" si="35"/>
        <v>-0.95937107652778175</v>
      </c>
    </row>
    <row r="50" spans="1:26" s="26" customFormat="1" outlineLevel="1" collapsed="1" x14ac:dyDescent="0.25">
      <c r="A50" s="27"/>
      <c r="B50" s="13" t="str">
        <f>CONCATENATE("     ","Depreciation                                      ")</f>
        <v xml:space="preserve">     Depreciation                                      </v>
      </c>
      <c r="C50" s="13"/>
      <c r="D50" s="1">
        <f>SUM(OSRRefD22_5x_0)</f>
        <v>758.5</v>
      </c>
      <c r="E50" s="1"/>
      <c r="F50" s="5">
        <f t="shared" si="28"/>
        <v>1.9829469179358006E-2</v>
      </c>
      <c r="G50" s="1"/>
      <c r="H50" s="1">
        <f>SUM(OSRRefH22_5x_0)</f>
        <v>0</v>
      </c>
      <c r="I50" s="1"/>
      <c r="J50" s="5">
        <f t="shared" si="29"/>
        <v>0</v>
      </c>
      <c r="K50" s="1"/>
      <c r="L50" s="1">
        <f t="shared" si="30"/>
        <v>758.5</v>
      </c>
      <c r="M50" s="1"/>
      <c r="N50" s="5">
        <f t="shared" si="31"/>
        <v>0</v>
      </c>
      <c r="O50" s="13"/>
      <c r="P50" s="1">
        <f>SUM(OSRRefP22_5x_0)</f>
        <v>4781.0600000000004</v>
      </c>
      <c r="Q50" s="1"/>
      <c r="R50" s="5">
        <f t="shared" si="32"/>
        <v>7.0856655701782506E-3</v>
      </c>
      <c r="S50" s="1"/>
      <c r="T50" s="1">
        <f>SUM(OSRRefT22_5x_0)</f>
        <v>0</v>
      </c>
      <c r="U50" s="1"/>
      <c r="V50" s="5">
        <f t="shared" si="33"/>
        <v>0</v>
      </c>
      <c r="W50" s="1"/>
      <c r="X50" s="1">
        <f t="shared" si="34"/>
        <v>4781.0600000000004</v>
      </c>
      <c r="Y50" s="1"/>
      <c r="Z50" s="5">
        <f t="shared" si="35"/>
        <v>0</v>
      </c>
    </row>
    <row r="51" spans="1:26" s="24" customFormat="1" hidden="1" outlineLevel="2" x14ac:dyDescent="0.25">
      <c r="A51" s="25"/>
      <c r="B51" s="11" t="str">
        <f>CONCATENATE("          ", "6322", " - ", "EQUIPMENT DEPRECIATION EXPENSE")</f>
        <v xml:space="preserve">          6322 - EQUIPMENT DEPRECIATION EXPENSE</v>
      </c>
      <c r="C51" s="11"/>
      <c r="D51" s="6">
        <v>758.5</v>
      </c>
      <c r="E51" s="2"/>
      <c r="F51" s="7">
        <f t="shared" si="28"/>
        <v>1.9829469179358006E-2</v>
      </c>
      <c r="G51" s="2"/>
      <c r="H51" s="6"/>
      <c r="I51" s="2"/>
      <c r="J51" s="7">
        <f t="shared" si="29"/>
        <v>0</v>
      </c>
      <c r="K51" s="2"/>
      <c r="L51" s="6">
        <f t="shared" si="30"/>
        <v>758.5</v>
      </c>
      <c r="M51" s="2"/>
      <c r="N51" s="7">
        <f t="shared" si="31"/>
        <v>0</v>
      </c>
      <c r="O51" s="11"/>
      <c r="P51" s="6">
        <v>4781.0600000000004</v>
      </c>
      <c r="Q51" s="2"/>
      <c r="R51" s="7">
        <f t="shared" si="32"/>
        <v>7.0856655701782506E-3</v>
      </c>
      <c r="S51" s="2"/>
      <c r="T51" s="6"/>
      <c r="U51" s="2"/>
      <c r="V51" s="7">
        <f t="shared" si="33"/>
        <v>0</v>
      </c>
      <c r="W51" s="2"/>
      <c r="X51" s="6">
        <f t="shared" si="34"/>
        <v>4781.0600000000004</v>
      </c>
      <c r="Y51" s="2"/>
      <c r="Z51" s="7">
        <f t="shared" si="35"/>
        <v>0</v>
      </c>
    </row>
    <row r="52" spans="1:26" s="26" customFormat="1" outlineLevel="1" collapsed="1" x14ac:dyDescent="0.25">
      <c r="A52" s="27"/>
      <c r="B52" s="13" t="str">
        <f>CONCATENATE("     ","Donations                                         ")</f>
        <v xml:space="preserve">     Donations                                         </v>
      </c>
      <c r="C52" s="13"/>
      <c r="D52" s="1">
        <f>SUM(OSRRefD22_6x_0)</f>
        <v>1459.14</v>
      </c>
      <c r="E52" s="1"/>
      <c r="F52" s="5">
        <f t="shared" si="28"/>
        <v>3.8146304098046729E-2</v>
      </c>
      <c r="G52" s="1"/>
      <c r="H52" s="1">
        <f>SUM(OSRRefH22_6x_0)</f>
        <v>9545.3799999999992</v>
      </c>
      <c r="I52" s="1"/>
      <c r="J52" s="5">
        <f t="shared" si="29"/>
        <v>1.4708071050483501E-2</v>
      </c>
      <c r="K52" s="1"/>
      <c r="L52" s="1">
        <f t="shared" si="30"/>
        <v>-8086.2399999999989</v>
      </c>
      <c r="M52" s="1"/>
      <c r="N52" s="5">
        <f t="shared" si="31"/>
        <v>-0.84713652049473143</v>
      </c>
      <c r="O52" s="13"/>
      <c r="P52" s="1">
        <f>SUM(OSRRefP22_6x_0)</f>
        <v>38281.15</v>
      </c>
      <c r="Q52" s="1"/>
      <c r="R52" s="5">
        <f t="shared" si="32"/>
        <v>5.6733742421519309E-2</v>
      </c>
      <c r="S52" s="1"/>
      <c r="T52" s="1">
        <f>SUM(OSRRefT22_6x_0)</f>
        <v>86919.209999999992</v>
      </c>
      <c r="U52" s="1"/>
      <c r="V52" s="5">
        <f t="shared" si="33"/>
        <v>1.2901186884061616E-2</v>
      </c>
      <c r="W52" s="1"/>
      <c r="X52" s="1">
        <f t="shared" si="34"/>
        <v>-48638.05999999999</v>
      </c>
      <c r="Y52" s="1"/>
      <c r="Z52" s="5">
        <f t="shared" si="35"/>
        <v>-0.55957779643878491</v>
      </c>
    </row>
    <row r="53" spans="1:26" s="24" customFormat="1" hidden="1" outlineLevel="2" x14ac:dyDescent="0.25">
      <c r="A53" s="25"/>
      <c r="B53" s="11" t="str">
        <f>CONCATENATE("          ", "6399", " - ", "DONATION-ON CAMPUS")</f>
        <v xml:space="preserve">          6399 - DONATION-ON CAMPUS</v>
      </c>
      <c r="C53" s="11"/>
      <c r="D53" s="6">
        <v>1459.14</v>
      </c>
      <c r="E53" s="2"/>
      <c r="F53" s="7">
        <f t="shared" si="28"/>
        <v>3.8146304098046729E-2</v>
      </c>
      <c r="G53" s="2"/>
      <c r="H53" s="6">
        <v>9545.3799999999992</v>
      </c>
      <c r="I53" s="2"/>
      <c r="J53" s="7">
        <f t="shared" si="29"/>
        <v>1.4708071050483501E-2</v>
      </c>
      <c r="K53" s="2"/>
      <c r="L53" s="6">
        <f t="shared" si="30"/>
        <v>-8086.2399999999989</v>
      </c>
      <c r="M53" s="2"/>
      <c r="N53" s="7">
        <f t="shared" si="31"/>
        <v>-0.84713652049473143</v>
      </c>
      <c r="O53" s="11"/>
      <c r="P53" s="6">
        <v>38281.15</v>
      </c>
      <c r="Q53" s="2"/>
      <c r="R53" s="7">
        <f t="shared" si="32"/>
        <v>5.6733742421519309E-2</v>
      </c>
      <c r="S53" s="2"/>
      <c r="T53" s="6">
        <v>86919.209999999992</v>
      </c>
      <c r="U53" s="2"/>
      <c r="V53" s="7">
        <f t="shared" si="33"/>
        <v>1.2901186884061616E-2</v>
      </c>
      <c r="W53" s="2"/>
      <c r="X53" s="6">
        <f t="shared" si="34"/>
        <v>-48638.05999999999</v>
      </c>
      <c r="Y53" s="2"/>
      <c r="Z53" s="7">
        <f t="shared" si="35"/>
        <v>-0.55957779643878491</v>
      </c>
    </row>
    <row r="54" spans="1:26" s="26" customFormat="1" outlineLevel="1" collapsed="1" x14ac:dyDescent="0.25">
      <c r="A54" s="27"/>
      <c r="B54" s="13" t="str">
        <f>CONCATENATE("     ","Employees' Appreciation                           ")</f>
        <v xml:space="preserve">     Employees' Appreciation                           </v>
      </c>
      <c r="C54" s="13"/>
      <c r="D54" s="1">
        <f>SUM(OSRRefD22_7x_0)</f>
        <v>0</v>
      </c>
      <c r="E54" s="1"/>
      <c r="F54" s="5">
        <f t="shared" si="28"/>
        <v>0</v>
      </c>
      <c r="G54" s="1"/>
      <c r="H54" s="1">
        <f>SUM(OSRRefH22_7x_0)</f>
        <v>614.74</v>
      </c>
      <c r="I54" s="1"/>
      <c r="J54" s="5">
        <f t="shared" si="29"/>
        <v>9.4722678380265929E-4</v>
      </c>
      <c r="K54" s="1"/>
      <c r="L54" s="1">
        <f t="shared" si="30"/>
        <v>-614.74</v>
      </c>
      <c r="M54" s="1"/>
      <c r="N54" s="5">
        <f t="shared" si="31"/>
        <v>-1</v>
      </c>
      <c r="O54" s="13"/>
      <c r="P54" s="1">
        <f>SUM(OSRRefP22_7x_0)</f>
        <v>0</v>
      </c>
      <c r="Q54" s="1"/>
      <c r="R54" s="5">
        <f t="shared" si="32"/>
        <v>0</v>
      </c>
      <c r="S54" s="1"/>
      <c r="T54" s="1">
        <f>SUM(OSRRefT22_7x_0)</f>
        <v>1798.43</v>
      </c>
      <c r="U54" s="1"/>
      <c r="V54" s="5">
        <f t="shared" si="33"/>
        <v>2.6693617587991117E-4</v>
      </c>
      <c r="W54" s="1"/>
      <c r="X54" s="1">
        <f t="shared" si="34"/>
        <v>-1798.43</v>
      </c>
      <c r="Y54" s="1"/>
      <c r="Z54" s="5">
        <f t="shared" si="35"/>
        <v>-1</v>
      </c>
    </row>
    <row r="55" spans="1:26" s="24" customFormat="1" hidden="1" outlineLevel="2" x14ac:dyDescent="0.25">
      <c r="A55" s="25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28"/>
        <v>0</v>
      </c>
      <c r="G55" s="2"/>
      <c r="H55" s="6">
        <v>614.74</v>
      </c>
      <c r="I55" s="2"/>
      <c r="J55" s="7">
        <f t="shared" si="29"/>
        <v>9.4722678380265929E-4</v>
      </c>
      <c r="K55" s="2"/>
      <c r="L55" s="6">
        <f t="shared" si="30"/>
        <v>-614.74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1798.43</v>
      </c>
      <c r="U55" s="2"/>
      <c r="V55" s="7">
        <f t="shared" si="33"/>
        <v>2.6693617587991117E-4</v>
      </c>
      <c r="W55" s="2"/>
      <c r="X55" s="6">
        <f t="shared" si="34"/>
        <v>-1798.43</v>
      </c>
      <c r="Y55" s="2"/>
      <c r="Z55" s="7">
        <f t="shared" si="35"/>
        <v>-1</v>
      </c>
    </row>
    <row r="56" spans="1:26" s="26" customFormat="1" outlineLevel="1" collapsed="1" x14ac:dyDescent="0.25">
      <c r="A56" s="27"/>
      <c r="B56" s="13" t="str">
        <f>CONCATENATE("     ","Equipment Rental                                  ")</f>
        <v xml:space="preserve">     Equipment Rental                                  </v>
      </c>
      <c r="C56" s="13"/>
      <c r="D56" s="1">
        <f>SUM(OSRRefD22_8x_0)</f>
        <v>353.49</v>
      </c>
      <c r="E56" s="1"/>
      <c r="F56" s="5">
        <f t="shared" si="28"/>
        <v>9.2412907847215058E-3</v>
      </c>
      <c r="G56" s="1"/>
      <c r="H56" s="1">
        <f>SUM(OSRRefH22_8x_0)</f>
        <v>1114.68</v>
      </c>
      <c r="I56" s="1"/>
      <c r="J56" s="5">
        <f t="shared" si="29"/>
        <v>1.7175631183413286E-3</v>
      </c>
      <c r="K56" s="1"/>
      <c r="L56" s="1">
        <f t="shared" si="30"/>
        <v>-761.19</v>
      </c>
      <c r="M56" s="1"/>
      <c r="N56" s="5">
        <f t="shared" si="31"/>
        <v>-0.68287759715792873</v>
      </c>
      <c r="O56" s="13"/>
      <c r="P56" s="1">
        <f>SUM(OSRRefP22_8x_0)</f>
        <v>3281.02</v>
      </c>
      <c r="Q56" s="1"/>
      <c r="R56" s="5">
        <f t="shared" si="32"/>
        <v>4.8625640441797933E-3</v>
      </c>
      <c r="S56" s="1"/>
      <c r="T56" s="1">
        <f>SUM(OSRRefT22_8x_0)</f>
        <v>3897.3</v>
      </c>
      <c r="U56" s="1"/>
      <c r="V56" s="5">
        <f t="shared" si="33"/>
        <v>5.7846586092134692E-4</v>
      </c>
      <c r="W56" s="1"/>
      <c r="X56" s="1">
        <f t="shared" si="34"/>
        <v>-616.2800000000002</v>
      </c>
      <c r="Y56" s="1"/>
      <c r="Z56" s="5">
        <f t="shared" si="35"/>
        <v>-0.15812998742719322</v>
      </c>
    </row>
    <row r="57" spans="1:26" s="24" customFormat="1" hidden="1" outlineLevel="2" x14ac:dyDescent="0.25">
      <c r="A57" s="25"/>
      <c r="B57" s="11" t="str">
        <f>CONCATENATE("          ", "6351", " - ", "EQUIPMENT RENTAL")</f>
        <v xml:space="preserve">          6351 - EQUIPMENT RENTAL</v>
      </c>
      <c r="C57" s="11"/>
      <c r="D57" s="6">
        <v>353.49</v>
      </c>
      <c r="E57" s="2"/>
      <c r="F57" s="7">
        <f t="shared" si="28"/>
        <v>9.2412907847215058E-3</v>
      </c>
      <c r="G57" s="2"/>
      <c r="H57" s="6">
        <v>1114.68</v>
      </c>
      <c r="I57" s="2"/>
      <c r="J57" s="7">
        <f t="shared" si="29"/>
        <v>1.7175631183413286E-3</v>
      </c>
      <c r="K57" s="2"/>
      <c r="L57" s="6">
        <f t="shared" si="30"/>
        <v>-761.19</v>
      </c>
      <c r="M57" s="2"/>
      <c r="N57" s="7">
        <f t="shared" si="31"/>
        <v>-0.68287759715792873</v>
      </c>
      <c r="O57" s="11"/>
      <c r="P57" s="6">
        <v>3281.02</v>
      </c>
      <c r="Q57" s="2"/>
      <c r="R57" s="7">
        <f t="shared" si="32"/>
        <v>4.8625640441797933E-3</v>
      </c>
      <c r="S57" s="2"/>
      <c r="T57" s="6">
        <v>3897.3</v>
      </c>
      <c r="U57" s="2"/>
      <c r="V57" s="7">
        <f t="shared" si="33"/>
        <v>5.7846586092134692E-4</v>
      </c>
      <c r="W57" s="2"/>
      <c r="X57" s="6">
        <f t="shared" si="34"/>
        <v>-616.2800000000002</v>
      </c>
      <c r="Y57" s="2"/>
      <c r="Z57" s="7">
        <f t="shared" si="35"/>
        <v>-0.15812998742719322</v>
      </c>
    </row>
    <row r="58" spans="1:26" s="26" customFormat="1" outlineLevel="1" collapsed="1" x14ac:dyDescent="0.25">
      <c r="A58" s="27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SUM(OSRRefD22_9x_0)</f>
        <v>0</v>
      </c>
      <c r="E58" s="1"/>
      <c r="F58" s="5">
        <f t="shared" si="28"/>
        <v>0</v>
      </c>
      <c r="G58" s="1"/>
      <c r="H58" s="1">
        <f>SUM(OSRRefH22_9x_0)</f>
        <v>845.71</v>
      </c>
      <c r="I58" s="1"/>
      <c r="J58" s="5">
        <f t="shared" si="29"/>
        <v>1.3031186572042604E-3</v>
      </c>
      <c r="K58" s="1"/>
      <c r="L58" s="1">
        <f t="shared" si="30"/>
        <v>-845.71</v>
      </c>
      <c r="M58" s="1"/>
      <c r="N58" s="5">
        <f t="shared" si="31"/>
        <v>-1</v>
      </c>
      <c r="O58" s="13"/>
      <c r="P58" s="1">
        <f>SUM(OSRRefP22_9x_0)</f>
        <v>7158.43</v>
      </c>
      <c r="Q58" s="1"/>
      <c r="R58" s="5">
        <f t="shared" si="32"/>
        <v>1.0608994864639032E-2</v>
      </c>
      <c r="S58" s="1"/>
      <c r="T58" s="1">
        <f>SUM(OSRRefT22_9x_0)</f>
        <v>8251.52</v>
      </c>
      <c r="U58" s="1"/>
      <c r="V58" s="5">
        <f t="shared" si="33"/>
        <v>1.2247511407152932E-3</v>
      </c>
      <c r="W58" s="1"/>
      <c r="X58" s="1">
        <f t="shared" si="34"/>
        <v>-1093.0900000000001</v>
      </c>
      <c r="Y58" s="1"/>
      <c r="Z58" s="5">
        <f t="shared" si="35"/>
        <v>-0.13247135073295588</v>
      </c>
    </row>
    <row r="59" spans="1:26" s="24" customFormat="1" hidden="1" outlineLevel="2" x14ac:dyDescent="0.25">
      <c r="A59" s="25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28"/>
        <v>0</v>
      </c>
      <c r="G59" s="2"/>
      <c r="H59" s="6">
        <v>845.71</v>
      </c>
      <c r="I59" s="2"/>
      <c r="J59" s="7">
        <f t="shared" si="29"/>
        <v>1.3031186572042604E-3</v>
      </c>
      <c r="K59" s="2"/>
      <c r="L59" s="6">
        <f t="shared" si="30"/>
        <v>-845.71</v>
      </c>
      <c r="M59" s="2"/>
      <c r="N59" s="7">
        <f t="shared" si="31"/>
        <v>-1</v>
      </c>
      <c r="O59" s="11"/>
      <c r="P59" s="6">
        <v>7158.43</v>
      </c>
      <c r="Q59" s="2"/>
      <c r="R59" s="7">
        <f t="shared" si="32"/>
        <v>1.0608994864639032E-2</v>
      </c>
      <c r="S59" s="2"/>
      <c r="T59" s="6">
        <v>8251.52</v>
      </c>
      <c r="U59" s="2"/>
      <c r="V59" s="7">
        <f t="shared" si="33"/>
        <v>1.2247511407152932E-3</v>
      </c>
      <c r="W59" s="2"/>
      <c r="X59" s="6">
        <f t="shared" si="34"/>
        <v>-1093.0900000000001</v>
      </c>
      <c r="Y59" s="2"/>
      <c r="Z59" s="7">
        <f t="shared" si="35"/>
        <v>-0.13247135073295588</v>
      </c>
    </row>
    <row r="60" spans="1:26" s="26" customFormat="1" outlineLevel="1" collapsed="1" x14ac:dyDescent="0.25">
      <c r="A60" s="27"/>
      <c r="B60" s="13" t="str">
        <f>CONCATENATE("     ","Insurance                                         ")</f>
        <v xml:space="preserve">     Insurance                                         </v>
      </c>
      <c r="C60" s="13"/>
      <c r="D60" s="1">
        <f>SUM(OSRRefD22_10x_0)</f>
        <v>5.9</v>
      </c>
      <c r="E60" s="1"/>
      <c r="F60" s="5">
        <f t="shared" si="28"/>
        <v>1.5424372861992384E-4</v>
      </c>
      <c r="G60" s="1"/>
      <c r="H60" s="1">
        <f>SUM(OSRRefH22_10x_0)</f>
        <v>5.9</v>
      </c>
      <c r="I60" s="1"/>
      <c r="J60" s="5">
        <f t="shared" si="29"/>
        <v>9.0910596747172634E-6</v>
      </c>
      <c r="K60" s="1"/>
      <c r="L60" s="1">
        <f t="shared" si="30"/>
        <v>0</v>
      </c>
      <c r="M60" s="1"/>
      <c r="N60" s="5">
        <f t="shared" si="31"/>
        <v>0</v>
      </c>
      <c r="O60" s="13"/>
      <c r="P60" s="1">
        <f>SUM(OSRRefP22_10x_0)</f>
        <v>41.3</v>
      </c>
      <c r="Q60" s="1"/>
      <c r="R60" s="5">
        <f t="shared" si="32"/>
        <v>6.1207763142140381E-5</v>
      </c>
      <c r="S60" s="1"/>
      <c r="T60" s="1">
        <f>SUM(OSRRefT22_10x_0)</f>
        <v>41.3</v>
      </c>
      <c r="U60" s="1"/>
      <c r="V60" s="5">
        <f t="shared" si="33"/>
        <v>6.1300490226699572E-6</v>
      </c>
      <c r="W60" s="1"/>
      <c r="X60" s="1">
        <f t="shared" si="34"/>
        <v>0</v>
      </c>
      <c r="Y60" s="1"/>
      <c r="Z60" s="5">
        <f t="shared" si="35"/>
        <v>0</v>
      </c>
    </row>
    <row r="61" spans="1:26" s="24" customFormat="1" hidden="1" outlineLevel="2" x14ac:dyDescent="0.25">
      <c r="A61" s="25"/>
      <c r="B61" s="11" t="str">
        <f>CONCATENATE("          ", "6314", " - ", "LIABILITY INSURANCE")</f>
        <v xml:space="preserve">          6314 - LIABILITY INSURANCE</v>
      </c>
      <c r="C61" s="11"/>
      <c r="D61" s="6">
        <v>5.9</v>
      </c>
      <c r="E61" s="2"/>
      <c r="F61" s="7">
        <f t="shared" si="28"/>
        <v>1.5424372861992384E-4</v>
      </c>
      <c r="G61" s="2"/>
      <c r="H61" s="6">
        <v>5.9</v>
      </c>
      <c r="I61" s="2"/>
      <c r="J61" s="7">
        <f t="shared" si="29"/>
        <v>9.0910596747172634E-6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41.3</v>
      </c>
      <c r="Q61" s="2"/>
      <c r="R61" s="7">
        <f t="shared" si="32"/>
        <v>6.1207763142140381E-5</v>
      </c>
      <c r="S61" s="2"/>
      <c r="T61" s="6">
        <v>41.3</v>
      </c>
      <c r="U61" s="2"/>
      <c r="V61" s="7">
        <f t="shared" si="33"/>
        <v>6.1300490226699572E-6</v>
      </c>
      <c r="W61" s="2"/>
      <c r="X61" s="6">
        <f t="shared" si="34"/>
        <v>0</v>
      </c>
      <c r="Y61" s="2"/>
      <c r="Z61" s="7">
        <f t="shared" si="35"/>
        <v>0</v>
      </c>
    </row>
    <row r="62" spans="1:26" s="26" customFormat="1" outlineLevel="1" collapsed="1" x14ac:dyDescent="0.25">
      <c r="A62" s="27"/>
      <c r="B62" s="13" t="str">
        <f>CONCATENATE("     ","R/H Commissions                                   ")</f>
        <v xml:space="preserve">     R/H Commissions                                   </v>
      </c>
      <c r="C62" s="13"/>
      <c r="D62" s="1">
        <f>SUM(OSRRefD22_11x_0)</f>
        <v>-29103.129999999997</v>
      </c>
      <c r="E62" s="1"/>
      <c r="F62" s="5">
        <f t="shared" si="28"/>
        <v>-0.76084326876446839</v>
      </c>
      <c r="G62" s="1"/>
      <c r="H62" s="1">
        <f>SUM(OSRRefH22_11x_0)</f>
        <v>52199.14</v>
      </c>
      <c r="I62" s="1"/>
      <c r="J62" s="5">
        <f t="shared" si="29"/>
        <v>8.0431440120156072E-2</v>
      </c>
      <c r="K62" s="1"/>
      <c r="L62" s="1">
        <f t="shared" si="30"/>
        <v>-81302.26999999999</v>
      </c>
      <c r="M62" s="1"/>
      <c r="N62" s="5">
        <f t="shared" si="31"/>
        <v>-1.5575404115853249</v>
      </c>
      <c r="O62" s="13"/>
      <c r="P62" s="1">
        <f>SUM(OSRRefP22_11x_0)</f>
        <v>45913.36</v>
      </c>
      <c r="Q62" s="1"/>
      <c r="R62" s="5">
        <f t="shared" si="32"/>
        <v>6.804489258934196E-2</v>
      </c>
      <c r="S62" s="1"/>
      <c r="T62" s="1">
        <f>SUM(OSRRefT22_11x_0)</f>
        <v>523790.01000000007</v>
      </c>
      <c r="U62" s="1"/>
      <c r="V62" s="5">
        <f t="shared" si="33"/>
        <v>7.7744756389462169E-2</v>
      </c>
      <c r="W62" s="1"/>
      <c r="X62" s="1">
        <f t="shared" si="34"/>
        <v>-477876.65000000008</v>
      </c>
      <c r="Y62" s="1"/>
      <c r="Z62" s="5">
        <f t="shared" si="35"/>
        <v>-0.9123439563118052</v>
      </c>
    </row>
    <row r="63" spans="1:26" s="24" customFormat="1" hidden="1" outlineLevel="2" x14ac:dyDescent="0.25">
      <c r="A63" s="25"/>
      <c r="B63" s="11" t="str">
        <f>CONCATENATE("          ", "6387", " - ", "COMMISSION DUE HOUSING")</f>
        <v xml:space="preserve">          6387 - COMMISSION DUE HOUSING</v>
      </c>
      <c r="C63" s="11"/>
      <c r="D63" s="6">
        <v>-29103.129999999997</v>
      </c>
      <c r="E63" s="2"/>
      <c r="F63" s="7">
        <f t="shared" si="28"/>
        <v>-0.76084326876446839</v>
      </c>
      <c r="G63" s="2"/>
      <c r="H63" s="6">
        <v>52199.14</v>
      </c>
      <c r="I63" s="2"/>
      <c r="J63" s="7">
        <f t="shared" si="29"/>
        <v>8.0431440120156072E-2</v>
      </c>
      <c r="K63" s="2"/>
      <c r="L63" s="6">
        <f t="shared" si="30"/>
        <v>-81302.26999999999</v>
      </c>
      <c r="M63" s="2"/>
      <c r="N63" s="7">
        <f t="shared" si="31"/>
        <v>-1.5575404115853249</v>
      </c>
      <c r="O63" s="11"/>
      <c r="P63" s="6">
        <v>45913.36</v>
      </c>
      <c r="Q63" s="2"/>
      <c r="R63" s="7">
        <f t="shared" si="32"/>
        <v>6.804489258934196E-2</v>
      </c>
      <c r="S63" s="2"/>
      <c r="T63" s="6">
        <v>523790.01000000007</v>
      </c>
      <c r="U63" s="2"/>
      <c r="V63" s="7">
        <f t="shared" si="33"/>
        <v>7.7744756389462169E-2</v>
      </c>
      <c r="W63" s="2"/>
      <c r="X63" s="6">
        <f t="shared" si="34"/>
        <v>-477876.65000000008</v>
      </c>
      <c r="Y63" s="2"/>
      <c r="Z63" s="7">
        <f t="shared" si="35"/>
        <v>-0.9123439563118052</v>
      </c>
    </row>
    <row r="64" spans="1:26" s="26" customFormat="1" outlineLevel="1" collapsed="1" x14ac:dyDescent="0.25">
      <c r="A64" s="27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SUM(OSRRefD22_12x_0)</f>
        <v>3524.94</v>
      </c>
      <c r="E64" s="1"/>
      <c r="F64" s="5">
        <f t="shared" si="28"/>
        <v>9.2152523518900742E-2</v>
      </c>
      <c r="G64" s="1"/>
      <c r="H64" s="1">
        <f>SUM(OSRRefH22_12x_0)</f>
        <v>0</v>
      </c>
      <c r="I64" s="1"/>
      <c r="J64" s="5">
        <f t="shared" si="29"/>
        <v>0</v>
      </c>
      <c r="K64" s="1"/>
      <c r="L64" s="1">
        <f t="shared" si="30"/>
        <v>3524.94</v>
      </c>
      <c r="M64" s="1"/>
      <c r="N64" s="5">
        <f t="shared" si="31"/>
        <v>0</v>
      </c>
      <c r="O64" s="13"/>
      <c r="P64" s="1">
        <f>SUM(OSRRefP22_12x_0)</f>
        <v>11671.73</v>
      </c>
      <c r="Q64" s="1"/>
      <c r="R64" s="5">
        <f t="shared" si="32"/>
        <v>1.729783257382601E-2</v>
      </c>
      <c r="S64" s="1"/>
      <c r="T64" s="1">
        <f>SUM(OSRRefT22_12x_0)</f>
        <v>23808.939999999995</v>
      </c>
      <c r="U64" s="1"/>
      <c r="V64" s="5">
        <f t="shared" si="33"/>
        <v>3.5338975636273031E-3</v>
      </c>
      <c r="W64" s="1"/>
      <c r="X64" s="1">
        <f t="shared" si="34"/>
        <v>-12137.209999999995</v>
      </c>
      <c r="Y64" s="1"/>
      <c r="Z64" s="5">
        <f t="shared" si="35"/>
        <v>-0.50977531969083878</v>
      </c>
    </row>
    <row r="65" spans="1:26" s="24" customFormat="1" hidden="1" outlineLevel="2" x14ac:dyDescent="0.25">
      <c r="A65" s="25"/>
      <c r="B65" s="11" t="str">
        <f>CONCATENATE("          ", "6371", " - ", "COMPUTER SOFTWARE MAINTENANCE")</f>
        <v xml:space="preserve">          6371 - COMPUTER SOFTWARE MAINTENANCE</v>
      </c>
      <c r="C65" s="11"/>
      <c r="D65" s="6">
        <v>3500</v>
      </c>
      <c r="E65" s="2"/>
      <c r="F65" s="7">
        <f t="shared" si="28"/>
        <v>9.1500516977920915E-2</v>
      </c>
      <c r="G65" s="2"/>
      <c r="H65" s="6"/>
      <c r="I65" s="2"/>
      <c r="J65" s="7">
        <f t="shared" si="29"/>
        <v>0</v>
      </c>
      <c r="K65" s="2"/>
      <c r="L65" s="6">
        <f t="shared" si="30"/>
        <v>3500</v>
      </c>
      <c r="M65" s="2"/>
      <c r="N65" s="7">
        <f t="shared" si="31"/>
        <v>0</v>
      </c>
      <c r="O65" s="11"/>
      <c r="P65" s="6">
        <v>7000</v>
      </c>
      <c r="Q65" s="2"/>
      <c r="R65" s="7">
        <f t="shared" si="32"/>
        <v>1.0374197142735658E-2</v>
      </c>
      <c r="S65" s="2"/>
      <c r="T65" s="6">
        <v>22817.929999999997</v>
      </c>
      <c r="U65" s="2"/>
      <c r="V65" s="7">
        <f t="shared" si="33"/>
        <v>3.3868045882772756E-3</v>
      </c>
      <c r="W65" s="2"/>
      <c r="X65" s="6">
        <f t="shared" si="34"/>
        <v>-15817.929999999997</v>
      </c>
      <c r="Y65" s="2"/>
      <c r="Z65" s="7">
        <f t="shared" si="35"/>
        <v>-0.6932237060942863</v>
      </c>
    </row>
    <row r="66" spans="1:26" s="24" customFormat="1" hidden="1" outlineLevel="2" x14ac:dyDescent="0.25">
      <c r="A66" s="25"/>
      <c r="B66" s="11" t="str">
        <f>CONCATENATE("          ", "6373", " - ", "MAINTENANCE CONTRACTS")</f>
        <v xml:space="preserve">          6373 - MAINTENANCE CONTRACTS</v>
      </c>
      <c r="C66" s="11"/>
      <c r="D66" s="6">
        <v>5.94</v>
      </c>
      <c r="E66" s="2"/>
      <c r="F66" s="7">
        <f t="shared" si="28"/>
        <v>1.5528944881395724E-4</v>
      </c>
      <c r="G66" s="2"/>
      <c r="H66" s="6"/>
      <c r="I66" s="2"/>
      <c r="J66" s="7">
        <f t="shared" si="29"/>
        <v>0</v>
      </c>
      <c r="K66" s="2"/>
      <c r="L66" s="6">
        <f t="shared" si="30"/>
        <v>5.94</v>
      </c>
      <c r="M66" s="2"/>
      <c r="N66" s="7">
        <f t="shared" si="31"/>
        <v>0</v>
      </c>
      <c r="O66" s="11"/>
      <c r="P66" s="6">
        <v>2975.91</v>
      </c>
      <c r="Q66" s="2"/>
      <c r="R66" s="7">
        <f t="shared" si="32"/>
        <v>4.4103824312912102E-3</v>
      </c>
      <c r="S66" s="2"/>
      <c r="T66" s="6">
        <v>481.82</v>
      </c>
      <c r="U66" s="2"/>
      <c r="V66" s="7">
        <f t="shared" si="33"/>
        <v>7.1515259566654692E-5</v>
      </c>
      <c r="W66" s="2"/>
      <c r="X66" s="6">
        <f t="shared" si="34"/>
        <v>2494.0899999999997</v>
      </c>
      <c r="Y66" s="2"/>
      <c r="Z66" s="7">
        <f t="shared" si="35"/>
        <v>5.1763936739861354</v>
      </c>
    </row>
    <row r="67" spans="1:26" s="24" customFormat="1" hidden="1" outlineLevel="2" x14ac:dyDescent="0.25">
      <c r="A67" s="25"/>
      <c r="B67" s="11" t="str">
        <f>CONCATENATE("          ", "6375", " - ", "OUTSIDE REPAIRS &amp; MAINTENANCE")</f>
        <v xml:space="preserve">          6375 - OUTSIDE REPAIRS &amp; MAINTENANCE</v>
      </c>
      <c r="C67" s="11"/>
      <c r="D67" s="6">
        <v>19</v>
      </c>
      <c r="E67" s="2"/>
      <c r="F67" s="7">
        <f t="shared" si="28"/>
        <v>4.9671709216585647E-4</v>
      </c>
      <c r="G67" s="2"/>
      <c r="H67" s="6"/>
      <c r="I67" s="2"/>
      <c r="J67" s="7">
        <f t="shared" si="29"/>
        <v>0</v>
      </c>
      <c r="K67" s="2"/>
      <c r="L67" s="6">
        <f t="shared" si="30"/>
        <v>19</v>
      </c>
      <c r="M67" s="2"/>
      <c r="N67" s="7">
        <f t="shared" si="31"/>
        <v>0</v>
      </c>
      <c r="O67" s="11"/>
      <c r="P67" s="6">
        <v>1695.82</v>
      </c>
      <c r="Q67" s="2"/>
      <c r="R67" s="7">
        <f t="shared" si="32"/>
        <v>2.5132529997991407E-3</v>
      </c>
      <c r="S67" s="2"/>
      <c r="T67" s="6">
        <v>509.19</v>
      </c>
      <c r="U67" s="2"/>
      <c r="V67" s="7">
        <f t="shared" si="33"/>
        <v>7.5577715783373259E-5</v>
      </c>
      <c r="W67" s="2"/>
      <c r="X67" s="6">
        <f t="shared" si="34"/>
        <v>1186.6299999999999</v>
      </c>
      <c r="Y67" s="2"/>
      <c r="Z67" s="7">
        <f t="shared" si="35"/>
        <v>2.330426756220664</v>
      </c>
    </row>
    <row r="68" spans="1:26" s="26" customFormat="1" outlineLevel="1" collapsed="1" x14ac:dyDescent="0.25">
      <c r="A68" s="27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SUM(OSRRefD22_13x_0)</f>
        <v>13280.949999999999</v>
      </c>
      <c r="E68" s="1"/>
      <c r="F68" s="5">
        <f t="shared" ref="F68:F72" si="36">IF(D$12=0,0,D68/D$12)</f>
        <v>0.34720394027369106</v>
      </c>
      <c r="G68" s="1"/>
      <c r="H68" s="1">
        <f>SUM(OSRRefH22_13x_0)</f>
        <v>15986.09</v>
      </c>
      <c r="I68" s="1"/>
      <c r="J68" s="5">
        <f t="shared" ref="J68:J72" si="37">IF(H$12=0,0,H68/H$12)</f>
        <v>2.4632287822949302E-2</v>
      </c>
      <c r="K68" s="1"/>
      <c r="L68" s="1">
        <f t="shared" ref="L68:L72" si="38">+D68-H68</f>
        <v>-2705.1400000000012</v>
      </c>
      <c r="M68" s="1"/>
      <c r="N68" s="5">
        <f t="shared" ref="N68:N72" si="39">IF(H68=0,0,L68/H68)</f>
        <v>-0.16921836421538983</v>
      </c>
      <c r="O68" s="13"/>
      <c r="P68" s="1">
        <f>SUM(OSRRefP22_13x_0)</f>
        <v>78806.94</v>
      </c>
      <c r="Q68" s="1"/>
      <c r="R68" s="5">
        <f t="shared" ref="R68:R72" si="40">IF(P$12=0,0,P68/P$12)</f>
        <v>0.1167941045393915</v>
      </c>
      <c r="S68" s="1"/>
      <c r="T68" s="1">
        <f>SUM(OSRRefT22_13x_0)</f>
        <v>128952.86</v>
      </c>
      <c r="U68" s="1"/>
      <c r="V68" s="5">
        <f t="shared" ref="V68:V72" si="41">IF(T$12=0,0,T68/T$12)</f>
        <v>1.9140129622602805E-2</v>
      </c>
      <c r="W68" s="1"/>
      <c r="X68" s="1">
        <f t="shared" ref="X68:X72" si="42">+P68-T68</f>
        <v>-50145.919999999998</v>
      </c>
      <c r="Y68" s="1"/>
      <c r="Z68" s="5">
        <f t="shared" ref="Z68:Z72" si="43">IF(T68=0,0,X68/T68)</f>
        <v>-0.38887016542324071</v>
      </c>
    </row>
    <row r="69" spans="1:26" s="24" customFormat="1" hidden="1" outlineLevel="2" x14ac:dyDescent="0.25">
      <c r="A69" s="25"/>
      <c r="B69" s="11" t="str">
        <f>CONCATENATE("          ", "6282", " - ", "JANITORIAL/EXTERMINATOR EXPENS")</f>
        <v xml:space="preserve">          6282 - JANITORIAL/EXTERMINATOR EXPENS</v>
      </c>
      <c r="C69" s="11"/>
      <c r="D69" s="6">
        <v>3610.45</v>
      </c>
      <c r="E69" s="2"/>
      <c r="F69" s="7">
        <f t="shared" si="36"/>
        <v>9.4388011863695595E-2</v>
      </c>
      <c r="G69" s="2"/>
      <c r="H69" s="6"/>
      <c r="I69" s="2"/>
      <c r="J69" s="7">
        <f t="shared" si="37"/>
        <v>0</v>
      </c>
      <c r="K69" s="2"/>
      <c r="L69" s="6">
        <f t="shared" si="38"/>
        <v>3610.45</v>
      </c>
      <c r="M69" s="2"/>
      <c r="N69" s="7">
        <f t="shared" si="39"/>
        <v>0</v>
      </c>
      <c r="O69" s="11"/>
      <c r="P69" s="6">
        <v>9495.31</v>
      </c>
      <c r="Q69" s="2"/>
      <c r="R69" s="7">
        <f t="shared" si="40"/>
        <v>1.4072316838769904E-2</v>
      </c>
      <c r="S69" s="2"/>
      <c r="T69" s="6">
        <v>10828.1</v>
      </c>
      <c r="U69" s="2"/>
      <c r="V69" s="7">
        <f t="shared" si="41"/>
        <v>1.6071860489678589E-3</v>
      </c>
      <c r="W69" s="2"/>
      <c r="X69" s="6">
        <f t="shared" si="42"/>
        <v>-1332.7900000000009</v>
      </c>
      <c r="Y69" s="2"/>
      <c r="Z69" s="7">
        <f t="shared" si="43"/>
        <v>-0.12308622934771574</v>
      </c>
    </row>
    <row r="70" spans="1:26" s="24" customFormat="1" hidden="1" outlineLevel="2" x14ac:dyDescent="0.25">
      <c r="A70" s="25"/>
      <c r="B70" s="11" t="str">
        <f>CONCATENATE("          ", "6284", " - ", "TRASH REMOVAL EXPENSE")</f>
        <v xml:space="preserve">          6284 - TRASH REMOVAL EXPENSE</v>
      </c>
      <c r="C70" s="11"/>
      <c r="D70" s="6"/>
      <c r="E70" s="2"/>
      <c r="F70" s="7">
        <f t="shared" si="36"/>
        <v>0</v>
      </c>
      <c r="G70" s="2"/>
      <c r="H70" s="6"/>
      <c r="I70" s="2"/>
      <c r="J70" s="7">
        <f t="shared" si="37"/>
        <v>0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>
        <v>282.75</v>
      </c>
      <c r="Q70" s="2"/>
      <c r="R70" s="7">
        <f t="shared" si="40"/>
        <v>4.190434631583582E-4</v>
      </c>
      <c r="S70" s="2"/>
      <c r="T70" s="6"/>
      <c r="U70" s="2"/>
      <c r="V70" s="7">
        <f t="shared" si="41"/>
        <v>0</v>
      </c>
      <c r="W70" s="2"/>
      <c r="X70" s="6">
        <f t="shared" si="42"/>
        <v>282.75</v>
      </c>
      <c r="Y70" s="2"/>
      <c r="Z70" s="7">
        <f t="shared" si="43"/>
        <v>0</v>
      </c>
    </row>
    <row r="71" spans="1:26" s="24" customFormat="1" hidden="1" outlineLevel="2" x14ac:dyDescent="0.25">
      <c r="A71" s="25"/>
      <c r="B71" s="11" t="str">
        <f>CONCATENATE("          ", "6285", " - ", "JANITORIAL SERVICES")</f>
        <v xml:space="preserve">          6285 - JANITORIAL SERVICES</v>
      </c>
      <c r="C71" s="11"/>
      <c r="D71" s="6">
        <v>8897.19</v>
      </c>
      <c r="E71" s="2"/>
      <c r="F71" s="7">
        <f t="shared" si="36"/>
        <v>0.23259928132879665</v>
      </c>
      <c r="G71" s="2"/>
      <c r="H71" s="6">
        <v>12248.2</v>
      </c>
      <c r="I71" s="2"/>
      <c r="J71" s="7">
        <f t="shared" si="37"/>
        <v>1.8872731713198639E-2</v>
      </c>
      <c r="K71" s="2"/>
      <c r="L71" s="6">
        <f t="shared" si="38"/>
        <v>-3351.01</v>
      </c>
      <c r="M71" s="2"/>
      <c r="N71" s="7">
        <f t="shared" si="39"/>
        <v>-0.27359203801374898</v>
      </c>
      <c r="O71" s="11"/>
      <c r="P71" s="6">
        <v>58199.17</v>
      </c>
      <c r="Q71" s="2"/>
      <c r="R71" s="7">
        <f t="shared" si="40"/>
        <v>8.6252809017655266E-2</v>
      </c>
      <c r="S71" s="2"/>
      <c r="T71" s="6">
        <v>86333.22</v>
      </c>
      <c r="U71" s="2"/>
      <c r="V71" s="7">
        <f t="shared" si="41"/>
        <v>1.2814209948788145E-2</v>
      </c>
      <c r="W71" s="2"/>
      <c r="X71" s="6">
        <f t="shared" si="42"/>
        <v>-28134.050000000003</v>
      </c>
      <c r="Y71" s="2"/>
      <c r="Z71" s="7">
        <f t="shared" si="43"/>
        <v>-0.32587745481982489</v>
      </c>
    </row>
    <row r="72" spans="1:26" s="24" customFormat="1" hidden="1" outlineLevel="2" x14ac:dyDescent="0.25">
      <c r="A72" s="25"/>
      <c r="B72" s="11" t="str">
        <f>CONCATENATE("          ", "6286", " - ", "LAUNDRY EXPENSE")</f>
        <v xml:space="preserve">          6286 - LAUNDRY EXPENSE</v>
      </c>
      <c r="C72" s="11"/>
      <c r="D72" s="6">
        <v>773.31</v>
      </c>
      <c r="E72" s="2"/>
      <c r="F72" s="7">
        <f t="shared" si="36"/>
        <v>2.0216647081198864E-2</v>
      </c>
      <c r="G72" s="2"/>
      <c r="H72" s="6">
        <v>3737.89</v>
      </c>
      <c r="I72" s="2"/>
      <c r="J72" s="7">
        <f t="shared" si="37"/>
        <v>5.7595561097506624E-3</v>
      </c>
      <c r="K72" s="2"/>
      <c r="L72" s="6">
        <f t="shared" si="38"/>
        <v>-2964.58</v>
      </c>
      <c r="M72" s="2"/>
      <c r="N72" s="7">
        <f t="shared" si="39"/>
        <v>-0.79311590228711926</v>
      </c>
      <c r="O72" s="11"/>
      <c r="P72" s="6">
        <v>10829.71</v>
      </c>
      <c r="Q72" s="2"/>
      <c r="R72" s="7">
        <f t="shared" si="40"/>
        <v>1.6049935219807968E-2</v>
      </c>
      <c r="S72" s="2"/>
      <c r="T72" s="6">
        <v>31791.539999999997</v>
      </c>
      <c r="U72" s="2"/>
      <c r="V72" s="7">
        <f t="shared" si="41"/>
        <v>4.7187336248468003E-3</v>
      </c>
      <c r="W72" s="2"/>
      <c r="X72" s="6">
        <f t="shared" si="42"/>
        <v>-20961.829999999998</v>
      </c>
      <c r="Y72" s="2"/>
      <c r="Z72" s="7">
        <f t="shared" si="43"/>
        <v>-0.65935245665985354</v>
      </c>
    </row>
    <row r="73" spans="1:26" s="26" customFormat="1" outlineLevel="1" collapsed="1" x14ac:dyDescent="0.25">
      <c r="A73" s="27"/>
      <c r="B73" s="13" t="str">
        <f>CONCATENATE("     ","Subscriptions &amp; Dues                              ")</f>
        <v xml:space="preserve">     Subscriptions &amp; Dues                              </v>
      </c>
      <c r="C73" s="13"/>
      <c r="D73" s="1">
        <f>SUM(OSRRefD22_14x_0)</f>
        <v>0</v>
      </c>
      <c r="E73" s="1"/>
      <c r="F73" s="5">
        <f t="shared" ref="F73:F84" si="44">IF(D$12=0,0,D73/D$12)</f>
        <v>0</v>
      </c>
      <c r="G73" s="1"/>
      <c r="H73" s="1">
        <f>SUM(OSRRefH22_14x_0)</f>
        <v>0</v>
      </c>
      <c r="I73" s="1"/>
      <c r="J73" s="5">
        <f t="shared" ref="J73:J84" si="45">IF(H$12=0,0,H73/H$12)</f>
        <v>0</v>
      </c>
      <c r="K73" s="1"/>
      <c r="L73" s="1">
        <f t="shared" ref="L73:L84" si="46">+D73-H73</f>
        <v>0</v>
      </c>
      <c r="M73" s="1"/>
      <c r="N73" s="5">
        <f t="shared" ref="N73:N84" si="47">IF(H73=0,0,L73/H73)</f>
        <v>0</v>
      </c>
      <c r="O73" s="13"/>
      <c r="P73" s="1">
        <f>SUM(OSRRefP22_14x_0)</f>
        <v>795</v>
      </c>
      <c r="Q73" s="1"/>
      <c r="R73" s="5">
        <f t="shared" ref="R73:R84" si="48">IF(P$12=0,0,P73/P$12)</f>
        <v>1.1782123897821212E-3</v>
      </c>
      <c r="S73" s="1"/>
      <c r="T73" s="1">
        <f>SUM(OSRRefT22_14x_0)</f>
        <v>0</v>
      </c>
      <c r="U73" s="1"/>
      <c r="V73" s="5">
        <f t="shared" ref="V73:V84" si="49">IF(T$12=0,0,T73/T$12)</f>
        <v>0</v>
      </c>
      <c r="W73" s="1"/>
      <c r="X73" s="1">
        <f t="shared" ref="X73:X84" si="50">+P73-T73</f>
        <v>795</v>
      </c>
      <c r="Y73" s="1"/>
      <c r="Z73" s="5">
        <f t="shared" ref="Z73:Z84" si="51">IF(T73=0,0,X73/T73)</f>
        <v>0</v>
      </c>
    </row>
    <row r="74" spans="1:26" s="24" customFormat="1" hidden="1" outlineLevel="2" x14ac:dyDescent="0.25">
      <c r="A74" s="25"/>
      <c r="B74" s="11" t="str">
        <f>CONCATENATE("          ", "6258", " - ", "MEMBERSHIP DUES")</f>
        <v xml:space="preserve">          6258 - MEMBERSHIP DUES</v>
      </c>
      <c r="C74" s="11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1"/>
      <c r="P74" s="6">
        <v>795</v>
      </c>
      <c r="Q74" s="2"/>
      <c r="R74" s="7">
        <f t="shared" si="48"/>
        <v>1.1782123897821212E-3</v>
      </c>
      <c r="S74" s="2"/>
      <c r="T74" s="6"/>
      <c r="U74" s="2"/>
      <c r="V74" s="7">
        <f t="shared" si="49"/>
        <v>0</v>
      </c>
      <c r="W74" s="2"/>
      <c r="X74" s="6">
        <f t="shared" si="50"/>
        <v>795</v>
      </c>
      <c r="Y74" s="2"/>
      <c r="Z74" s="7">
        <f t="shared" si="51"/>
        <v>0</v>
      </c>
    </row>
    <row r="75" spans="1:26" s="26" customFormat="1" outlineLevel="1" collapsed="1" x14ac:dyDescent="0.25">
      <c r="A75" s="27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SUM(OSRRefD22_15x_0)</f>
        <v>10758.24</v>
      </c>
      <c r="E75" s="1"/>
      <c r="F75" s="5">
        <f t="shared" si="44"/>
        <v>0.28125272050644229</v>
      </c>
      <c r="G75" s="1"/>
      <c r="H75" s="1">
        <f>SUM(OSRRefH22_15x_0)</f>
        <v>15670.74</v>
      </c>
      <c r="I75" s="1"/>
      <c r="J75" s="5">
        <f t="shared" si="45"/>
        <v>2.4146378387623523E-2</v>
      </c>
      <c r="K75" s="1"/>
      <c r="L75" s="1">
        <f t="shared" si="46"/>
        <v>-4912.5</v>
      </c>
      <c r="M75" s="1"/>
      <c r="N75" s="5">
        <f t="shared" si="47"/>
        <v>-0.31348232438289447</v>
      </c>
      <c r="O75" s="13"/>
      <c r="P75" s="1">
        <f>SUM(OSRRefP22_15x_0)</f>
        <v>100499.02</v>
      </c>
      <c r="Q75" s="1"/>
      <c r="R75" s="5">
        <f t="shared" si="48"/>
        <v>0.14894237801881913</v>
      </c>
      <c r="S75" s="1"/>
      <c r="T75" s="1">
        <f>SUM(OSRRefT22_15x_0)</f>
        <v>150267.11000000002</v>
      </c>
      <c r="U75" s="1"/>
      <c r="V75" s="5">
        <f t="shared" si="49"/>
        <v>2.2303746992613536E-2</v>
      </c>
      <c r="W75" s="1"/>
      <c r="X75" s="1">
        <f t="shared" si="50"/>
        <v>-49768.090000000011</v>
      </c>
      <c r="Y75" s="1"/>
      <c r="Z75" s="5">
        <f t="shared" si="51"/>
        <v>-0.33119749225229661</v>
      </c>
    </row>
    <row r="76" spans="1:26" s="24" customFormat="1" hidden="1" outlineLevel="2" x14ac:dyDescent="0.25">
      <c r="A76" s="25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1"/>
      <c r="P76" s="6"/>
      <c r="Q76" s="2"/>
      <c r="R76" s="7">
        <f t="shared" si="48"/>
        <v>0</v>
      </c>
      <c r="S76" s="2"/>
      <c r="T76" s="6">
        <v>100</v>
      </c>
      <c r="U76" s="2"/>
      <c r="V76" s="7">
        <f t="shared" si="49"/>
        <v>1.4842733711065272E-5</v>
      </c>
      <c r="W76" s="2"/>
      <c r="X76" s="6">
        <f t="shared" si="50"/>
        <v>-100</v>
      </c>
      <c r="Y76" s="2"/>
      <c r="Z76" s="7">
        <f t="shared" si="51"/>
        <v>-1</v>
      </c>
    </row>
    <row r="77" spans="1:26" s="24" customFormat="1" hidden="1" outlineLevel="2" x14ac:dyDescent="0.25">
      <c r="A77" s="25"/>
      <c r="B77" s="11" t="str">
        <f>CONCATENATE("          ", "6235", " - ", "COVID-19 EXPENSES")</f>
        <v xml:space="preserve">          6235 - COVID-19 EXPENSES</v>
      </c>
      <c r="C77" s="11"/>
      <c r="D77" s="6">
        <v>2921.2</v>
      </c>
      <c r="E77" s="2"/>
      <c r="F77" s="7">
        <f t="shared" si="44"/>
        <v>7.6368945770257879E-2</v>
      </c>
      <c r="G77" s="2"/>
      <c r="H77" s="6"/>
      <c r="I77" s="2"/>
      <c r="J77" s="7">
        <f t="shared" si="45"/>
        <v>0</v>
      </c>
      <c r="K77" s="2"/>
      <c r="L77" s="6">
        <f t="shared" si="46"/>
        <v>2921.2</v>
      </c>
      <c r="M77" s="2"/>
      <c r="N77" s="7">
        <f t="shared" si="47"/>
        <v>0</v>
      </c>
      <c r="O77" s="11"/>
      <c r="P77" s="6">
        <v>50648.35</v>
      </c>
      <c r="Q77" s="2"/>
      <c r="R77" s="7">
        <f t="shared" si="48"/>
        <v>7.5062281122039373E-2</v>
      </c>
      <c r="S77" s="2"/>
      <c r="T77" s="6"/>
      <c r="U77" s="2"/>
      <c r="V77" s="7">
        <f t="shared" si="49"/>
        <v>0</v>
      </c>
      <c r="W77" s="2"/>
      <c r="X77" s="6">
        <f t="shared" si="50"/>
        <v>50648.35</v>
      </c>
      <c r="Y77" s="2"/>
      <c r="Z77" s="7">
        <f t="shared" si="51"/>
        <v>0</v>
      </c>
    </row>
    <row r="78" spans="1:26" s="24" customFormat="1" hidden="1" outlineLevel="2" x14ac:dyDescent="0.25">
      <c r="A78" s="25"/>
      <c r="B78" s="11" t="str">
        <f>CONCATENATE("          ", "6237", " - ", "JANITORIAL SUPPLIES")</f>
        <v xml:space="preserve">          6237 - JANITORIAL SUPPLIES</v>
      </c>
      <c r="C78" s="11"/>
      <c r="D78" s="6">
        <v>4171.3599999999997</v>
      </c>
      <c r="E78" s="2"/>
      <c r="F78" s="7">
        <f t="shared" si="44"/>
        <v>0.10905188471457719</v>
      </c>
      <c r="G78" s="2"/>
      <c r="H78" s="6">
        <v>6200.93</v>
      </c>
      <c r="I78" s="2"/>
      <c r="J78" s="7">
        <f t="shared" si="45"/>
        <v>9.5547499438550024E-3</v>
      </c>
      <c r="K78" s="2"/>
      <c r="L78" s="6">
        <f t="shared" si="46"/>
        <v>-2029.5700000000006</v>
      </c>
      <c r="M78" s="2"/>
      <c r="N78" s="7">
        <f t="shared" si="47"/>
        <v>-0.32730090486427044</v>
      </c>
      <c r="O78" s="11"/>
      <c r="P78" s="6">
        <v>17235.809999999998</v>
      </c>
      <c r="Q78" s="2"/>
      <c r="R78" s="7">
        <f t="shared" si="48"/>
        <v>2.5543955836390669E-2</v>
      </c>
      <c r="S78" s="2"/>
      <c r="T78" s="6">
        <v>56396.12</v>
      </c>
      <c r="U78" s="2"/>
      <c r="V78" s="7">
        <f t="shared" si="49"/>
        <v>8.3707259149728239E-3</v>
      </c>
      <c r="W78" s="2"/>
      <c r="X78" s="6">
        <f t="shared" si="50"/>
        <v>-39160.310000000005</v>
      </c>
      <c r="Y78" s="2"/>
      <c r="Z78" s="7">
        <f t="shared" si="51"/>
        <v>-0.69437950695898942</v>
      </c>
    </row>
    <row r="79" spans="1:26" s="24" customFormat="1" hidden="1" outlineLevel="2" x14ac:dyDescent="0.25">
      <c r="A79" s="25"/>
      <c r="B79" s="11" t="str">
        <f>CONCATENATE("          ", "6239", " - ", "KITCHEN SUPPLIES")</f>
        <v xml:space="preserve">          6239 - KITCHEN SUPPLIES</v>
      </c>
      <c r="C79" s="11"/>
      <c r="D79" s="6">
        <v>979.48</v>
      </c>
      <c r="E79" s="2"/>
      <c r="F79" s="7">
        <f t="shared" si="44"/>
        <v>2.5606550391295425E-2</v>
      </c>
      <c r="G79" s="2"/>
      <c r="H79" s="6">
        <v>3302.96</v>
      </c>
      <c r="I79" s="2"/>
      <c r="J79" s="7">
        <f t="shared" si="45"/>
        <v>5.0893909259668016E-3</v>
      </c>
      <c r="K79" s="2"/>
      <c r="L79" s="6">
        <f t="shared" si="46"/>
        <v>-2323.48</v>
      </c>
      <c r="M79" s="2"/>
      <c r="N79" s="7">
        <f t="shared" si="47"/>
        <v>-0.70345387167873663</v>
      </c>
      <c r="O79" s="11"/>
      <c r="P79" s="6">
        <v>6794.03</v>
      </c>
      <c r="Q79" s="2"/>
      <c r="R79" s="7">
        <f t="shared" si="48"/>
        <v>1.0068943801951478E-2</v>
      </c>
      <c r="S79" s="2"/>
      <c r="T79" s="6">
        <v>24931.15</v>
      </c>
      <c r="U79" s="2"/>
      <c r="V79" s="7">
        <f t="shared" si="49"/>
        <v>3.70046420560625E-3</v>
      </c>
      <c r="W79" s="2"/>
      <c r="X79" s="6">
        <f t="shared" si="50"/>
        <v>-18137.120000000003</v>
      </c>
      <c r="Y79" s="2"/>
      <c r="Z79" s="7">
        <f t="shared" si="51"/>
        <v>-0.7274883027858724</v>
      </c>
    </row>
    <row r="80" spans="1:26" s="24" customFormat="1" hidden="1" outlineLevel="2" x14ac:dyDescent="0.25">
      <c r="A80" s="25"/>
      <c r="B80" s="11" t="str">
        <f>CONCATENATE("          ", "6241", " - ", "OFFICE EXPENSE")</f>
        <v xml:space="preserve">          6241 - OFFICE EXPENSE</v>
      </c>
      <c r="C80" s="11"/>
      <c r="D80" s="6">
        <v>979.61</v>
      </c>
      <c r="E80" s="2"/>
      <c r="F80" s="7">
        <f t="shared" si="44"/>
        <v>2.5609948981926034E-2</v>
      </c>
      <c r="G80" s="2"/>
      <c r="H80" s="6">
        <v>-332.96</v>
      </c>
      <c r="I80" s="2"/>
      <c r="J80" s="7">
        <f t="shared" si="45"/>
        <v>-5.1304393716845073E-4</v>
      </c>
      <c r="K80" s="2"/>
      <c r="L80" s="6">
        <f t="shared" si="46"/>
        <v>1312.57</v>
      </c>
      <c r="M80" s="2"/>
      <c r="N80" s="7">
        <f t="shared" si="47"/>
        <v>-3.9421251802018262</v>
      </c>
      <c r="O80" s="11"/>
      <c r="P80" s="6">
        <v>4267.49</v>
      </c>
      <c r="Q80" s="2"/>
      <c r="R80" s="7">
        <f t="shared" si="48"/>
        <v>6.3245403663789992E-3</v>
      </c>
      <c r="S80" s="2"/>
      <c r="T80" s="6">
        <v>26373.190000000002</v>
      </c>
      <c r="U80" s="2"/>
      <c r="V80" s="7">
        <f t="shared" si="49"/>
        <v>3.9145023628132953E-3</v>
      </c>
      <c r="W80" s="2"/>
      <c r="X80" s="6">
        <f t="shared" si="50"/>
        <v>-22105.700000000004</v>
      </c>
      <c r="Y80" s="2"/>
      <c r="Z80" s="7">
        <f t="shared" si="51"/>
        <v>-0.83818832685769151</v>
      </c>
    </row>
    <row r="81" spans="1:26" s="24" customFormat="1" hidden="1" outlineLevel="2" x14ac:dyDescent="0.25">
      <c r="A81" s="25"/>
      <c r="B81" s="11" t="str">
        <f>CONCATENATE("          ", "6243", " - ", "PAPER SUPPLIES")</f>
        <v xml:space="preserve">          6243 - PAPER SUPPLIES</v>
      </c>
      <c r="C81" s="11"/>
      <c r="D81" s="6">
        <v>1706.59</v>
      </c>
      <c r="E81" s="2"/>
      <c r="F81" s="7">
        <f t="shared" si="44"/>
        <v>4.4615390648385732E-2</v>
      </c>
      <c r="G81" s="2"/>
      <c r="H81" s="6">
        <v>4310.8</v>
      </c>
      <c r="I81" s="2"/>
      <c r="J81" s="7">
        <f t="shared" si="45"/>
        <v>6.6423288213171483E-3</v>
      </c>
      <c r="K81" s="2"/>
      <c r="L81" s="6">
        <f t="shared" si="46"/>
        <v>-2604.21</v>
      </c>
      <c r="M81" s="2"/>
      <c r="N81" s="7">
        <f t="shared" si="47"/>
        <v>-0.60411292567504871</v>
      </c>
      <c r="O81" s="11"/>
      <c r="P81" s="6">
        <v>17052.75</v>
      </c>
      <c r="Q81" s="2"/>
      <c r="R81" s="7">
        <f t="shared" si="48"/>
        <v>2.5272655760826501E-2</v>
      </c>
      <c r="S81" s="2"/>
      <c r="T81" s="6">
        <v>42143.77</v>
      </c>
      <c r="U81" s="2"/>
      <c r="V81" s="7">
        <f t="shared" si="49"/>
        <v>6.2552875569038121E-3</v>
      </c>
      <c r="W81" s="2"/>
      <c r="X81" s="6">
        <f t="shared" si="50"/>
        <v>-25091.019999999997</v>
      </c>
      <c r="Y81" s="2"/>
      <c r="Z81" s="7">
        <f t="shared" si="51"/>
        <v>-0.59536723933335811</v>
      </c>
    </row>
    <row r="82" spans="1:26" s="24" customFormat="1" hidden="1" outlineLevel="2" x14ac:dyDescent="0.25">
      <c r="A82" s="25"/>
      <c r="B82" s="11" t="str">
        <f>CONCATENATE("          ", "6245", " - ", "PRINTING")</f>
        <v xml:space="preserve">          6245 - PRINTING</v>
      </c>
      <c r="C82" s="11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/>
      <c r="Q82" s="2"/>
      <c r="R82" s="7">
        <f t="shared" si="48"/>
        <v>0</v>
      </c>
      <c r="S82" s="2"/>
      <c r="T82" s="6">
        <v>1351.44</v>
      </c>
      <c r="U82" s="2"/>
      <c r="V82" s="7">
        <f t="shared" si="49"/>
        <v>2.0059064046482053E-4</v>
      </c>
      <c r="W82" s="2"/>
      <c r="X82" s="6">
        <f t="shared" si="50"/>
        <v>-1351.44</v>
      </c>
      <c r="Y82" s="2"/>
      <c r="Z82" s="7">
        <f t="shared" si="51"/>
        <v>-1</v>
      </c>
    </row>
    <row r="83" spans="1:26" s="24" customFormat="1" hidden="1" outlineLevel="2" x14ac:dyDescent="0.25">
      <c r="A83" s="25"/>
      <c r="B83" s="11" t="str">
        <f>CONCATENATE("          ", "6247", " - ", "STORE SUPPLIES")</f>
        <v xml:space="preserve">          6247 - STORE SUPPLIES</v>
      </c>
      <c r="C83" s="11"/>
      <c r="D83" s="6"/>
      <c r="E83" s="2"/>
      <c r="F83" s="7">
        <f t="shared" si="44"/>
        <v>0</v>
      </c>
      <c r="G83" s="2"/>
      <c r="H83" s="6"/>
      <c r="I83" s="2"/>
      <c r="J83" s="7">
        <f t="shared" si="45"/>
        <v>0</v>
      </c>
      <c r="K83" s="2"/>
      <c r="L83" s="6">
        <f t="shared" si="46"/>
        <v>0</v>
      </c>
      <c r="M83" s="2"/>
      <c r="N83" s="7">
        <f t="shared" si="47"/>
        <v>0</v>
      </c>
      <c r="O83" s="11"/>
      <c r="P83" s="6"/>
      <c r="Q83" s="2"/>
      <c r="R83" s="7">
        <f t="shared" si="48"/>
        <v>0</v>
      </c>
      <c r="S83" s="2"/>
      <c r="T83" s="6">
        <v>667.78</v>
      </c>
      <c r="U83" s="2"/>
      <c r="V83" s="7">
        <f t="shared" si="49"/>
        <v>9.9116807175751671E-5</v>
      </c>
      <c r="W83" s="2"/>
      <c r="X83" s="6">
        <f t="shared" si="50"/>
        <v>-667.78</v>
      </c>
      <c r="Y83" s="2"/>
      <c r="Z83" s="7">
        <f t="shared" si="51"/>
        <v>-1</v>
      </c>
    </row>
    <row r="84" spans="1:26" s="24" customFormat="1" hidden="1" outlineLevel="2" x14ac:dyDescent="0.25">
      <c r="A84" s="25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44"/>
        <v>0</v>
      </c>
      <c r="G84" s="2"/>
      <c r="H84" s="6">
        <v>2189.0100000000002</v>
      </c>
      <c r="I84" s="2"/>
      <c r="J84" s="7">
        <f t="shared" si="45"/>
        <v>3.3729526336530231E-3</v>
      </c>
      <c r="K84" s="2"/>
      <c r="L84" s="6">
        <f t="shared" si="46"/>
        <v>-2189.0100000000002</v>
      </c>
      <c r="M84" s="2"/>
      <c r="N84" s="7">
        <f t="shared" si="47"/>
        <v>-1</v>
      </c>
      <c r="O84" s="11"/>
      <c r="P84" s="6">
        <v>4500.59</v>
      </c>
      <c r="Q84" s="2"/>
      <c r="R84" s="7">
        <f t="shared" si="48"/>
        <v>6.6700011312320973E-3</v>
      </c>
      <c r="S84" s="2"/>
      <c r="T84" s="6">
        <v>-1696.34</v>
      </c>
      <c r="U84" s="2"/>
      <c r="V84" s="7">
        <f t="shared" si="49"/>
        <v>-2.5178322903428465E-4</v>
      </c>
      <c r="W84" s="2"/>
      <c r="X84" s="6">
        <f t="shared" si="50"/>
        <v>6196.93</v>
      </c>
      <c r="Y84" s="2"/>
      <c r="Z84" s="7">
        <f t="shared" si="51"/>
        <v>-3.653117889102421</v>
      </c>
    </row>
    <row r="85" spans="1:26" s="26" customFormat="1" outlineLevel="1" collapsed="1" x14ac:dyDescent="0.25">
      <c r="A85" s="27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SUM(OSRRefD22_16x_0)</f>
        <v>248</v>
      </c>
      <c r="E85" s="1"/>
      <c r="F85" s="5">
        <f t="shared" ref="F85:F90" si="52">IF(D$12=0,0,D85/D$12)</f>
        <v>6.4834652030069679E-3</v>
      </c>
      <c r="G85" s="1"/>
      <c r="H85" s="1">
        <f>SUM(OSRRefH22_16x_0)</f>
        <v>741.15</v>
      </c>
      <c r="I85" s="1"/>
      <c r="J85" s="5">
        <f t="shared" ref="J85:J90" si="53">IF(H$12=0,0,H85/H$12)</f>
        <v>1.1420065894774067E-3</v>
      </c>
      <c r="K85" s="1"/>
      <c r="L85" s="1">
        <f t="shared" ref="L85:L90" si="54">+D85-H85</f>
        <v>-493.15</v>
      </c>
      <c r="M85" s="1"/>
      <c r="N85" s="5">
        <f t="shared" ref="N85:N90" si="55">IF(H85=0,0,L85/H85)</f>
        <v>-0.66538487485664166</v>
      </c>
      <c r="O85" s="13"/>
      <c r="P85" s="1">
        <f>SUM(OSRRefP22_16x_0)</f>
        <v>4031.32</v>
      </c>
      <c r="Q85" s="1"/>
      <c r="R85" s="5">
        <f t="shared" ref="R85:R90" si="56">IF(P$12=0,0,P85/P$12)</f>
        <v>5.9745297750647313E-3</v>
      </c>
      <c r="S85" s="1"/>
      <c r="T85" s="1">
        <f>SUM(OSRRefT22_16x_0)</f>
        <v>4432.2</v>
      </c>
      <c r="U85" s="1"/>
      <c r="V85" s="5">
        <f t="shared" ref="V85:V90" si="57">IF(T$12=0,0,T85/T$12)</f>
        <v>6.5785964354183495E-4</v>
      </c>
      <c r="W85" s="1"/>
      <c r="X85" s="1">
        <f t="shared" ref="X85:X90" si="58">+P85-T85</f>
        <v>-400.87999999999965</v>
      </c>
      <c r="Y85" s="1"/>
      <c r="Z85" s="5">
        <f t="shared" ref="Z85:Z90" si="59">IF(T85=0,0,X85/T85)</f>
        <v>-9.0447181986372388E-2</v>
      </c>
    </row>
    <row r="86" spans="1:26" s="24" customFormat="1" hidden="1" outlineLevel="2" x14ac:dyDescent="0.25">
      <c r="A86" s="25"/>
      <c r="B86" s="11" t="str">
        <f>CONCATENATE("          ", "6309", " - ", "TELEPHONE")</f>
        <v xml:space="preserve">          6309 - TELEPHONE</v>
      </c>
      <c r="C86" s="11"/>
      <c r="D86" s="6">
        <v>248</v>
      </c>
      <c r="E86" s="2"/>
      <c r="F86" s="7">
        <f t="shared" si="52"/>
        <v>6.4834652030069679E-3</v>
      </c>
      <c r="G86" s="2"/>
      <c r="H86" s="6">
        <v>741.15</v>
      </c>
      <c r="I86" s="2"/>
      <c r="J86" s="7">
        <f t="shared" si="53"/>
        <v>1.1420065894774067E-3</v>
      </c>
      <c r="K86" s="2"/>
      <c r="L86" s="6">
        <f t="shared" si="54"/>
        <v>-493.15</v>
      </c>
      <c r="M86" s="2"/>
      <c r="N86" s="7">
        <f t="shared" si="55"/>
        <v>-0.66538487485664166</v>
      </c>
      <c r="O86" s="11"/>
      <c r="P86" s="6">
        <v>4031.32</v>
      </c>
      <c r="Q86" s="2"/>
      <c r="R86" s="7">
        <f t="shared" si="56"/>
        <v>5.9745297750647313E-3</v>
      </c>
      <c r="S86" s="2"/>
      <c r="T86" s="6">
        <v>4432.2</v>
      </c>
      <c r="U86" s="2"/>
      <c r="V86" s="7">
        <f t="shared" si="57"/>
        <v>6.5785964354183495E-4</v>
      </c>
      <c r="W86" s="2"/>
      <c r="X86" s="6">
        <f t="shared" si="58"/>
        <v>-400.87999999999965</v>
      </c>
      <c r="Y86" s="2"/>
      <c r="Z86" s="7">
        <f t="shared" si="59"/>
        <v>-9.0447181986372388E-2</v>
      </c>
    </row>
    <row r="87" spans="1:26" s="26" customFormat="1" outlineLevel="1" collapsed="1" x14ac:dyDescent="0.25">
      <c r="A87" s="27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SUM(OSRRefD22_17x_0)</f>
        <v>0</v>
      </c>
      <c r="E87" s="1"/>
      <c r="F87" s="5">
        <f t="shared" si="52"/>
        <v>0</v>
      </c>
      <c r="G87" s="1"/>
      <c r="H87" s="1">
        <f>SUM(OSRRefH22_17x_0)</f>
        <v>273.32</v>
      </c>
      <c r="I87" s="1"/>
      <c r="J87" s="5">
        <f t="shared" si="53"/>
        <v>4.2114719157520711E-4</v>
      </c>
      <c r="K87" s="1"/>
      <c r="L87" s="1">
        <f t="shared" si="54"/>
        <v>-273.32</v>
      </c>
      <c r="M87" s="1"/>
      <c r="N87" s="5">
        <f t="shared" si="55"/>
        <v>-1</v>
      </c>
      <c r="O87" s="13"/>
      <c r="P87" s="1">
        <f>SUM(OSRRefP22_17x_0)</f>
        <v>735</v>
      </c>
      <c r="Q87" s="1"/>
      <c r="R87" s="5">
        <f t="shared" si="56"/>
        <v>1.0892906999872441E-3</v>
      </c>
      <c r="S87" s="1"/>
      <c r="T87" s="1">
        <f>SUM(OSRRefT22_17x_0)</f>
        <v>6034.69</v>
      </c>
      <c r="U87" s="1"/>
      <c r="V87" s="5">
        <f t="shared" si="57"/>
        <v>8.9571296698828481E-4</v>
      </c>
      <c r="W87" s="1"/>
      <c r="X87" s="1">
        <f t="shared" si="58"/>
        <v>-5299.69</v>
      </c>
      <c r="Y87" s="1"/>
      <c r="Z87" s="5">
        <f t="shared" si="59"/>
        <v>-0.87820418281635015</v>
      </c>
    </row>
    <row r="88" spans="1:26" s="24" customFormat="1" hidden="1" outlineLevel="2" x14ac:dyDescent="0.25">
      <c r="A88" s="25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52"/>
        <v>0</v>
      </c>
      <c r="G88" s="2"/>
      <c r="H88" s="6">
        <v>273.32</v>
      </c>
      <c r="I88" s="2"/>
      <c r="J88" s="7">
        <f t="shared" si="53"/>
        <v>4.2114719157520711E-4</v>
      </c>
      <c r="K88" s="2"/>
      <c r="L88" s="6">
        <f t="shared" si="54"/>
        <v>-273.32</v>
      </c>
      <c r="M88" s="2"/>
      <c r="N88" s="7">
        <f t="shared" si="55"/>
        <v>-1</v>
      </c>
      <c r="O88" s="11"/>
      <c r="P88" s="6">
        <v>735</v>
      </c>
      <c r="Q88" s="2"/>
      <c r="R88" s="7">
        <f t="shared" si="56"/>
        <v>1.0892906999872441E-3</v>
      </c>
      <c r="S88" s="2"/>
      <c r="T88" s="6">
        <v>6034.69</v>
      </c>
      <c r="U88" s="2"/>
      <c r="V88" s="7">
        <f t="shared" si="57"/>
        <v>8.9571296698828481E-4</v>
      </c>
      <c r="W88" s="2"/>
      <c r="X88" s="6">
        <f t="shared" si="58"/>
        <v>-5299.69</v>
      </c>
      <c r="Y88" s="2"/>
      <c r="Z88" s="7">
        <f t="shared" si="59"/>
        <v>-0.87820418281635015</v>
      </c>
    </row>
    <row r="89" spans="1:26" s="26" customFormat="1" outlineLevel="1" collapsed="1" x14ac:dyDescent="0.25">
      <c r="A89" s="27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SUM(OSRRefD22_18x_0)</f>
        <v>0</v>
      </c>
      <c r="E89" s="1"/>
      <c r="F89" s="5">
        <f t="shared" si="52"/>
        <v>0</v>
      </c>
      <c r="G89" s="1"/>
      <c r="H89" s="1">
        <f>SUM(OSRRefH22_18x_0)</f>
        <v>154.97999999999999</v>
      </c>
      <c r="I89" s="1"/>
      <c r="J89" s="5">
        <f t="shared" si="53"/>
        <v>2.3880210650638664E-4</v>
      </c>
      <c r="K89" s="1"/>
      <c r="L89" s="1">
        <f t="shared" si="54"/>
        <v>-154.97999999999999</v>
      </c>
      <c r="M89" s="1"/>
      <c r="N89" s="5">
        <f t="shared" si="55"/>
        <v>-1</v>
      </c>
      <c r="O89" s="13"/>
      <c r="P89" s="1">
        <f>SUM(OSRRefP22_18x_0)</f>
        <v>0</v>
      </c>
      <c r="Q89" s="1"/>
      <c r="R89" s="5">
        <f t="shared" si="56"/>
        <v>0</v>
      </c>
      <c r="S89" s="1"/>
      <c r="T89" s="1">
        <f>SUM(OSRRefT22_18x_0)</f>
        <v>1894.26</v>
      </c>
      <c r="U89" s="1"/>
      <c r="V89" s="5">
        <f t="shared" si="57"/>
        <v>2.8115996759522504E-4</v>
      </c>
      <c r="W89" s="1"/>
      <c r="X89" s="1">
        <f t="shared" si="58"/>
        <v>-1894.26</v>
      </c>
      <c r="Y89" s="1"/>
      <c r="Z89" s="5">
        <f t="shared" si="59"/>
        <v>-1</v>
      </c>
    </row>
    <row r="90" spans="1:26" s="24" customFormat="1" hidden="1" outlineLevel="2" x14ac:dyDescent="0.25">
      <c r="A90" s="25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52"/>
        <v>0</v>
      </c>
      <c r="G90" s="2"/>
      <c r="H90" s="6">
        <v>154.97999999999999</v>
      </c>
      <c r="I90" s="2"/>
      <c r="J90" s="7">
        <f t="shared" si="53"/>
        <v>2.3880210650638664E-4</v>
      </c>
      <c r="K90" s="2"/>
      <c r="L90" s="6">
        <f t="shared" si="54"/>
        <v>-154.97999999999999</v>
      </c>
      <c r="M90" s="2"/>
      <c r="N90" s="7">
        <f t="shared" si="55"/>
        <v>-1</v>
      </c>
      <c r="O90" s="11"/>
      <c r="P90" s="6"/>
      <c r="Q90" s="2"/>
      <c r="R90" s="7">
        <f t="shared" si="56"/>
        <v>0</v>
      </c>
      <c r="S90" s="2"/>
      <c r="T90" s="6">
        <v>1894.26</v>
      </c>
      <c r="U90" s="2"/>
      <c r="V90" s="7">
        <f t="shared" si="57"/>
        <v>2.8115996759522504E-4</v>
      </c>
      <c r="W90" s="2"/>
      <c r="X90" s="6">
        <f t="shared" si="58"/>
        <v>-1894.26</v>
      </c>
      <c r="Y90" s="2"/>
      <c r="Z90" s="7">
        <f t="shared" si="59"/>
        <v>-1</v>
      </c>
    </row>
    <row r="91" spans="1:26" s="61" customFormat="1" x14ac:dyDescent="0.25">
      <c r="A91" s="37"/>
      <c r="B91" s="37"/>
      <c r="C91" s="37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7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x14ac:dyDescent="0.25">
      <c r="A92" s="10"/>
      <c r="B92" s="29" t="s">
        <v>0</v>
      </c>
      <c r="C92" s="10"/>
      <c r="D92" s="4">
        <f>SUM(0)</f>
        <v>0</v>
      </c>
      <c r="E92" s="4"/>
      <c r="F92" s="12">
        <f>IF(D$12=0,0,D92/D$12)</f>
        <v>0</v>
      </c>
      <c r="G92" s="4"/>
      <c r="H92" s="4">
        <f>SUM(0)</f>
        <v>0</v>
      </c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>
        <f>SUM(0)</f>
        <v>0</v>
      </c>
      <c r="Q92" s="4"/>
      <c r="R92" s="12">
        <f>IF(P$12=0,0,P92/P$12)</f>
        <v>0</v>
      </c>
      <c r="S92" s="4"/>
      <c r="T92" s="4">
        <f>SUM(0)</f>
        <v>0</v>
      </c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10"/>
      <c r="B94" s="28" t="s">
        <v>3</v>
      </c>
      <c r="C94" s="28"/>
      <c r="D94" s="20">
        <f>+D23-D25+D92</f>
        <v>-175709.97999999998</v>
      </c>
      <c r="E94" s="14"/>
      <c r="F94" s="22">
        <f>IF(D$12=0,0,D94/D$12)</f>
        <v>-4.5935868594800411</v>
      </c>
      <c r="G94" s="14"/>
      <c r="H94" s="20">
        <f>+H23-H25+H92</f>
        <v>87778.689999999886</v>
      </c>
      <c r="I94" s="14"/>
      <c r="J94" s="22">
        <f>IF(H$12=0,0,H94/H$12)</f>
        <v>0.13525445914550954</v>
      </c>
      <c r="K94" s="15"/>
      <c r="L94" s="20">
        <f>+D94-H94</f>
        <v>-263488.66999999987</v>
      </c>
      <c r="M94" s="15"/>
      <c r="N94" s="22">
        <f>IF(H94=0,0,L94/H94)</f>
        <v>-3.0017384629458497</v>
      </c>
      <c r="O94" s="29"/>
      <c r="P94" s="20">
        <f>+P23-P25+P92</f>
        <v>-1193542.4300000002</v>
      </c>
      <c r="Q94" s="14"/>
      <c r="R94" s="22">
        <f>IF(P$12=0,0,P94/P$12)</f>
        <v>-1.7688634952913966</v>
      </c>
      <c r="S94" s="14"/>
      <c r="T94" s="20">
        <f>+T23-T25+T92</f>
        <v>1767531.4100000001</v>
      </c>
      <c r="U94" s="14"/>
      <c r="V94" s="22">
        <f>IF(T$12=0,0,T94/T$12)</f>
        <v>0.26234998044573737</v>
      </c>
      <c r="W94" s="15"/>
      <c r="X94" s="20">
        <f>+P94-T94</f>
        <v>-2961073.8400000003</v>
      </c>
      <c r="Y94" s="15"/>
      <c r="Z94" s="22">
        <f>IF(T94=0,0,X94/T94)</f>
        <v>-1.6752595304657132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51"/>
      <c r="B96" s="10" t="s">
        <v>13</v>
      </c>
      <c r="C96" s="10"/>
      <c r="D96" s="4">
        <v>4719.22</v>
      </c>
      <c r="E96" s="4"/>
      <c r="F96" s="12">
        <f>IF(D$12=0,0,D96/D$12)</f>
        <v>0.12337459135215542</v>
      </c>
      <c r="G96" s="4"/>
      <c r="H96" s="4">
        <v>45020.5</v>
      </c>
      <c r="I96" s="4"/>
      <c r="J96" s="12">
        <f>IF(H$12=0,0,H96/H$12)</f>
        <v>6.9370178319594661E-2</v>
      </c>
      <c r="K96" s="4"/>
      <c r="L96" s="4">
        <f>+D96-H96</f>
        <v>-40301.279999999999</v>
      </c>
      <c r="M96" s="4"/>
      <c r="N96" s="12">
        <f>IF(H96=0,0,L96/H96)</f>
        <v>-0.8951761975100232</v>
      </c>
      <c r="O96" s="10"/>
      <c r="P96" s="4">
        <v>122485.15999999999</v>
      </c>
      <c r="Q96" s="4"/>
      <c r="R96" s="12">
        <f>IF(P$12=0,0,P96/P$12)</f>
        <v>0.18152645669993142</v>
      </c>
      <c r="S96" s="4"/>
      <c r="T96" s="4">
        <v>702605.32</v>
      </c>
      <c r="U96" s="4"/>
      <c r="V96" s="12">
        <f>IF(T$12=0,0,T96/T$12)</f>
        <v>0.10428583668737802</v>
      </c>
      <c r="W96" s="4"/>
      <c r="X96" s="4">
        <f>+P96-T96</f>
        <v>-580120.15999999992</v>
      </c>
      <c r="Y96" s="4"/>
      <c r="Z96" s="12">
        <f>IF(T96=0,0,X96/T96)</f>
        <v>-0.82567003620183232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4</v>
      </c>
      <c r="C98" s="28"/>
      <c r="D98" s="30">
        <f>+D94-D96</f>
        <v>-180429.19999999998</v>
      </c>
      <c r="E98" s="14"/>
      <c r="F98" s="36">
        <f>IF(D$12=0,0,D98/D$12)</f>
        <v>-4.7169614508321969</v>
      </c>
      <c r="G98" s="14"/>
      <c r="H98" s="30">
        <f>+H94-H96</f>
        <v>42758.189999999886</v>
      </c>
      <c r="I98" s="14"/>
      <c r="J98" s="36">
        <f>IF(H$12=0,0,H98/H$12)</f>
        <v>6.5884280825914895E-2</v>
      </c>
      <c r="K98" s="15"/>
      <c r="L98" s="30">
        <f>D98-H98</f>
        <v>-223187.38999999987</v>
      </c>
      <c r="M98" s="15"/>
      <c r="N98" s="36">
        <f>IF(H98=0,0,L98/H98)</f>
        <v>-5.2197576651397188</v>
      </c>
      <c r="O98" s="29"/>
      <c r="P98" s="30">
        <f>+P94-P96</f>
        <v>-1316027.5900000001</v>
      </c>
      <c r="Q98" s="14"/>
      <c r="R98" s="36">
        <f>IF(P$12=0,0,P98/P$12)</f>
        <v>-1.9503899519913279</v>
      </c>
      <c r="S98" s="14"/>
      <c r="T98" s="30">
        <f>+T94-T96</f>
        <v>1064926.0900000003</v>
      </c>
      <c r="U98" s="14"/>
      <c r="V98" s="36">
        <f>IF(T$12=0,0,T98/T$12)</f>
        <v>0.15806414375835934</v>
      </c>
      <c r="W98" s="15"/>
      <c r="X98" s="30">
        <f>P98-T98</f>
        <v>-2380953.6800000006</v>
      </c>
      <c r="Y98" s="15"/>
      <c r="Z98" s="36">
        <f>IF(T98=0,0,X98/T98)</f>
        <v>-2.2357924201105823</v>
      </c>
    </row>
    <row r="99" spans="1:26" ht="15.75" thickTop="1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8" t="s">
        <v>5</v>
      </c>
      <c r="C101" s="28"/>
      <c r="D101" s="32">
        <f>SUM(D98:D100)</f>
        <v>-180429.19999999998</v>
      </c>
      <c r="E101" s="14"/>
      <c r="F101" s="31">
        <f>IF(D$12=0,0,D101/D$12)</f>
        <v>-4.7169614508321969</v>
      </c>
      <c r="G101" s="14"/>
      <c r="H101" s="32">
        <f>SUM(H98:H100)</f>
        <v>42758.189999999886</v>
      </c>
      <c r="I101" s="14"/>
      <c r="J101" s="31">
        <f>IF(H$12=0,0,H101/H$12)</f>
        <v>6.5884280825914895E-2</v>
      </c>
      <c r="K101" s="15"/>
      <c r="L101" s="32">
        <f>+D101-H101</f>
        <v>-223187.38999999987</v>
      </c>
      <c r="M101" s="15"/>
      <c r="N101" s="31">
        <f>IF(H101=0,0,L101/H101)</f>
        <v>-5.2197576651397188</v>
      </c>
      <c r="O101" s="29"/>
      <c r="P101" s="32">
        <f>SUM(P98:P100)</f>
        <v>-1316027.5900000001</v>
      </c>
      <c r="Q101" s="14"/>
      <c r="R101" s="31">
        <f>IF(P$12=0,0,P101/P$12)</f>
        <v>-1.9503899519913279</v>
      </c>
      <c r="S101" s="14"/>
      <c r="T101" s="32">
        <f>SUM(T98:T100)</f>
        <v>1064926.0900000003</v>
      </c>
      <c r="U101" s="14"/>
      <c r="V101" s="31">
        <f>IF(T$12=0,0,T101/T$12)</f>
        <v>0.15806414375835934</v>
      </c>
      <c r="W101" s="15"/>
      <c r="X101" s="32">
        <f>+P101-T101</f>
        <v>-2380953.6800000006</v>
      </c>
      <c r="Y101" s="15"/>
      <c r="Z101" s="31">
        <f>IF(T101=0,0,X101/T101)</f>
        <v>-2.2357924201105823</v>
      </c>
    </row>
    <row r="102" spans="1:26" ht="15.75" thickTop="1" x14ac:dyDescent="0.25">
      <c r="A102" s="9"/>
      <c r="C102" s="9"/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62">
        <v>44238.495974652775</v>
      </c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A104" s="9"/>
      <c r="B104" s="59" t="s">
        <v>313</v>
      </c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A105" s="9"/>
      <c r="B105" s="56"/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","430", " - ", "Res Hall Management")</f>
        <v>Department 430 - Res Hall Management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20118.95</v>
      </c>
      <c r="E18" s="21"/>
      <c r="F18" s="35">
        <f t="shared" ref="F18:F27" si="0">IF(D$12=0,0,D18/D$12)</f>
        <v>0</v>
      </c>
      <c r="G18" s="21"/>
      <c r="H18" s="21">
        <f>SUM(OSRRefH22x_0)</f>
        <v>15835.96</v>
      </c>
      <c r="I18" s="21"/>
      <c r="J18" s="35">
        <f t="shared" ref="J18:J27" si="1">IF(H$12=0,0,H18/H$12)</f>
        <v>0</v>
      </c>
      <c r="K18" s="4"/>
      <c r="L18" s="21">
        <f t="shared" ref="L18:L27" si="2">+D18-H18</f>
        <v>4282.9900000000016</v>
      </c>
      <c r="M18" s="4"/>
      <c r="N18" s="35">
        <f t="shared" ref="N18:N27" si="3">IF(H18=0,0,L18/H18)</f>
        <v>0.27045976372761749</v>
      </c>
      <c r="O18" s="10"/>
      <c r="P18" s="21">
        <f>SUM(OSRRefP22x_0)</f>
        <v>117947.51999999997</v>
      </c>
      <c r="Q18" s="21"/>
      <c r="R18" s="35">
        <f t="shared" ref="R18:R27" si="4">IF(P$12=0,0,P18/P$12)</f>
        <v>0</v>
      </c>
      <c r="S18" s="21"/>
      <c r="T18" s="21">
        <f>SUM(OSRRefT22x_0)</f>
        <v>108367.76</v>
      </c>
      <c r="U18" s="21"/>
      <c r="V18" s="35">
        <f t="shared" ref="V18:V27" si="5">IF(T$12=0,0,T18/T$12)</f>
        <v>0</v>
      </c>
      <c r="W18" s="4"/>
      <c r="X18" s="21">
        <f t="shared" ref="X18:X27" si="6">+P18-T18</f>
        <v>9579.7599999999802</v>
      </c>
      <c r="Y18" s="4"/>
      <c r="Z18" s="35">
        <f t="shared" ref="Z18:Z27" si="7">IF(T18=0,0,X18/T18)</f>
        <v>8.8400461539483527E-2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5792.39</v>
      </c>
      <c r="E19" s="1"/>
      <c r="F19" s="5">
        <f t="shared" si="0"/>
        <v>0</v>
      </c>
      <c r="G19" s="1"/>
      <c r="H19" s="1">
        <f>SUM(OSRRefH22_0x_0)</f>
        <v>5846.9699999999993</v>
      </c>
      <c r="I19" s="1"/>
      <c r="J19" s="5">
        <f t="shared" si="1"/>
        <v>0</v>
      </c>
      <c r="K19" s="1"/>
      <c r="L19" s="1">
        <f t="shared" si="2"/>
        <v>-54.579999999999018</v>
      </c>
      <c r="M19" s="1"/>
      <c r="N19" s="5">
        <f t="shared" si="3"/>
        <v>-9.334749451425102E-3</v>
      </c>
      <c r="O19" s="13"/>
      <c r="P19" s="1">
        <f>SUM(OSRRefP22_0x_0)</f>
        <v>41470.849999999991</v>
      </c>
      <c r="Q19" s="1"/>
      <c r="R19" s="5">
        <f t="shared" si="4"/>
        <v>0</v>
      </c>
      <c r="S19" s="1"/>
      <c r="T19" s="1">
        <f>SUM(OSRRefT22_0x_0)</f>
        <v>41257.519999999997</v>
      </c>
      <c r="U19" s="1"/>
      <c r="V19" s="5">
        <f t="shared" si="5"/>
        <v>0</v>
      </c>
      <c r="W19" s="1"/>
      <c r="X19" s="1">
        <f t="shared" si="6"/>
        <v>213.32999999999447</v>
      </c>
      <c r="Y19" s="1"/>
      <c r="Z19" s="5">
        <f t="shared" si="7"/>
        <v>5.1706937305003907E-3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691.15</v>
      </c>
      <c r="E20" s="2"/>
      <c r="F20" s="7">
        <f t="shared" si="0"/>
        <v>0</v>
      </c>
      <c r="G20" s="2"/>
      <c r="H20" s="6">
        <v>623.1</v>
      </c>
      <c r="I20" s="2"/>
      <c r="J20" s="7">
        <f t="shared" si="1"/>
        <v>0</v>
      </c>
      <c r="K20" s="2"/>
      <c r="L20" s="6">
        <f t="shared" si="2"/>
        <v>68.049999999999955</v>
      </c>
      <c r="M20" s="2"/>
      <c r="N20" s="7">
        <f t="shared" si="3"/>
        <v>0.10921200449366066</v>
      </c>
      <c r="O20" s="11"/>
      <c r="P20" s="6">
        <v>5363.65</v>
      </c>
      <c r="Q20" s="2"/>
      <c r="R20" s="7">
        <f t="shared" si="4"/>
        <v>0</v>
      </c>
      <c r="S20" s="2"/>
      <c r="T20" s="6">
        <v>5538.64</v>
      </c>
      <c r="U20" s="2"/>
      <c r="V20" s="7">
        <f t="shared" si="5"/>
        <v>0</v>
      </c>
      <c r="W20" s="2"/>
      <c r="X20" s="6">
        <f t="shared" si="6"/>
        <v>-174.99000000000069</v>
      </c>
      <c r="Y20" s="2"/>
      <c r="Z20" s="7">
        <f t="shared" si="7"/>
        <v>-3.1594398624933316E-2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82.97</v>
      </c>
      <c r="E21" s="2"/>
      <c r="F21" s="7">
        <f t="shared" si="0"/>
        <v>0</v>
      </c>
      <c r="G21" s="2"/>
      <c r="H21" s="6">
        <v>316.02999999999997</v>
      </c>
      <c r="I21" s="2"/>
      <c r="J21" s="7">
        <f t="shared" si="1"/>
        <v>0</v>
      </c>
      <c r="K21" s="2"/>
      <c r="L21" s="6">
        <f t="shared" si="2"/>
        <v>-233.05999999999997</v>
      </c>
      <c r="M21" s="2"/>
      <c r="N21" s="7">
        <f t="shared" si="3"/>
        <v>-0.7374616333892352</v>
      </c>
      <c r="O21" s="11"/>
      <c r="P21" s="6">
        <v>2998.35</v>
      </c>
      <c r="Q21" s="2"/>
      <c r="R21" s="7">
        <f t="shared" si="4"/>
        <v>0</v>
      </c>
      <c r="S21" s="2"/>
      <c r="T21" s="6">
        <v>2218.7800000000002</v>
      </c>
      <c r="U21" s="2"/>
      <c r="V21" s="7">
        <f t="shared" si="5"/>
        <v>0</v>
      </c>
      <c r="W21" s="2"/>
      <c r="X21" s="6">
        <f t="shared" si="6"/>
        <v>779.56999999999971</v>
      </c>
      <c r="Y21" s="2"/>
      <c r="Z21" s="7">
        <f t="shared" si="7"/>
        <v>0.35135074229982227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2691.73</v>
      </c>
      <c r="E22" s="2"/>
      <c r="F22" s="7">
        <f t="shared" si="0"/>
        <v>0</v>
      </c>
      <c r="G22" s="2"/>
      <c r="H22" s="6">
        <v>2737.9</v>
      </c>
      <c r="I22" s="2"/>
      <c r="J22" s="7">
        <f t="shared" si="1"/>
        <v>0</v>
      </c>
      <c r="K22" s="2"/>
      <c r="L22" s="6">
        <f t="shared" si="2"/>
        <v>-46.170000000000073</v>
      </c>
      <c r="M22" s="2"/>
      <c r="N22" s="7">
        <f t="shared" si="3"/>
        <v>-1.686328938237338E-2</v>
      </c>
      <c r="O22" s="11"/>
      <c r="P22" s="6">
        <v>19119.129999999997</v>
      </c>
      <c r="Q22" s="2"/>
      <c r="R22" s="7">
        <f t="shared" si="4"/>
        <v>0</v>
      </c>
      <c r="S22" s="2"/>
      <c r="T22" s="6">
        <v>19121.5</v>
      </c>
      <c r="U22" s="2"/>
      <c r="V22" s="7">
        <f t="shared" si="5"/>
        <v>0</v>
      </c>
      <c r="W22" s="2"/>
      <c r="X22" s="6">
        <f t="shared" si="6"/>
        <v>-2.3700000000026193</v>
      </c>
      <c r="Y22" s="2"/>
      <c r="Z22" s="7">
        <f t="shared" si="7"/>
        <v>-1.2394425123565721E-4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46.78</v>
      </c>
      <c r="E23" s="2"/>
      <c r="F23" s="7">
        <f t="shared" si="0"/>
        <v>0</v>
      </c>
      <c r="G23" s="2"/>
      <c r="H23" s="6">
        <v>21.18</v>
      </c>
      <c r="I23" s="2"/>
      <c r="J23" s="7">
        <f t="shared" si="1"/>
        <v>0</v>
      </c>
      <c r="K23" s="2"/>
      <c r="L23" s="6">
        <f t="shared" si="2"/>
        <v>25.6</v>
      </c>
      <c r="M23" s="2"/>
      <c r="N23" s="7">
        <f t="shared" si="3"/>
        <v>1.2086874409820587</v>
      </c>
      <c r="O23" s="11"/>
      <c r="P23" s="6">
        <v>181.7</v>
      </c>
      <c r="Q23" s="2"/>
      <c r="R23" s="7">
        <f t="shared" si="4"/>
        <v>0</v>
      </c>
      <c r="S23" s="2"/>
      <c r="T23" s="6">
        <v>187.75</v>
      </c>
      <c r="U23" s="2"/>
      <c r="V23" s="7">
        <f t="shared" si="5"/>
        <v>0</v>
      </c>
      <c r="W23" s="2"/>
      <c r="X23" s="6">
        <f t="shared" si="6"/>
        <v>-6.0500000000000114</v>
      </c>
      <c r="Y23" s="2"/>
      <c r="Z23" s="7">
        <f t="shared" si="7"/>
        <v>-3.2223701731025359E-2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1038.8599999999999</v>
      </c>
      <c r="E24" s="2"/>
      <c r="F24" s="7">
        <f t="shared" si="0"/>
        <v>0</v>
      </c>
      <c r="G24" s="2"/>
      <c r="H24" s="6">
        <v>853.4</v>
      </c>
      <c r="I24" s="2"/>
      <c r="J24" s="7">
        <f t="shared" si="1"/>
        <v>0</v>
      </c>
      <c r="K24" s="2"/>
      <c r="L24" s="6">
        <f t="shared" si="2"/>
        <v>185.45999999999992</v>
      </c>
      <c r="M24" s="2"/>
      <c r="N24" s="7">
        <f t="shared" si="3"/>
        <v>0.2173189594562924</v>
      </c>
      <c r="O24" s="11"/>
      <c r="P24" s="6">
        <v>5540.57</v>
      </c>
      <c r="Q24" s="2"/>
      <c r="R24" s="7">
        <f t="shared" si="4"/>
        <v>0</v>
      </c>
      <c r="S24" s="2"/>
      <c r="T24" s="6">
        <v>4266.9799999999996</v>
      </c>
      <c r="U24" s="2"/>
      <c r="V24" s="7">
        <f t="shared" si="5"/>
        <v>0</v>
      </c>
      <c r="W24" s="2"/>
      <c r="X24" s="6">
        <f t="shared" si="6"/>
        <v>1273.5900000000001</v>
      </c>
      <c r="Y24" s="2"/>
      <c r="Z24" s="7">
        <f t="shared" si="7"/>
        <v>0.29847573693806867</v>
      </c>
    </row>
    <row r="25" spans="1:26" s="24" customFormat="1" hidden="1" outlineLevel="2" x14ac:dyDescent="0.25">
      <c r="A25" s="25"/>
      <c r="B25" s="11" t="str">
        <f>CONCATENATE("          ", "6118", " - ", "VACATION")</f>
        <v xml:space="preserve">          6118 - VACATION</v>
      </c>
      <c r="C25" s="11"/>
      <c r="D25" s="6">
        <v>827.64</v>
      </c>
      <c r="E25" s="2"/>
      <c r="F25" s="7">
        <f t="shared" si="0"/>
        <v>0</v>
      </c>
      <c r="G25" s="2"/>
      <c r="H25" s="6">
        <v>752.4</v>
      </c>
      <c r="I25" s="2"/>
      <c r="J25" s="7">
        <f t="shared" si="1"/>
        <v>0</v>
      </c>
      <c r="K25" s="2"/>
      <c r="L25" s="6">
        <f t="shared" si="2"/>
        <v>75.240000000000009</v>
      </c>
      <c r="M25" s="2"/>
      <c r="N25" s="7">
        <f t="shared" si="3"/>
        <v>0.10000000000000002</v>
      </c>
      <c r="O25" s="11"/>
      <c r="P25" s="6">
        <v>5000</v>
      </c>
      <c r="Q25" s="2"/>
      <c r="R25" s="7">
        <f t="shared" si="4"/>
        <v>0</v>
      </c>
      <c r="S25" s="2"/>
      <c r="T25" s="6">
        <v>5983.45</v>
      </c>
      <c r="U25" s="2"/>
      <c r="V25" s="7">
        <f t="shared" si="5"/>
        <v>0</v>
      </c>
      <c r="W25" s="2"/>
      <c r="X25" s="6">
        <f t="shared" si="6"/>
        <v>-983.44999999999982</v>
      </c>
      <c r="Y25" s="2"/>
      <c r="Z25" s="7">
        <f t="shared" si="7"/>
        <v>-0.16436169768277495</v>
      </c>
    </row>
    <row r="26" spans="1:26" s="24" customFormat="1" hidden="1" outlineLevel="2" x14ac:dyDescent="0.25">
      <c r="A26" s="25"/>
      <c r="B26" s="11" t="str">
        <f>CONCATENATE("          ", "6119", " - ", "SICK LEAVE")</f>
        <v xml:space="preserve">          6119 - SICK LEAVE</v>
      </c>
      <c r="C26" s="11"/>
      <c r="D26" s="6">
        <v>413.26</v>
      </c>
      <c r="E26" s="2"/>
      <c r="F26" s="7">
        <f t="shared" si="0"/>
        <v>0</v>
      </c>
      <c r="G26" s="2"/>
      <c r="H26" s="6">
        <v>375.68</v>
      </c>
      <c r="I26" s="2"/>
      <c r="J26" s="7">
        <f t="shared" si="1"/>
        <v>0</v>
      </c>
      <c r="K26" s="2"/>
      <c r="L26" s="6">
        <f t="shared" si="2"/>
        <v>37.579999999999984</v>
      </c>
      <c r="M26" s="2"/>
      <c r="N26" s="7">
        <f t="shared" si="3"/>
        <v>0.10003194207836452</v>
      </c>
      <c r="O26" s="11"/>
      <c r="P26" s="6">
        <v>3099.45</v>
      </c>
      <c r="Q26" s="2"/>
      <c r="R26" s="7">
        <f t="shared" si="4"/>
        <v>0</v>
      </c>
      <c r="S26" s="2"/>
      <c r="T26" s="6">
        <v>3048.1</v>
      </c>
      <c r="U26" s="2"/>
      <c r="V26" s="7">
        <f t="shared" si="5"/>
        <v>0</v>
      </c>
      <c r="W26" s="2"/>
      <c r="X26" s="6">
        <f t="shared" si="6"/>
        <v>51.349999999999909</v>
      </c>
      <c r="Y26" s="2"/>
      <c r="Z26" s="7">
        <f t="shared" si="7"/>
        <v>1.6846560152225947E-2</v>
      </c>
    </row>
    <row r="27" spans="1:26" s="24" customFormat="1" hidden="1" outlineLevel="2" x14ac:dyDescent="0.25">
      <c r="A27" s="25"/>
      <c r="B27" s="11" t="str">
        <f>CONCATENATE("          ", "6156", " - ", "EMPLOYEE MEALS")</f>
        <v xml:space="preserve">          6156 - EMPLOYEE MEALS</v>
      </c>
      <c r="C27" s="11"/>
      <c r="D27" s="6"/>
      <c r="E27" s="2"/>
      <c r="F27" s="7">
        <f t="shared" si="0"/>
        <v>0</v>
      </c>
      <c r="G27" s="2"/>
      <c r="H27" s="6">
        <v>167.28</v>
      </c>
      <c r="I27" s="2"/>
      <c r="J27" s="7">
        <f t="shared" si="1"/>
        <v>0</v>
      </c>
      <c r="K27" s="2"/>
      <c r="L27" s="6">
        <f t="shared" si="2"/>
        <v>-167.28</v>
      </c>
      <c r="M27" s="2"/>
      <c r="N27" s="7">
        <f t="shared" si="3"/>
        <v>-1</v>
      </c>
      <c r="O27" s="11"/>
      <c r="P27" s="6">
        <v>168</v>
      </c>
      <c r="Q27" s="2"/>
      <c r="R27" s="7">
        <f t="shared" si="4"/>
        <v>0</v>
      </c>
      <c r="S27" s="2"/>
      <c r="T27" s="6">
        <v>892.32</v>
      </c>
      <c r="U27" s="2"/>
      <c r="V27" s="7">
        <f t="shared" si="5"/>
        <v>0</v>
      </c>
      <c r="W27" s="2"/>
      <c r="X27" s="6">
        <f t="shared" si="6"/>
        <v>-724.32</v>
      </c>
      <c r="Y27" s="2"/>
      <c r="Z27" s="7">
        <f t="shared" si="7"/>
        <v>-0.81172673480365787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10826.56</v>
      </c>
      <c r="E28" s="1"/>
      <c r="F28" s="5">
        <f t="shared" ref="F28:F36" si="8">IF(D$12=0,0,D28/D$12)</f>
        <v>0</v>
      </c>
      <c r="G28" s="1"/>
      <c r="H28" s="1">
        <f>SUM(OSRRefH22_1x_0)</f>
        <v>8552.0400000000009</v>
      </c>
      <c r="I28" s="1"/>
      <c r="J28" s="5">
        <f t="shared" ref="J28:J36" si="9">IF(H$12=0,0,H28/H$12)</f>
        <v>0</v>
      </c>
      <c r="K28" s="1"/>
      <c r="L28" s="1">
        <f t="shared" ref="L28:L36" si="10">+D28-H28</f>
        <v>2274.5199999999986</v>
      </c>
      <c r="M28" s="1"/>
      <c r="N28" s="5">
        <f t="shared" ref="N28:N36" si="11">IF(H28=0,0,L28/H28)</f>
        <v>0.26596227332893652</v>
      </c>
      <c r="O28" s="13"/>
      <c r="P28" s="1">
        <f>SUM(OSRRefP22_1x_0)</f>
        <v>64135.82</v>
      </c>
      <c r="Q28" s="1"/>
      <c r="R28" s="5">
        <f t="shared" ref="R28:R36" si="12">IF(P$12=0,0,P28/P$12)</f>
        <v>0</v>
      </c>
      <c r="S28" s="1"/>
      <c r="T28" s="1">
        <f>SUM(OSRRefT22_1x_0)</f>
        <v>54164.28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9971.5400000000009</v>
      </c>
      <c r="Y28" s="1"/>
      <c r="Z28" s="5">
        <f t="shared" ref="Z28:Z36" si="15">IF(T28=0,0,X28/T28)</f>
        <v>0.18409808087544044</v>
      </c>
    </row>
    <row r="29" spans="1:26" s="24" customFormat="1" hidden="1" outlineLevel="2" x14ac:dyDescent="0.25">
      <c r="A29" s="25"/>
      <c r="B29" s="11" t="str">
        <f>CONCATENATE("          ", "6001", " - ", "ADMINISTRATIVE SALARIES")</f>
        <v xml:space="preserve">          6001 - ADMINISTRATIVE SALARIES</v>
      </c>
      <c r="C29" s="11"/>
      <c r="D29" s="6">
        <v>10826.56</v>
      </c>
      <c r="E29" s="2"/>
      <c r="F29" s="7">
        <f t="shared" si="8"/>
        <v>0</v>
      </c>
      <c r="G29" s="2"/>
      <c r="H29" s="6">
        <v>8552.0400000000009</v>
      </c>
      <c r="I29" s="2"/>
      <c r="J29" s="7">
        <f t="shared" si="9"/>
        <v>0</v>
      </c>
      <c r="K29" s="2"/>
      <c r="L29" s="6">
        <f t="shared" si="10"/>
        <v>2274.5199999999986</v>
      </c>
      <c r="M29" s="2"/>
      <c r="N29" s="7">
        <f t="shared" si="11"/>
        <v>0.26596227332893652</v>
      </c>
      <c r="O29" s="11"/>
      <c r="P29" s="6">
        <v>64135.82</v>
      </c>
      <c r="Q29" s="2"/>
      <c r="R29" s="7">
        <f t="shared" si="12"/>
        <v>0</v>
      </c>
      <c r="S29" s="2"/>
      <c r="T29" s="6">
        <v>54164.28</v>
      </c>
      <c r="U29" s="2"/>
      <c r="V29" s="7">
        <f t="shared" si="13"/>
        <v>0</v>
      </c>
      <c r="W29" s="2"/>
      <c r="X29" s="6">
        <f t="shared" si="14"/>
        <v>9971.5400000000009</v>
      </c>
      <c r="Y29" s="2"/>
      <c r="Z29" s="7">
        <f t="shared" si="15"/>
        <v>0.18409808087544044</v>
      </c>
    </row>
    <row r="30" spans="1:26" s="26" customFormat="1" outlineLevel="1" collapsed="1" x14ac:dyDescent="0.25">
      <c r="A30" s="27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3"/>
      <c r="P30" s="1">
        <f>SUM(OSRRefP22_2x_0)</f>
        <v>1.65</v>
      </c>
      <c r="Q30" s="1"/>
      <c r="R30" s="5">
        <f t="shared" si="12"/>
        <v>0</v>
      </c>
      <c r="S30" s="1"/>
      <c r="T30" s="1">
        <f>SUM(OSRRefT22_2x_0)</f>
        <v>214.55</v>
      </c>
      <c r="U30" s="1"/>
      <c r="V30" s="5">
        <f t="shared" si="13"/>
        <v>0</v>
      </c>
      <c r="W30" s="1"/>
      <c r="X30" s="1">
        <f t="shared" si="14"/>
        <v>-212.9</v>
      </c>
      <c r="Y30" s="1"/>
      <c r="Z30" s="5">
        <f t="shared" si="15"/>
        <v>-0.99230948496853877</v>
      </c>
    </row>
    <row r="31" spans="1:26" s="24" customFormat="1" hidden="1" outlineLevel="2" x14ac:dyDescent="0.25">
      <c r="A31" s="25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1.65</v>
      </c>
      <c r="Q31" s="2"/>
      <c r="R31" s="7">
        <f t="shared" si="12"/>
        <v>0</v>
      </c>
      <c r="S31" s="2"/>
      <c r="T31" s="6">
        <v>214.55</v>
      </c>
      <c r="U31" s="2"/>
      <c r="V31" s="7">
        <f t="shared" si="13"/>
        <v>0</v>
      </c>
      <c r="W31" s="2"/>
      <c r="X31" s="6">
        <f t="shared" si="14"/>
        <v>-212.9</v>
      </c>
      <c r="Y31" s="2"/>
      <c r="Z31" s="7">
        <f t="shared" si="15"/>
        <v>-0.99230948496853877</v>
      </c>
    </row>
    <row r="32" spans="1:26" s="26" customFormat="1" outlineLevel="1" collapsed="1" x14ac:dyDescent="0.25">
      <c r="A32" s="27"/>
      <c r="B32" s="13" t="str">
        <f>CONCATENATE("     ","Repair and Maintenance                            ")</f>
        <v xml:space="preserve">     Repair and Maintenance                            </v>
      </c>
      <c r="C32" s="13"/>
      <c r="D32" s="1">
        <f>SUM(OSRRefD22_3x_0)</f>
        <v>3500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3500</v>
      </c>
      <c r="M32" s="1"/>
      <c r="N32" s="5">
        <f t="shared" si="11"/>
        <v>0</v>
      </c>
      <c r="O32" s="13"/>
      <c r="P32" s="1">
        <f>SUM(OSRRefP22_3x_0)</f>
        <v>7000</v>
      </c>
      <c r="Q32" s="1"/>
      <c r="R32" s="5">
        <f t="shared" si="12"/>
        <v>0</v>
      </c>
      <c r="S32" s="1"/>
      <c r="T32" s="1">
        <f>SUM(OSRRefT22_3x_0)</f>
        <v>6340.43</v>
      </c>
      <c r="U32" s="1"/>
      <c r="V32" s="5">
        <f t="shared" si="13"/>
        <v>0</v>
      </c>
      <c r="W32" s="1"/>
      <c r="X32" s="1">
        <f t="shared" si="14"/>
        <v>659.56999999999971</v>
      </c>
      <c r="Y32" s="1"/>
      <c r="Z32" s="5">
        <f t="shared" si="15"/>
        <v>0.10402606763263686</v>
      </c>
    </row>
    <row r="33" spans="1:26" s="24" customFormat="1" hidden="1" outlineLevel="2" x14ac:dyDescent="0.25">
      <c r="A33" s="25"/>
      <c r="B33" s="11" t="str">
        <f>CONCATENATE("          ", "6371", " - ", "COMPUTER SOFTWARE MAINTENANCE")</f>
        <v xml:space="preserve">          6371 - COMPUTER SOFTWARE MAINTENANCE</v>
      </c>
      <c r="C33" s="11"/>
      <c r="D33" s="6">
        <v>3500</v>
      </c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3500</v>
      </c>
      <c r="M33" s="2"/>
      <c r="N33" s="7">
        <f t="shared" si="11"/>
        <v>0</v>
      </c>
      <c r="O33" s="11"/>
      <c r="P33" s="6">
        <v>7000</v>
      </c>
      <c r="Q33" s="2"/>
      <c r="R33" s="7">
        <f t="shared" si="12"/>
        <v>0</v>
      </c>
      <c r="S33" s="2"/>
      <c r="T33" s="6">
        <v>6340.43</v>
      </c>
      <c r="U33" s="2"/>
      <c r="V33" s="7">
        <f t="shared" si="13"/>
        <v>0</v>
      </c>
      <c r="W33" s="2"/>
      <c r="X33" s="6">
        <f t="shared" si="14"/>
        <v>659.56999999999971</v>
      </c>
      <c r="Y33" s="2"/>
      <c r="Z33" s="7">
        <f t="shared" si="15"/>
        <v>0.10402606763263686</v>
      </c>
    </row>
    <row r="34" spans="1:26" s="26" customFormat="1" outlineLevel="1" collapsed="1" x14ac:dyDescent="0.25">
      <c r="A34" s="27"/>
      <c r="B34" s="13" t="str">
        <f>CONCATENATE("     ","Supplies                                          ")</f>
        <v xml:space="preserve">     Supplies                                          </v>
      </c>
      <c r="C34" s="13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1231.97</v>
      </c>
      <c r="I34" s="1"/>
      <c r="J34" s="5">
        <f t="shared" si="9"/>
        <v>0</v>
      </c>
      <c r="K34" s="1"/>
      <c r="L34" s="1">
        <f t="shared" si="10"/>
        <v>-1231.97</v>
      </c>
      <c r="M34" s="1"/>
      <c r="N34" s="5">
        <f t="shared" si="11"/>
        <v>-1</v>
      </c>
      <c r="O34" s="13"/>
      <c r="P34" s="1">
        <f>SUM(OSRRefP22_4x_0)</f>
        <v>4939.2</v>
      </c>
      <c r="Q34" s="1"/>
      <c r="R34" s="5">
        <f t="shared" si="12"/>
        <v>0</v>
      </c>
      <c r="S34" s="1"/>
      <c r="T34" s="1">
        <f>SUM(OSRRefT22_4x_0)</f>
        <v>3665.01</v>
      </c>
      <c r="U34" s="1"/>
      <c r="V34" s="5">
        <f t="shared" si="13"/>
        <v>0</v>
      </c>
      <c r="W34" s="1"/>
      <c r="X34" s="1">
        <f t="shared" si="14"/>
        <v>1274.1899999999996</v>
      </c>
      <c r="Y34" s="1"/>
      <c r="Z34" s="5">
        <f t="shared" si="15"/>
        <v>0.34766344430165252</v>
      </c>
    </row>
    <row r="35" spans="1:26" s="24" customFormat="1" hidden="1" outlineLevel="2" x14ac:dyDescent="0.25">
      <c r="A35" s="25"/>
      <c r="B35" s="11" t="str">
        <f>CONCATENATE("          ", "6235", " - ", "COVID-19 EXPENSES")</f>
        <v xml:space="preserve">          6235 - COVID-19 EXPENSES</v>
      </c>
      <c r="C35" s="11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4939.2</v>
      </c>
      <c r="Q35" s="2"/>
      <c r="R35" s="7">
        <f t="shared" si="12"/>
        <v>0</v>
      </c>
      <c r="S35" s="2"/>
      <c r="T35" s="6"/>
      <c r="U35" s="2"/>
      <c r="V35" s="7">
        <f t="shared" si="13"/>
        <v>0</v>
      </c>
      <c r="W35" s="2"/>
      <c r="X35" s="6">
        <f t="shared" si="14"/>
        <v>4939.2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"6241", " - ", "OFFICE EXPENSE")</f>
        <v xml:space="preserve">          6241 - OFFICE EXPENSE</v>
      </c>
      <c r="C36" s="11"/>
      <c r="D36" s="6"/>
      <c r="E36" s="2"/>
      <c r="F36" s="7">
        <f t="shared" si="8"/>
        <v>0</v>
      </c>
      <c r="G36" s="2"/>
      <c r="H36" s="6">
        <v>1231.97</v>
      </c>
      <c r="I36" s="2"/>
      <c r="J36" s="7">
        <f t="shared" si="9"/>
        <v>0</v>
      </c>
      <c r="K36" s="2"/>
      <c r="L36" s="6">
        <f t="shared" si="10"/>
        <v>-1231.97</v>
      </c>
      <c r="M36" s="2"/>
      <c r="N36" s="7">
        <f t="shared" si="11"/>
        <v>-1</v>
      </c>
      <c r="O36" s="11"/>
      <c r="P36" s="6"/>
      <c r="Q36" s="2"/>
      <c r="R36" s="7">
        <f t="shared" si="12"/>
        <v>0</v>
      </c>
      <c r="S36" s="2"/>
      <c r="T36" s="6">
        <v>3665.01</v>
      </c>
      <c r="U36" s="2"/>
      <c r="V36" s="7">
        <f t="shared" si="13"/>
        <v>0</v>
      </c>
      <c r="W36" s="2"/>
      <c r="X36" s="6">
        <f t="shared" si="14"/>
        <v>-3665.01</v>
      </c>
      <c r="Y36" s="2"/>
      <c r="Z36" s="7">
        <f t="shared" si="15"/>
        <v>-1</v>
      </c>
    </row>
    <row r="37" spans="1:26" s="26" customFormat="1" outlineLevel="1" collapsed="1" x14ac:dyDescent="0.25">
      <c r="A37" s="27"/>
      <c r="B37" s="13" t="str">
        <f>CONCATENATE("     ","Telephone/Data Lines                              ")</f>
        <v xml:space="preserve">     Telephone/Data Lines                              </v>
      </c>
      <c r="C37" s="13"/>
      <c r="D37" s="1">
        <f>SUM(OSRRefD22_5x_0)</f>
        <v>0</v>
      </c>
      <c r="E37" s="1"/>
      <c r="F37" s="5">
        <f t="shared" ref="F37:F42" si="16">IF(D$12=0,0,D37/D$12)</f>
        <v>0</v>
      </c>
      <c r="G37" s="1"/>
      <c r="H37" s="1">
        <f>SUM(OSRRefH22_5x_0)</f>
        <v>50</v>
      </c>
      <c r="I37" s="1"/>
      <c r="J37" s="5">
        <f t="shared" ref="J37:J42" si="17">IF(H$12=0,0,H37/H$12)</f>
        <v>0</v>
      </c>
      <c r="K37" s="1"/>
      <c r="L37" s="1">
        <f t="shared" ref="L37:L42" si="18">+D37-H37</f>
        <v>-50</v>
      </c>
      <c r="M37" s="1"/>
      <c r="N37" s="5">
        <f t="shared" ref="N37:N42" si="19">IF(H37=0,0,L37/H37)</f>
        <v>-1</v>
      </c>
      <c r="O37" s="13"/>
      <c r="P37" s="1">
        <f>SUM(OSRRefP22_5x_0)</f>
        <v>400</v>
      </c>
      <c r="Q37" s="1"/>
      <c r="R37" s="5">
        <f t="shared" ref="R37:R42" si="20">IF(P$12=0,0,P37/P$12)</f>
        <v>0</v>
      </c>
      <c r="S37" s="1"/>
      <c r="T37" s="1">
        <f>SUM(OSRRefT22_5x_0)</f>
        <v>-550</v>
      </c>
      <c r="U37" s="1"/>
      <c r="V37" s="5">
        <f t="shared" ref="V37:V42" si="21">IF(T$12=0,0,T37/T$12)</f>
        <v>0</v>
      </c>
      <c r="W37" s="1"/>
      <c r="X37" s="1">
        <f t="shared" ref="X37:X42" si="22">+P37-T37</f>
        <v>950</v>
      </c>
      <c r="Y37" s="1"/>
      <c r="Z37" s="5">
        <f t="shared" ref="Z37:Z42" si="23">IF(T37=0,0,X37/T37)</f>
        <v>-1.7272727272727273</v>
      </c>
    </row>
    <row r="38" spans="1:26" s="24" customFormat="1" hidden="1" outlineLevel="2" x14ac:dyDescent="0.25">
      <c r="A38" s="25"/>
      <c r="B38" s="11" t="str">
        <f>CONCATENATE("          ", "6309", " - ", "TELEPHONE")</f>
        <v xml:space="preserve">          6309 - TELEPHONE</v>
      </c>
      <c r="C38" s="11"/>
      <c r="D38" s="6"/>
      <c r="E38" s="2"/>
      <c r="F38" s="7">
        <f t="shared" si="16"/>
        <v>0</v>
      </c>
      <c r="G38" s="2"/>
      <c r="H38" s="6">
        <v>50</v>
      </c>
      <c r="I38" s="2"/>
      <c r="J38" s="7">
        <f t="shared" si="17"/>
        <v>0</v>
      </c>
      <c r="K38" s="2"/>
      <c r="L38" s="6">
        <f t="shared" si="18"/>
        <v>-50</v>
      </c>
      <c r="M38" s="2"/>
      <c r="N38" s="7">
        <f t="shared" si="19"/>
        <v>-1</v>
      </c>
      <c r="O38" s="11"/>
      <c r="P38" s="6">
        <v>400</v>
      </c>
      <c r="Q38" s="2"/>
      <c r="R38" s="7">
        <f t="shared" si="20"/>
        <v>0</v>
      </c>
      <c r="S38" s="2"/>
      <c r="T38" s="6">
        <v>-550</v>
      </c>
      <c r="U38" s="2"/>
      <c r="V38" s="7">
        <f t="shared" si="21"/>
        <v>0</v>
      </c>
      <c r="W38" s="2"/>
      <c r="X38" s="6">
        <f t="shared" si="22"/>
        <v>950</v>
      </c>
      <c r="Y38" s="2"/>
      <c r="Z38" s="7">
        <f t="shared" si="23"/>
        <v>-1.7272727272727273</v>
      </c>
    </row>
    <row r="39" spans="1:26" s="26" customFormat="1" outlineLevel="1" collapsed="1" x14ac:dyDescent="0.25">
      <c r="A39" s="27"/>
      <c r="B39" s="13" t="str">
        <f>CONCATENATE("     ","Training                                          ")</f>
        <v xml:space="preserve">     Training                                          </v>
      </c>
      <c r="C39" s="13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3"/>
      <c r="P39" s="1">
        <f>SUM(OSRRefP22_6x_0)</f>
        <v>0</v>
      </c>
      <c r="Q39" s="1"/>
      <c r="R39" s="5">
        <f t="shared" si="20"/>
        <v>0</v>
      </c>
      <c r="S39" s="1"/>
      <c r="T39" s="1">
        <f>SUM(OSRRefT22_6x_0)</f>
        <v>2950.22</v>
      </c>
      <c r="U39" s="1"/>
      <c r="V39" s="5">
        <f t="shared" si="21"/>
        <v>0</v>
      </c>
      <c r="W39" s="1"/>
      <c r="X39" s="1">
        <f t="shared" si="22"/>
        <v>-2950.22</v>
      </c>
      <c r="Y39" s="1"/>
      <c r="Z39" s="5">
        <f t="shared" si="23"/>
        <v>-1</v>
      </c>
    </row>
    <row r="40" spans="1:26" s="24" customFormat="1" hidden="1" outlineLevel="2" x14ac:dyDescent="0.25">
      <c r="A40" s="25"/>
      <c r="B40" s="11" t="str">
        <f>CONCATENATE("          ", "6376", " - ", "TRAINING")</f>
        <v xml:space="preserve">          6376 - TRAINING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2950.22</v>
      </c>
      <c r="U40" s="2"/>
      <c r="V40" s="7">
        <f t="shared" si="21"/>
        <v>0</v>
      </c>
      <c r="W40" s="2"/>
      <c r="X40" s="6">
        <f t="shared" si="22"/>
        <v>-2950.22</v>
      </c>
      <c r="Y40" s="2"/>
      <c r="Z40" s="7">
        <f t="shared" si="23"/>
        <v>-1</v>
      </c>
    </row>
    <row r="41" spans="1:26" s="26" customFormat="1" outlineLevel="1" collapsed="1" x14ac:dyDescent="0.25">
      <c r="A41" s="27"/>
      <c r="B41" s="13" t="str">
        <f>CONCATENATE("     ","Travel                                            ")</f>
        <v xml:space="preserve">     Travel                                            </v>
      </c>
      <c r="C41" s="13"/>
      <c r="D41" s="1">
        <f>SUM(OSRRefD22_7x_0)</f>
        <v>0</v>
      </c>
      <c r="E41" s="1"/>
      <c r="F41" s="5">
        <f t="shared" si="16"/>
        <v>0</v>
      </c>
      <c r="G41" s="1"/>
      <c r="H41" s="1">
        <f>SUM(OSRRefH22_7x_0)</f>
        <v>154.97999999999999</v>
      </c>
      <c r="I41" s="1"/>
      <c r="J41" s="5">
        <f t="shared" si="17"/>
        <v>0</v>
      </c>
      <c r="K41" s="1"/>
      <c r="L41" s="1">
        <f t="shared" si="18"/>
        <v>-154.97999999999999</v>
      </c>
      <c r="M41" s="1"/>
      <c r="N41" s="5">
        <f t="shared" si="19"/>
        <v>-1</v>
      </c>
      <c r="O41" s="13"/>
      <c r="P41" s="1">
        <f>SUM(OSRRefP22_7x_0)</f>
        <v>0</v>
      </c>
      <c r="Q41" s="1"/>
      <c r="R41" s="5">
        <f t="shared" si="20"/>
        <v>0</v>
      </c>
      <c r="S41" s="1"/>
      <c r="T41" s="1">
        <f>SUM(OSRRefT22_7x_0)</f>
        <v>325.75</v>
      </c>
      <c r="U41" s="1"/>
      <c r="V41" s="5">
        <f t="shared" si="21"/>
        <v>0</v>
      </c>
      <c r="W41" s="1"/>
      <c r="X41" s="1">
        <f t="shared" si="22"/>
        <v>-325.75</v>
      </c>
      <c r="Y41" s="1"/>
      <c r="Z41" s="5">
        <f t="shared" si="23"/>
        <v>-1</v>
      </c>
    </row>
    <row r="42" spans="1:26" s="24" customFormat="1" hidden="1" outlineLevel="2" x14ac:dyDescent="0.25">
      <c r="A42" s="25"/>
      <c r="B42" s="11" t="str">
        <f>CONCATENATE("          ", "6292", " - ", "TRAVEL/CONFERENCE")</f>
        <v xml:space="preserve">          6292 - TRAVEL/CONFERENCE</v>
      </c>
      <c r="C42" s="11"/>
      <c r="D42" s="6"/>
      <c r="E42" s="2"/>
      <c r="F42" s="7">
        <f t="shared" si="16"/>
        <v>0</v>
      </c>
      <c r="G42" s="2"/>
      <c r="H42" s="6">
        <v>154.97999999999999</v>
      </c>
      <c r="I42" s="2"/>
      <c r="J42" s="7">
        <f t="shared" si="17"/>
        <v>0</v>
      </c>
      <c r="K42" s="2"/>
      <c r="L42" s="6">
        <f t="shared" si="18"/>
        <v>-154.97999999999999</v>
      </c>
      <c r="M42" s="2"/>
      <c r="N42" s="7">
        <f t="shared" si="19"/>
        <v>-1</v>
      </c>
      <c r="O42" s="11"/>
      <c r="P42" s="6"/>
      <c r="Q42" s="2"/>
      <c r="R42" s="7">
        <f t="shared" si="20"/>
        <v>0</v>
      </c>
      <c r="S42" s="2"/>
      <c r="T42" s="6">
        <v>325.75</v>
      </c>
      <c r="U42" s="2"/>
      <c r="V42" s="7">
        <f t="shared" si="21"/>
        <v>0</v>
      </c>
      <c r="W42" s="2"/>
      <c r="X42" s="6">
        <f t="shared" si="22"/>
        <v>-325.75</v>
      </c>
      <c r="Y42" s="2"/>
      <c r="Z42" s="7">
        <f t="shared" si="23"/>
        <v>-1</v>
      </c>
    </row>
    <row r="43" spans="1:26" s="61" customFormat="1" x14ac:dyDescent="0.25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9" t="s">
        <v>0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8" t="s">
        <v>3</v>
      </c>
      <c r="C46" s="28"/>
      <c r="D46" s="20">
        <f>+D16-D18+D44</f>
        <v>-20118.95</v>
      </c>
      <c r="E46" s="14"/>
      <c r="F46" s="22">
        <f>IF(D$12=0,0,D46/D$12)</f>
        <v>0</v>
      </c>
      <c r="G46" s="14"/>
      <c r="H46" s="20">
        <f>+H16-H18+H44</f>
        <v>-15835.96</v>
      </c>
      <c r="I46" s="14"/>
      <c r="J46" s="22">
        <f>IF(H$12=0,0,H46/H$12)</f>
        <v>0</v>
      </c>
      <c r="K46" s="15"/>
      <c r="L46" s="20">
        <f>+D46-H46</f>
        <v>-4282.9900000000016</v>
      </c>
      <c r="M46" s="15"/>
      <c r="N46" s="22">
        <f>IF(H46=0,0,L46/H46)</f>
        <v>0.27045976372761749</v>
      </c>
      <c r="O46" s="29"/>
      <c r="P46" s="20">
        <f>+P16-P18+P44</f>
        <v>-117947.51999999997</v>
      </c>
      <c r="Q46" s="14"/>
      <c r="R46" s="22">
        <f>IF(P$12=0,0,P46/P$12)</f>
        <v>0</v>
      </c>
      <c r="S46" s="14"/>
      <c r="T46" s="20">
        <f>+T16-T18+T44</f>
        <v>-108367.76</v>
      </c>
      <c r="U46" s="14"/>
      <c r="V46" s="22">
        <f>IF(T$12=0,0,T46/T$12)</f>
        <v>0</v>
      </c>
      <c r="W46" s="15"/>
      <c r="X46" s="20">
        <f>+P46-T46</f>
        <v>-9579.7599999999802</v>
      </c>
      <c r="Y46" s="15"/>
      <c r="Z46" s="22">
        <f>IF(T46=0,0,X46/T46)</f>
        <v>8.8400461539483527E-2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1"/>
      <c r="B48" s="10" t="s">
        <v>13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8" t="s">
        <v>4</v>
      </c>
      <c r="C50" s="28"/>
      <c r="D50" s="30">
        <f>+D46-D48</f>
        <v>-20118.95</v>
      </c>
      <c r="E50" s="14"/>
      <c r="F50" s="36">
        <f>IF(D$12=0,0,D50/D$12)</f>
        <v>0</v>
      </c>
      <c r="G50" s="14"/>
      <c r="H50" s="30">
        <f>+H46-H48</f>
        <v>-15835.96</v>
      </c>
      <c r="I50" s="14"/>
      <c r="J50" s="36">
        <f>IF(H$12=0,0,H50/H$12)</f>
        <v>0</v>
      </c>
      <c r="K50" s="15"/>
      <c r="L50" s="30">
        <f>D50-H50</f>
        <v>-4282.9900000000016</v>
      </c>
      <c r="M50" s="15"/>
      <c r="N50" s="36">
        <f>IF(H50=0,0,L50/H50)</f>
        <v>0.27045976372761749</v>
      </c>
      <c r="O50" s="29"/>
      <c r="P50" s="30">
        <f>+P46-P48</f>
        <v>-117947.51999999997</v>
      </c>
      <c r="Q50" s="14"/>
      <c r="R50" s="36">
        <f>IF(P$12=0,0,P50/P$12)</f>
        <v>0</v>
      </c>
      <c r="S50" s="14"/>
      <c r="T50" s="30">
        <f>+T46-T48</f>
        <v>-108367.76</v>
      </c>
      <c r="U50" s="14"/>
      <c r="V50" s="36">
        <f>IF(T$12=0,0,T50/T$12)</f>
        <v>0</v>
      </c>
      <c r="W50" s="15"/>
      <c r="X50" s="30">
        <f>P50-T50</f>
        <v>-9579.7599999999802</v>
      </c>
      <c r="Y50" s="15"/>
      <c r="Z50" s="36">
        <f>IF(T50=0,0,X50/T50)</f>
        <v>8.8400461539483527E-2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8" t="s">
        <v>5</v>
      </c>
      <c r="C53" s="28"/>
      <c r="D53" s="32">
        <f>SUM(D50:D52)</f>
        <v>-20118.95</v>
      </c>
      <c r="E53" s="14"/>
      <c r="F53" s="31">
        <f>IF(D$12=0,0,D53/D$12)</f>
        <v>0</v>
      </c>
      <c r="G53" s="14"/>
      <c r="H53" s="32">
        <f>SUM(H50:H52)</f>
        <v>-15835.96</v>
      </c>
      <c r="I53" s="14"/>
      <c r="J53" s="31">
        <f>IF(H$12=0,0,H53/H$12)</f>
        <v>0</v>
      </c>
      <c r="K53" s="15"/>
      <c r="L53" s="32">
        <f>+D53-H53</f>
        <v>-4282.9900000000016</v>
      </c>
      <c r="M53" s="15"/>
      <c r="N53" s="31">
        <f>IF(H53=0,0,L53/H53)</f>
        <v>0.27045976372761749</v>
      </c>
      <c r="O53" s="29"/>
      <c r="P53" s="32">
        <f>SUM(P50:P52)</f>
        <v>-117947.51999999997</v>
      </c>
      <c r="Q53" s="14"/>
      <c r="R53" s="31">
        <f>IF(P$12=0,0,P53/P$12)</f>
        <v>0</v>
      </c>
      <c r="S53" s="14"/>
      <c r="T53" s="32">
        <f>SUM(T50:T52)</f>
        <v>-108367.76</v>
      </c>
      <c r="U53" s="14"/>
      <c r="V53" s="31">
        <f>IF(T$12=0,0,T53/T$12)</f>
        <v>0</v>
      </c>
      <c r="W53" s="15"/>
      <c r="X53" s="32">
        <f>+P53-T53</f>
        <v>-9579.7599999999802</v>
      </c>
      <c r="Y53" s="15"/>
      <c r="Z53" s="31">
        <f>IF(T53=0,0,X53/T53)</f>
        <v>8.8400461539483527E-2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A55" s="9"/>
      <c r="B55" s="62">
        <v>44238.496586493056</v>
      </c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  <row r="56" spans="1:26" x14ac:dyDescent="0.25">
      <c r="A56" s="9"/>
      <c r="B56" s="59" t="s">
        <v>313</v>
      </c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  <row r="57" spans="1:26" x14ac:dyDescent="0.25">
      <c r="A57" s="9"/>
      <c r="B57" s="56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","433", " - ", "Hillside Dining Hall")</f>
        <v>Department 433 - Hillside Dining Hall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-160.19999999999999</v>
      </c>
      <c r="E12" s="4"/>
      <c r="F12" s="12"/>
      <c r="G12" s="4"/>
      <c r="H12" s="4">
        <f>SUM(OSRRefH13x_0)</f>
        <v>274002.90999999997</v>
      </c>
      <c r="I12" s="4"/>
      <c r="J12" s="12"/>
      <c r="K12" s="4"/>
      <c r="L12" s="4">
        <f t="shared" ref="L12:L15" si="0">+D12-H12</f>
        <v>-274163.11</v>
      </c>
      <c r="M12" s="4"/>
      <c r="N12" s="12">
        <f t="shared" ref="N12:N15" si="1">IF(H12=0,0,L12/H12)</f>
        <v>-1.0005846653234449</v>
      </c>
      <c r="O12" s="10"/>
      <c r="P12" s="4">
        <f>SUM(OSRRefP13x_0)</f>
        <v>23641.919999999998</v>
      </c>
      <c r="Q12" s="4"/>
      <c r="R12" s="12"/>
      <c r="S12" s="4"/>
      <c r="T12" s="4">
        <f>SUM(OSRRefT13x_0)</f>
        <v>2763584.5900000003</v>
      </c>
      <c r="U12" s="4"/>
      <c r="V12" s="12"/>
      <c r="W12" s="4"/>
      <c r="X12" s="4">
        <f t="shared" ref="X12:X15" si="2">+P12-T12</f>
        <v>-2739942.6700000004</v>
      </c>
      <c r="Y12" s="4"/>
      <c r="Z12" s="12">
        <f t="shared" ref="Z12:Z15" si="3">IF(T12=0,0,X12/T12)</f>
        <v>-0.99144519763008232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4" si="4">0</f>
        <v>0</v>
      </c>
      <c r="E13" s="2"/>
      <c r="F13" s="19"/>
      <c r="G13" s="2"/>
      <c r="H13" s="2">
        <f>--343.12</f>
        <v>343.12</v>
      </c>
      <c r="I13" s="2"/>
      <c r="J13" s="19"/>
      <c r="K13" s="2"/>
      <c r="L13" s="2">
        <f t="shared" si="0"/>
        <v>-343.12</v>
      </c>
      <c r="M13" s="2"/>
      <c r="N13" s="19">
        <f t="shared" si="1"/>
        <v>-1</v>
      </c>
      <c r="O13" s="11"/>
      <c r="P13" s="2">
        <f>--217.65</f>
        <v>217.65</v>
      </c>
      <c r="Q13" s="2"/>
      <c r="R13" s="19"/>
      <c r="S13" s="2"/>
      <c r="T13" s="2">
        <f>--18319</f>
        <v>18319</v>
      </c>
      <c r="U13" s="2"/>
      <c r="V13" s="19"/>
      <c r="W13" s="2"/>
      <c r="X13" s="2">
        <f t="shared" si="2"/>
        <v>-18101.349999999999</v>
      </c>
      <c r="Y13" s="2"/>
      <c r="Z13" s="19">
        <f t="shared" si="3"/>
        <v>-0.98811889295267197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--231487.09</f>
        <v>231487.09</v>
      </c>
      <c r="I14" s="2"/>
      <c r="J14" s="19"/>
      <c r="K14" s="2"/>
      <c r="L14" s="2">
        <f t="shared" si="0"/>
        <v>-231487.09</v>
      </c>
      <c r="M14" s="2"/>
      <c r="N14" s="19">
        <f t="shared" si="1"/>
        <v>-1</v>
      </c>
      <c r="O14" s="11"/>
      <c r="P14" s="2">
        <f>--16096</f>
        <v>16096</v>
      </c>
      <c r="Q14" s="2"/>
      <c r="R14" s="19"/>
      <c r="S14" s="2"/>
      <c r="T14" s="2">
        <f>--2524963.91</f>
        <v>2524963.91</v>
      </c>
      <c r="U14" s="2"/>
      <c r="V14" s="19"/>
      <c r="W14" s="2"/>
      <c r="X14" s="2">
        <f t="shared" si="2"/>
        <v>-2508867.91</v>
      </c>
      <c r="Y14" s="2"/>
      <c r="Z14" s="19">
        <f t="shared" si="3"/>
        <v>-0.99362525541998736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-160.2</f>
        <v>-160.19999999999999</v>
      </c>
      <c r="E15" s="2"/>
      <c r="F15" s="19"/>
      <c r="G15" s="2"/>
      <c r="H15" s="2">
        <f>--42172.7</f>
        <v>42172.7</v>
      </c>
      <c r="I15" s="2"/>
      <c r="J15" s="19"/>
      <c r="K15" s="2"/>
      <c r="L15" s="2">
        <f t="shared" si="0"/>
        <v>-42332.899999999994</v>
      </c>
      <c r="M15" s="2"/>
      <c r="N15" s="19">
        <f t="shared" si="1"/>
        <v>-1.0037986659616291</v>
      </c>
      <c r="O15" s="11"/>
      <c r="P15" s="2">
        <f>--7328.27</f>
        <v>7328.27</v>
      </c>
      <c r="Q15" s="2"/>
      <c r="R15" s="19"/>
      <c r="S15" s="2"/>
      <c r="T15" s="2">
        <f>--220301.68</f>
        <v>220301.68</v>
      </c>
      <c r="U15" s="2"/>
      <c r="V15" s="19"/>
      <c r="W15" s="2"/>
      <c r="X15" s="2">
        <f t="shared" si="2"/>
        <v>-212973.41</v>
      </c>
      <c r="Y15" s="2"/>
      <c r="Z15" s="19">
        <f t="shared" si="3"/>
        <v>-0.96673529679846293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0</v>
      </c>
      <c r="E17" s="4"/>
      <c r="F17" s="12">
        <f t="shared" ref="F17:F19" si="5">IF(D$12=0,0,D17/D$12)</f>
        <v>0</v>
      </c>
      <c r="G17" s="4"/>
      <c r="H17" s="4">
        <f>SUM(OSRRefH16x_0)</f>
        <v>60346.78</v>
      </c>
      <c r="I17" s="4"/>
      <c r="J17" s="12">
        <f t="shared" ref="J17:J19" si="6">IF(H$12=0,0,H17/H$12)</f>
        <v>0.22024138356778766</v>
      </c>
      <c r="K17" s="4"/>
      <c r="L17" s="4">
        <f t="shared" ref="L17:L19" si="7">+D17-H17</f>
        <v>-60346.78</v>
      </c>
      <c r="M17" s="4"/>
      <c r="N17" s="12">
        <f t="shared" ref="N17:N19" si="8">IF(H17=0,0,L17/H17)</f>
        <v>-1</v>
      </c>
      <c r="O17" s="10"/>
      <c r="P17" s="4">
        <f>SUM(OSRRefP16x_0)</f>
        <v>25322.92</v>
      </c>
      <c r="Q17" s="4"/>
      <c r="R17" s="12">
        <f t="shared" ref="R17:R19" si="9">IF(P$12=0,0,P17/P$12)</f>
        <v>1.0711025162084975</v>
      </c>
      <c r="S17" s="4"/>
      <c r="T17" s="4">
        <f>SUM(OSRRefT16x_0)</f>
        <v>654363.69999999995</v>
      </c>
      <c r="U17" s="4"/>
      <c r="V17" s="12">
        <f t="shared" ref="V17:V19" si="10">IF(T$12=0,0,T17/T$12)</f>
        <v>0.23678077463878169</v>
      </c>
      <c r="W17" s="4"/>
      <c r="X17" s="4">
        <f t="shared" ref="X17:X19" si="11">+P17-T17</f>
        <v>-629040.77999999991</v>
      </c>
      <c r="Y17" s="4"/>
      <c r="Z17" s="12">
        <f t="shared" ref="Z17:Z19" si="12">IF(T17=0,0,X17/T17)</f>
        <v>-0.96130145972339232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5"/>
        <v>0</v>
      </c>
      <c r="G18" s="2"/>
      <c r="H18" s="2">
        <v>86468.78</v>
      </c>
      <c r="I18" s="2"/>
      <c r="J18" s="19">
        <f t="shared" si="6"/>
        <v>0.31557613749430619</v>
      </c>
      <c r="K18" s="2"/>
      <c r="L18" s="2">
        <f t="shared" si="7"/>
        <v>-86468.78</v>
      </c>
      <c r="M18" s="2"/>
      <c r="N18" s="19">
        <f t="shared" si="8"/>
        <v>-1</v>
      </c>
      <c r="O18" s="11"/>
      <c r="P18" s="2">
        <v>14410.92</v>
      </c>
      <c r="Q18" s="2"/>
      <c r="R18" s="19">
        <f t="shared" si="9"/>
        <v>0.60954947821496741</v>
      </c>
      <c r="S18" s="2"/>
      <c r="T18" s="2">
        <v>678378.7</v>
      </c>
      <c r="U18" s="2"/>
      <c r="V18" s="19">
        <f t="shared" si="10"/>
        <v>0.24547057559037838</v>
      </c>
      <c r="W18" s="2"/>
      <c r="X18" s="2">
        <f t="shared" si="11"/>
        <v>-663967.77999999991</v>
      </c>
      <c r="Y18" s="2"/>
      <c r="Z18" s="19">
        <f t="shared" si="12"/>
        <v>-0.9787568212268456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5"/>
        <v>0</v>
      </c>
      <c r="G19" s="2"/>
      <c r="H19" s="2">
        <v>-26122</v>
      </c>
      <c r="I19" s="2"/>
      <c r="J19" s="19">
        <f t="shared" si="6"/>
        <v>-9.5334753926518523E-2</v>
      </c>
      <c r="K19" s="2"/>
      <c r="L19" s="2">
        <f t="shared" si="7"/>
        <v>26122</v>
      </c>
      <c r="M19" s="2"/>
      <c r="N19" s="19">
        <f t="shared" si="8"/>
        <v>-1</v>
      </c>
      <c r="O19" s="11"/>
      <c r="P19" s="2">
        <v>10912</v>
      </c>
      <c r="Q19" s="2"/>
      <c r="R19" s="19">
        <f t="shared" si="9"/>
        <v>0.46155303799353015</v>
      </c>
      <c r="S19" s="2"/>
      <c r="T19" s="2">
        <v>-24015</v>
      </c>
      <c r="U19" s="2"/>
      <c r="V19" s="19">
        <f t="shared" si="10"/>
        <v>-8.6898009515967069E-3</v>
      </c>
      <c r="W19" s="2"/>
      <c r="X19" s="2">
        <f t="shared" si="11"/>
        <v>34927</v>
      </c>
      <c r="Y19" s="2"/>
      <c r="Z19" s="19">
        <f t="shared" si="12"/>
        <v>-1.4543826774932334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-160.19999999999999</v>
      </c>
      <c r="E21" s="14"/>
      <c r="F21" s="22">
        <f>IF(D$12=0,0,D21/D$12)</f>
        <v>1</v>
      </c>
      <c r="G21" s="14"/>
      <c r="H21" s="20">
        <f>H12-H17</f>
        <v>213656.12999999998</v>
      </c>
      <c r="I21" s="14"/>
      <c r="J21" s="22">
        <f>IF(H$12=0,0,H21/H$12)</f>
        <v>0.77975861643221234</v>
      </c>
      <c r="K21" s="15"/>
      <c r="L21" s="20">
        <f>+D21-H21</f>
        <v>-213816.33</v>
      </c>
      <c r="M21" s="15"/>
      <c r="N21" s="22">
        <f>IF(H21=0,0,L21/H21)</f>
        <v>-1.0007498029661026</v>
      </c>
      <c r="O21" s="29"/>
      <c r="P21" s="20">
        <f>P12-P17</f>
        <v>-1681</v>
      </c>
      <c r="Q21" s="14"/>
      <c r="R21" s="22">
        <f>IF(P$12=0,0,P21/P$12)</f>
        <v>-7.110251620849746E-2</v>
      </c>
      <c r="S21" s="14"/>
      <c r="T21" s="20">
        <f>T12-T17</f>
        <v>2109220.8900000006</v>
      </c>
      <c r="U21" s="14"/>
      <c r="V21" s="22">
        <f>IF(T$12=0,0,T21/T$12)</f>
        <v>0.76321922536121845</v>
      </c>
      <c r="W21" s="15"/>
      <c r="X21" s="20">
        <f>+P21-T21</f>
        <v>-2110901.8900000006</v>
      </c>
      <c r="Y21" s="15"/>
      <c r="Z21" s="22">
        <f>IF(T21=0,0,X21/T21)</f>
        <v>-1.0007969767452853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1">
        <f>SUM(OSRRefD22x_0)</f>
        <v>51225.53</v>
      </c>
      <c r="E23" s="21"/>
      <c r="F23" s="35">
        <f t="shared" ref="F23:F33" si="13">IF(D$12=0,0,D23/D$12)</f>
        <v>-319.75986267166041</v>
      </c>
      <c r="G23" s="21"/>
      <c r="H23" s="21">
        <f>SUM(OSRRefH22x_0)</f>
        <v>139341.06999999998</v>
      </c>
      <c r="I23" s="21"/>
      <c r="J23" s="35">
        <f t="shared" ref="J23:J33" si="14">IF(H$12=0,0,H23/H$12)</f>
        <v>0.50853865019170774</v>
      </c>
      <c r="K23" s="4"/>
      <c r="L23" s="21">
        <f t="shared" ref="L23:L33" si="15">+D23-H23</f>
        <v>-88115.539999999979</v>
      </c>
      <c r="M23" s="4"/>
      <c r="N23" s="35">
        <f t="shared" ref="N23:N33" si="16">IF(H23=0,0,L23/H23)</f>
        <v>-0.63237306847148511</v>
      </c>
      <c r="O23" s="10"/>
      <c r="P23" s="21">
        <f>SUM(OSRRefP22x_0)</f>
        <v>368309.79000000004</v>
      </c>
      <c r="Q23" s="21"/>
      <c r="R23" s="35">
        <f t="shared" ref="R23:R33" si="17">IF(P$12=0,0,P23/P$12)</f>
        <v>15.578675082226827</v>
      </c>
      <c r="S23" s="21"/>
      <c r="T23" s="21">
        <f>SUM(OSRRefT22x_0)</f>
        <v>1157186.0500000005</v>
      </c>
      <c r="U23" s="21"/>
      <c r="V23" s="35">
        <f t="shared" ref="V23:V33" si="18">IF(T$12=0,0,T23/T$12)</f>
        <v>0.41872648088546494</v>
      </c>
      <c r="W23" s="4"/>
      <c r="X23" s="21">
        <f t="shared" ref="X23:X33" si="19">+P23-T23</f>
        <v>-788876.26000000047</v>
      </c>
      <c r="Y23" s="4"/>
      <c r="Z23" s="35">
        <f t="shared" ref="Z23:Z33" si="20">IF(T23=0,0,X23/T23)</f>
        <v>-0.68171946939733685</v>
      </c>
    </row>
    <row r="24" spans="1:26" s="26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20342.16</v>
      </c>
      <c r="E24" s="1"/>
      <c r="F24" s="5">
        <f t="shared" si="13"/>
        <v>-126.97977528089888</v>
      </c>
      <c r="G24" s="1"/>
      <c r="H24" s="1">
        <f>SUM(OSRRefH22_0x_0)</f>
        <v>26396.65</v>
      </c>
      <c r="I24" s="1"/>
      <c r="J24" s="5">
        <f t="shared" si="14"/>
        <v>9.6337115543772889E-2</v>
      </c>
      <c r="K24" s="1"/>
      <c r="L24" s="1">
        <f t="shared" si="15"/>
        <v>-6054.4900000000016</v>
      </c>
      <c r="M24" s="1"/>
      <c r="N24" s="5">
        <f t="shared" si="16"/>
        <v>-0.22936584756020181</v>
      </c>
      <c r="O24" s="13"/>
      <c r="P24" s="1">
        <f>SUM(OSRRefP22_0x_0)</f>
        <v>146610.79</v>
      </c>
      <c r="Q24" s="1"/>
      <c r="R24" s="5">
        <f t="shared" si="17"/>
        <v>6.2013064082781781</v>
      </c>
      <c r="S24" s="1"/>
      <c r="T24" s="1">
        <f>SUM(OSRRefT22_0x_0)</f>
        <v>195232.90000000002</v>
      </c>
      <c r="U24" s="1"/>
      <c r="V24" s="5">
        <f t="shared" si="18"/>
        <v>7.0644807004080157E-2</v>
      </c>
      <c r="W24" s="1"/>
      <c r="X24" s="1">
        <f t="shared" si="19"/>
        <v>-48622.110000000015</v>
      </c>
      <c r="Y24" s="1"/>
      <c r="Z24" s="5">
        <f t="shared" si="20"/>
        <v>-0.2490467026817714</v>
      </c>
    </row>
    <row r="25" spans="1:26" s="24" customFormat="1" hidden="1" outlineLevel="2" x14ac:dyDescent="0.25">
      <c r="A25" s="25"/>
      <c r="B25" s="11" t="str">
        <f>CONCATENATE("          ", "6111", " - ", "F.I.C.A.")</f>
        <v xml:space="preserve">          6111 - F.I.C.A.</v>
      </c>
      <c r="C25" s="11"/>
      <c r="D25" s="6">
        <v>1819.55</v>
      </c>
      <c r="E25" s="2"/>
      <c r="F25" s="7">
        <f t="shared" si="13"/>
        <v>-11.357990012484395</v>
      </c>
      <c r="G25" s="2"/>
      <c r="H25" s="6">
        <v>2801.07</v>
      </c>
      <c r="I25" s="2"/>
      <c r="J25" s="7">
        <f t="shared" si="14"/>
        <v>1.0222774641335015E-2</v>
      </c>
      <c r="K25" s="2"/>
      <c r="L25" s="6">
        <f t="shared" si="15"/>
        <v>-981.52000000000021</v>
      </c>
      <c r="M25" s="2"/>
      <c r="N25" s="7">
        <f t="shared" si="16"/>
        <v>-0.35040895086520513</v>
      </c>
      <c r="O25" s="11"/>
      <c r="P25" s="6">
        <v>14346.37</v>
      </c>
      <c r="Q25" s="2"/>
      <c r="R25" s="7">
        <f t="shared" si="17"/>
        <v>0.60681915851166068</v>
      </c>
      <c r="S25" s="2"/>
      <c r="T25" s="6">
        <v>30514.57</v>
      </c>
      <c r="U25" s="2"/>
      <c r="V25" s="7">
        <f t="shared" si="18"/>
        <v>1.1041663103209009E-2</v>
      </c>
      <c r="W25" s="2"/>
      <c r="X25" s="6">
        <f t="shared" si="19"/>
        <v>-16168.199999999999</v>
      </c>
      <c r="Y25" s="2"/>
      <c r="Z25" s="7">
        <f t="shared" si="20"/>
        <v>-0.52985180521960495</v>
      </c>
    </row>
    <row r="26" spans="1:26" s="24" customFormat="1" hidden="1" outlineLevel="2" x14ac:dyDescent="0.25">
      <c r="A26" s="25"/>
      <c r="B26" s="11" t="str">
        <f>CONCATENATE("          ", "6112", " - ", "COMPENSATION INSURANCE")</f>
        <v xml:space="preserve">          6112 - COMPENSATION INSURANCE</v>
      </c>
      <c r="C26" s="11"/>
      <c r="D26" s="6">
        <v>357.19</v>
      </c>
      <c r="E26" s="2"/>
      <c r="F26" s="7">
        <f t="shared" si="13"/>
        <v>-2.2296504369538077</v>
      </c>
      <c r="G26" s="2"/>
      <c r="H26" s="6">
        <v>1951.17</v>
      </c>
      <c r="I26" s="2"/>
      <c r="J26" s="7">
        <f t="shared" si="14"/>
        <v>7.120982766204929E-3</v>
      </c>
      <c r="K26" s="2"/>
      <c r="L26" s="6">
        <f t="shared" si="15"/>
        <v>-1593.98</v>
      </c>
      <c r="M26" s="2"/>
      <c r="N26" s="7">
        <f t="shared" si="16"/>
        <v>-0.81693547973779834</v>
      </c>
      <c r="O26" s="11"/>
      <c r="P26" s="6">
        <v>8166.34</v>
      </c>
      <c r="Q26" s="2"/>
      <c r="R26" s="7">
        <f t="shared" si="17"/>
        <v>0.34541780024634211</v>
      </c>
      <c r="S26" s="2"/>
      <c r="T26" s="6">
        <v>18006.43</v>
      </c>
      <c r="U26" s="2"/>
      <c r="V26" s="7">
        <f t="shared" si="18"/>
        <v>6.5156066020761816E-3</v>
      </c>
      <c r="W26" s="2"/>
      <c r="X26" s="6">
        <f t="shared" si="19"/>
        <v>-9840.09</v>
      </c>
      <c r="Y26" s="2"/>
      <c r="Z26" s="7">
        <f t="shared" si="20"/>
        <v>-0.54647645313368609</v>
      </c>
    </row>
    <row r="27" spans="1:26" s="24" customFormat="1" hidden="1" outlineLevel="2" x14ac:dyDescent="0.25">
      <c r="A27" s="25"/>
      <c r="B27" s="11" t="str">
        <f>CONCATENATE("          ", "6113", " - ", "GROUP INSURANCE")</f>
        <v xml:space="preserve">          6113 - GROUP INSURANCE</v>
      </c>
      <c r="C27" s="11"/>
      <c r="D27" s="6">
        <v>12552.45</v>
      </c>
      <c r="E27" s="2"/>
      <c r="F27" s="7">
        <f t="shared" si="13"/>
        <v>-78.354868913857686</v>
      </c>
      <c r="G27" s="2"/>
      <c r="H27" s="6">
        <v>13844.04</v>
      </c>
      <c r="I27" s="2"/>
      <c r="J27" s="7">
        <f t="shared" si="14"/>
        <v>5.0525156831363584E-2</v>
      </c>
      <c r="K27" s="2"/>
      <c r="L27" s="6">
        <f t="shared" si="15"/>
        <v>-1291.5900000000001</v>
      </c>
      <c r="M27" s="2"/>
      <c r="N27" s="7">
        <f t="shared" si="16"/>
        <v>-9.329574315012093E-2</v>
      </c>
      <c r="O27" s="11"/>
      <c r="P27" s="6">
        <v>85011.58</v>
      </c>
      <c r="Q27" s="2"/>
      <c r="R27" s="7">
        <f t="shared" si="17"/>
        <v>3.5957984799880891</v>
      </c>
      <c r="S27" s="2"/>
      <c r="T27" s="6">
        <v>90160.21</v>
      </c>
      <c r="U27" s="2"/>
      <c r="V27" s="7">
        <f t="shared" si="18"/>
        <v>3.2624371378478415E-2</v>
      </c>
      <c r="W27" s="2"/>
      <c r="X27" s="6">
        <f t="shared" si="19"/>
        <v>-5148.6300000000047</v>
      </c>
      <c r="Y27" s="2"/>
      <c r="Z27" s="7">
        <f t="shared" si="20"/>
        <v>-5.7105346138834459E-2</v>
      </c>
    </row>
    <row r="28" spans="1:26" s="24" customFormat="1" hidden="1" outlineLevel="2" x14ac:dyDescent="0.25">
      <c r="A28" s="25"/>
      <c r="B28" s="11" t="str">
        <f>CONCATENATE("          ", "6114", " - ", "STATE UNEMPLOYMENT INSURANCE")</f>
        <v xml:space="preserve">          6114 - STATE UNEMPLOYMENT INSURANCE</v>
      </c>
      <c r="C28" s="11"/>
      <c r="D28" s="6">
        <v>125.74</v>
      </c>
      <c r="E28" s="2"/>
      <c r="F28" s="7">
        <f t="shared" si="13"/>
        <v>-0.78489388264669169</v>
      </c>
      <c r="G28" s="2"/>
      <c r="H28" s="6">
        <v>130.76</v>
      </c>
      <c r="I28" s="2"/>
      <c r="J28" s="7">
        <f t="shared" si="14"/>
        <v>4.7722120907402042E-4</v>
      </c>
      <c r="K28" s="2"/>
      <c r="L28" s="6">
        <f t="shared" si="15"/>
        <v>-5.019999999999996</v>
      </c>
      <c r="M28" s="2"/>
      <c r="N28" s="7">
        <f t="shared" si="16"/>
        <v>-3.8390945243193607E-2</v>
      </c>
      <c r="O28" s="11"/>
      <c r="P28" s="6">
        <v>494.93</v>
      </c>
      <c r="Q28" s="2"/>
      <c r="R28" s="7">
        <f t="shared" si="17"/>
        <v>2.0934424953641669E-2</v>
      </c>
      <c r="S28" s="2"/>
      <c r="T28" s="6">
        <v>1517.84</v>
      </c>
      <c r="U28" s="2"/>
      <c r="V28" s="7">
        <f t="shared" si="18"/>
        <v>5.4922871023824888E-4</v>
      </c>
      <c r="W28" s="2"/>
      <c r="X28" s="6">
        <f t="shared" si="19"/>
        <v>-1022.9099999999999</v>
      </c>
      <c r="Y28" s="2"/>
      <c r="Z28" s="7">
        <f t="shared" si="20"/>
        <v>-0.67392478785642751</v>
      </c>
    </row>
    <row r="29" spans="1:26" s="24" customFormat="1" hidden="1" outlineLevel="2" x14ac:dyDescent="0.25">
      <c r="A29" s="25"/>
      <c r="B29" s="11" t="str">
        <f>CONCATENATE("          ", "6115", " - ", "P.E.R.S.")</f>
        <v xml:space="preserve">          6115 - P.E.R.S.</v>
      </c>
      <c r="C29" s="11"/>
      <c r="D29" s="6">
        <v>1343.57</v>
      </c>
      <c r="E29" s="2"/>
      <c r="F29" s="7">
        <f t="shared" si="13"/>
        <v>-8.3868289637952564</v>
      </c>
      <c r="G29" s="2"/>
      <c r="H29" s="6">
        <v>1830.31</v>
      </c>
      <c r="I29" s="2"/>
      <c r="J29" s="7">
        <f t="shared" si="14"/>
        <v>6.6798925602651448E-3</v>
      </c>
      <c r="K29" s="2"/>
      <c r="L29" s="6">
        <f t="shared" si="15"/>
        <v>-486.74</v>
      </c>
      <c r="M29" s="2"/>
      <c r="N29" s="7">
        <f t="shared" si="16"/>
        <v>-0.26593309330113479</v>
      </c>
      <c r="O29" s="11"/>
      <c r="P29" s="6">
        <v>7680.75</v>
      </c>
      <c r="Q29" s="2"/>
      <c r="R29" s="7">
        <f t="shared" si="17"/>
        <v>0.32487843626913554</v>
      </c>
      <c r="S29" s="2"/>
      <c r="T29" s="6">
        <v>9547.65</v>
      </c>
      <c r="U29" s="2"/>
      <c r="V29" s="7">
        <f t="shared" si="18"/>
        <v>3.4548064982516053E-3</v>
      </c>
      <c r="W29" s="2"/>
      <c r="X29" s="6">
        <f t="shared" si="19"/>
        <v>-1866.8999999999996</v>
      </c>
      <c r="Y29" s="2"/>
      <c r="Z29" s="7">
        <f t="shared" si="20"/>
        <v>-0.1955350269438029</v>
      </c>
    </row>
    <row r="30" spans="1:26" s="24" customFormat="1" hidden="1" outlineLevel="2" x14ac:dyDescent="0.25">
      <c r="A30" s="25"/>
      <c r="B30" s="11" t="str">
        <f>CONCATENATE("          ", "6117", " - ", "RETIREMENT STAFF HOURLY")</f>
        <v xml:space="preserve">          6117 - RETIREMENT STAFF HOURLY</v>
      </c>
      <c r="C30" s="11"/>
      <c r="D30" s="6">
        <v>357.29</v>
      </c>
      <c r="E30" s="2"/>
      <c r="F30" s="7">
        <f t="shared" si="13"/>
        <v>-2.2302746566791511</v>
      </c>
      <c r="G30" s="2"/>
      <c r="H30" s="6">
        <v>576.33000000000004</v>
      </c>
      <c r="I30" s="2"/>
      <c r="J30" s="7">
        <f t="shared" si="14"/>
        <v>2.103371821854009E-3</v>
      </c>
      <c r="K30" s="2"/>
      <c r="L30" s="6">
        <f t="shared" si="15"/>
        <v>-219.04000000000002</v>
      </c>
      <c r="M30" s="2"/>
      <c r="N30" s="7">
        <f t="shared" si="16"/>
        <v>-0.38006003504936409</v>
      </c>
      <c r="O30" s="11"/>
      <c r="P30" s="6">
        <v>2746.38</v>
      </c>
      <c r="Q30" s="2"/>
      <c r="R30" s="7">
        <f t="shared" si="17"/>
        <v>0.1161656921265278</v>
      </c>
      <c r="S30" s="2"/>
      <c r="T30" s="6">
        <v>3511.5</v>
      </c>
      <c r="U30" s="2"/>
      <c r="V30" s="7">
        <f t="shared" si="18"/>
        <v>1.2706323565076761E-3</v>
      </c>
      <c r="W30" s="2"/>
      <c r="X30" s="6">
        <f t="shared" si="19"/>
        <v>-765.11999999999989</v>
      </c>
      <c r="Y30" s="2"/>
      <c r="Z30" s="7">
        <f t="shared" si="20"/>
        <v>-0.21788979068774025</v>
      </c>
    </row>
    <row r="31" spans="1:26" s="24" customFormat="1" hidden="1" outlineLevel="2" x14ac:dyDescent="0.25">
      <c r="A31" s="25"/>
      <c r="B31" s="11" t="str">
        <f>CONCATENATE("          ", "6118", " - ", "VACATION")</f>
        <v xml:space="preserve">          6118 - VACATION</v>
      </c>
      <c r="C31" s="11"/>
      <c r="D31" s="6">
        <v>1863.03</v>
      </c>
      <c r="E31" s="2"/>
      <c r="F31" s="7">
        <f t="shared" si="13"/>
        <v>-11.629400749063672</v>
      </c>
      <c r="G31" s="2"/>
      <c r="H31" s="6">
        <v>2186.3000000000002</v>
      </c>
      <c r="I31" s="2"/>
      <c r="J31" s="7">
        <f t="shared" si="14"/>
        <v>7.9791123386244341E-3</v>
      </c>
      <c r="K31" s="2"/>
      <c r="L31" s="6">
        <f t="shared" si="15"/>
        <v>-323.27000000000021</v>
      </c>
      <c r="M31" s="2"/>
      <c r="N31" s="7">
        <f t="shared" si="16"/>
        <v>-0.1478616841238623</v>
      </c>
      <c r="O31" s="11"/>
      <c r="P31" s="6">
        <v>13715.68</v>
      </c>
      <c r="Q31" s="2"/>
      <c r="R31" s="7">
        <f t="shared" si="17"/>
        <v>0.58014239114251298</v>
      </c>
      <c r="S31" s="2"/>
      <c r="T31" s="6">
        <v>18002.670000000002</v>
      </c>
      <c r="U31" s="2"/>
      <c r="V31" s="7">
        <f t="shared" si="18"/>
        <v>6.5142460502719763E-3</v>
      </c>
      <c r="W31" s="2"/>
      <c r="X31" s="6">
        <f t="shared" si="19"/>
        <v>-4286.9900000000016</v>
      </c>
      <c r="Y31" s="2"/>
      <c r="Z31" s="7">
        <f t="shared" si="20"/>
        <v>-0.23813078837750185</v>
      </c>
    </row>
    <row r="32" spans="1:26" s="24" customFormat="1" hidden="1" outlineLevel="2" x14ac:dyDescent="0.25">
      <c r="A32" s="25"/>
      <c r="B32" s="11" t="str">
        <f>CONCATENATE("          ", "6119", " - ", "SICK LEAVE")</f>
        <v xml:space="preserve">          6119 - SICK LEAVE</v>
      </c>
      <c r="C32" s="11"/>
      <c r="D32" s="6">
        <v>1214.78</v>
      </c>
      <c r="E32" s="2"/>
      <c r="F32" s="7">
        <f t="shared" si="13"/>
        <v>-7.582896379525593</v>
      </c>
      <c r="G32" s="2"/>
      <c r="H32" s="6">
        <v>1528.04</v>
      </c>
      <c r="I32" s="2"/>
      <c r="J32" s="7">
        <f t="shared" si="14"/>
        <v>5.5767290938625435E-3</v>
      </c>
      <c r="K32" s="2"/>
      <c r="L32" s="6">
        <f t="shared" si="15"/>
        <v>-313.26</v>
      </c>
      <c r="M32" s="2"/>
      <c r="N32" s="7">
        <f t="shared" si="16"/>
        <v>-0.20500772231093425</v>
      </c>
      <c r="O32" s="11"/>
      <c r="P32" s="6">
        <v>8974.69</v>
      </c>
      <c r="Q32" s="2"/>
      <c r="R32" s="7">
        <f t="shared" si="17"/>
        <v>0.37960918571757291</v>
      </c>
      <c r="S32" s="2"/>
      <c r="T32" s="6">
        <v>16125.92</v>
      </c>
      <c r="U32" s="2"/>
      <c r="V32" s="7">
        <f t="shared" si="18"/>
        <v>5.8351461570423646E-3</v>
      </c>
      <c r="W32" s="2"/>
      <c r="X32" s="6">
        <f t="shared" si="19"/>
        <v>-7151.23</v>
      </c>
      <c r="Y32" s="2"/>
      <c r="Z32" s="7">
        <f t="shared" si="20"/>
        <v>-0.44346183039479298</v>
      </c>
    </row>
    <row r="33" spans="1:26" s="24" customFormat="1" hidden="1" outlineLevel="2" x14ac:dyDescent="0.25">
      <c r="A33" s="25"/>
      <c r="B33" s="11" t="str">
        <f>CONCATENATE("          ", "6156", " - ", "EMPLOYEE MEALS")</f>
        <v xml:space="preserve">          6156 - EMPLOYEE MEALS</v>
      </c>
      <c r="C33" s="11"/>
      <c r="D33" s="6">
        <v>708.56</v>
      </c>
      <c r="E33" s="2"/>
      <c r="F33" s="7">
        <f t="shared" si="13"/>
        <v>-4.4229712858926344</v>
      </c>
      <c r="G33" s="2"/>
      <c r="H33" s="6">
        <v>1548.63</v>
      </c>
      <c r="I33" s="2"/>
      <c r="J33" s="7">
        <f t="shared" si="14"/>
        <v>5.6518742811892042E-3</v>
      </c>
      <c r="K33" s="2"/>
      <c r="L33" s="6">
        <f t="shared" si="15"/>
        <v>-840.07000000000016</v>
      </c>
      <c r="M33" s="2"/>
      <c r="N33" s="7">
        <f t="shared" si="16"/>
        <v>-0.54246010990359228</v>
      </c>
      <c r="O33" s="11"/>
      <c r="P33" s="6">
        <v>5474.07</v>
      </c>
      <c r="Q33" s="2"/>
      <c r="R33" s="7">
        <f t="shared" si="17"/>
        <v>0.23154083932269462</v>
      </c>
      <c r="S33" s="2"/>
      <c r="T33" s="6">
        <v>7846.11</v>
      </c>
      <c r="U33" s="2"/>
      <c r="V33" s="7">
        <f t="shared" si="18"/>
        <v>2.839106148004682E-3</v>
      </c>
      <c r="W33" s="2"/>
      <c r="X33" s="6">
        <f t="shared" si="19"/>
        <v>-2372.04</v>
      </c>
      <c r="Y33" s="2"/>
      <c r="Z33" s="7">
        <f t="shared" si="20"/>
        <v>-0.30232051296757245</v>
      </c>
    </row>
    <row r="34" spans="1:26" s="26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23703.85</v>
      </c>
      <c r="E34" s="1"/>
      <c r="F34" s="5">
        <f t="shared" ref="F34:F40" si="21">IF(D$12=0,0,D34/D$12)</f>
        <v>-147.96410736579276</v>
      </c>
      <c r="G34" s="1"/>
      <c r="H34" s="1">
        <f>SUM(OSRRefH22_1x_0)</f>
        <v>71024.359999999986</v>
      </c>
      <c r="I34" s="1"/>
      <c r="J34" s="5">
        <f t="shared" ref="J34:J40" si="22">IF(H$12=0,0,H34/H$12)</f>
        <v>0.25921023977446078</v>
      </c>
      <c r="K34" s="1"/>
      <c r="L34" s="1">
        <f t="shared" ref="L34:L40" si="23">+D34-H34</f>
        <v>-47320.509999999987</v>
      </c>
      <c r="M34" s="1"/>
      <c r="N34" s="5">
        <f t="shared" ref="N34:N40" si="24">IF(H34=0,0,L34/H34)</f>
        <v>-0.66625746434040367</v>
      </c>
      <c r="O34" s="13"/>
      <c r="P34" s="1">
        <f>SUM(OSRRefP22_1x_0)</f>
        <v>158824.10999999999</v>
      </c>
      <c r="Q34" s="1"/>
      <c r="R34" s="5">
        <f t="shared" ref="R34:R40" si="25">IF(P$12=0,0,P34/P$12)</f>
        <v>6.7179023531083768</v>
      </c>
      <c r="S34" s="1"/>
      <c r="T34" s="1">
        <f>SUM(OSRRefT22_1x_0)</f>
        <v>585375.27</v>
      </c>
      <c r="U34" s="1"/>
      <c r="V34" s="5">
        <f t="shared" ref="V34:V40" si="26">IF(T$12=0,0,T34/T$12)</f>
        <v>0.21181738822765689</v>
      </c>
      <c r="W34" s="1"/>
      <c r="X34" s="1">
        <f t="shared" ref="X34:X40" si="27">+P34-T34</f>
        <v>-426551.16000000003</v>
      </c>
      <c r="Y34" s="1"/>
      <c r="Z34" s="5">
        <f t="shared" ref="Z34:Z40" si="28">IF(T34=0,0,X34/T34)</f>
        <v>-0.72867984327387114</v>
      </c>
    </row>
    <row r="35" spans="1:26" s="24" customFormat="1" hidden="1" outlineLevel="2" x14ac:dyDescent="0.25">
      <c r="A35" s="25"/>
      <c r="B35" s="11" t="str">
        <f>CONCATENATE("          ", "6002", " - ", "STAFF SALARIES")</f>
        <v xml:space="preserve">          6002 - STAFF SALARIES</v>
      </c>
      <c r="C35" s="11"/>
      <c r="D35" s="6">
        <v>9600.02</v>
      </c>
      <c r="E35" s="2"/>
      <c r="F35" s="7">
        <f t="shared" si="21"/>
        <v>-59.925218476903879</v>
      </c>
      <c r="G35" s="2"/>
      <c r="H35" s="6">
        <v>15794.86</v>
      </c>
      <c r="I35" s="2"/>
      <c r="J35" s="7">
        <f t="shared" si="22"/>
        <v>5.7644862238871851E-2</v>
      </c>
      <c r="K35" s="2"/>
      <c r="L35" s="6">
        <f t="shared" si="23"/>
        <v>-6194.84</v>
      </c>
      <c r="M35" s="2"/>
      <c r="N35" s="7">
        <f t="shared" si="24"/>
        <v>-0.39220607210193698</v>
      </c>
      <c r="O35" s="11"/>
      <c r="P35" s="6">
        <v>64350.749999999993</v>
      </c>
      <c r="Q35" s="2"/>
      <c r="R35" s="7">
        <f t="shared" si="25"/>
        <v>2.7218918768018838</v>
      </c>
      <c r="S35" s="2"/>
      <c r="T35" s="6">
        <v>103796.76000000001</v>
      </c>
      <c r="U35" s="2"/>
      <c r="V35" s="7">
        <f t="shared" si="26"/>
        <v>3.7558741778915473E-2</v>
      </c>
      <c r="W35" s="2"/>
      <c r="X35" s="6">
        <f t="shared" si="27"/>
        <v>-39446.010000000017</v>
      </c>
      <c r="Y35" s="2"/>
      <c r="Z35" s="7">
        <f t="shared" si="28"/>
        <v>-0.38003122640822329</v>
      </c>
    </row>
    <row r="36" spans="1:26" s="24" customFormat="1" hidden="1" outlineLevel="2" x14ac:dyDescent="0.25">
      <c r="A36" s="25"/>
      <c r="B36" s="11" t="str">
        <f>CONCATENATE("          ", "6004", " - ", "STAFF HOURLY")</f>
        <v xml:space="preserve">          6004 - STAFF HOURLY</v>
      </c>
      <c r="C36" s="11"/>
      <c r="D36" s="6">
        <v>11503.83</v>
      </c>
      <c r="E36" s="2"/>
      <c r="F36" s="7">
        <f t="shared" si="21"/>
        <v>-71.809176029962558</v>
      </c>
      <c r="G36" s="2"/>
      <c r="H36" s="6">
        <v>15075.409999999998</v>
      </c>
      <c r="I36" s="2"/>
      <c r="J36" s="7">
        <f t="shared" si="22"/>
        <v>5.5019160197970159E-2</v>
      </c>
      <c r="K36" s="2"/>
      <c r="L36" s="6">
        <f t="shared" si="23"/>
        <v>-3571.5799999999981</v>
      </c>
      <c r="M36" s="2"/>
      <c r="N36" s="7">
        <f t="shared" si="24"/>
        <v>-0.23691428624495112</v>
      </c>
      <c r="O36" s="11"/>
      <c r="P36" s="6">
        <v>91873.36</v>
      </c>
      <c r="Q36" s="2"/>
      <c r="R36" s="7">
        <f t="shared" si="25"/>
        <v>3.8860363286907327</v>
      </c>
      <c r="S36" s="2"/>
      <c r="T36" s="6">
        <v>126253.81999999999</v>
      </c>
      <c r="U36" s="2"/>
      <c r="V36" s="7">
        <f t="shared" si="26"/>
        <v>4.5684803880021628E-2</v>
      </c>
      <c r="W36" s="2"/>
      <c r="X36" s="6">
        <f t="shared" si="27"/>
        <v>-34380.459999999992</v>
      </c>
      <c r="Y36" s="2"/>
      <c r="Z36" s="7">
        <f t="shared" si="28"/>
        <v>-0.27231223578027181</v>
      </c>
    </row>
    <row r="37" spans="1:26" s="24" customFormat="1" hidden="1" outlineLevel="2" x14ac:dyDescent="0.25">
      <c r="A37" s="25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1"/>
        <v>0</v>
      </c>
      <c r="G37" s="2"/>
      <c r="H37" s="6">
        <v>4393.49</v>
      </c>
      <c r="I37" s="2"/>
      <c r="J37" s="7">
        <f t="shared" si="22"/>
        <v>1.6034464743458383E-2</v>
      </c>
      <c r="K37" s="2"/>
      <c r="L37" s="6">
        <f t="shared" si="23"/>
        <v>-4393.49</v>
      </c>
      <c r="M37" s="2"/>
      <c r="N37" s="7">
        <f t="shared" si="24"/>
        <v>-1</v>
      </c>
      <c r="O37" s="11"/>
      <c r="P37" s="6"/>
      <c r="Q37" s="2"/>
      <c r="R37" s="7">
        <f t="shared" si="25"/>
        <v>0</v>
      </c>
      <c r="S37" s="2"/>
      <c r="T37" s="6">
        <v>93351.83</v>
      </c>
      <c r="U37" s="2"/>
      <c r="V37" s="7">
        <f t="shared" si="26"/>
        <v>3.3779255513941044E-2</v>
      </c>
      <c r="W37" s="2"/>
      <c r="X37" s="6">
        <f t="shared" si="27"/>
        <v>-93351.83</v>
      </c>
      <c r="Y37" s="2"/>
      <c r="Z37" s="7">
        <f t="shared" si="28"/>
        <v>-1</v>
      </c>
    </row>
    <row r="38" spans="1:26" s="24" customFormat="1" hidden="1" outlineLevel="2" x14ac:dyDescent="0.25">
      <c r="A38" s="25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1"/>
        <v>0</v>
      </c>
      <c r="G38" s="2"/>
      <c r="H38" s="6"/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10133.07</v>
      </c>
      <c r="U38" s="2"/>
      <c r="V38" s="7">
        <f t="shared" si="26"/>
        <v>3.666640071979848E-3</v>
      </c>
      <c r="W38" s="2"/>
      <c r="X38" s="6">
        <f t="shared" si="27"/>
        <v>-10133.07</v>
      </c>
      <c r="Y38" s="2"/>
      <c r="Z38" s="7">
        <f t="shared" si="28"/>
        <v>-1</v>
      </c>
    </row>
    <row r="39" spans="1:26" s="24" customFormat="1" hidden="1" outlineLevel="2" x14ac:dyDescent="0.25">
      <c r="A39" s="25"/>
      <c r="B39" s="11" t="str">
        <f>CONCATENATE("          ", "6007", " - ", "STUDENT HOURLY")</f>
        <v xml:space="preserve">          6007 - STUDENT HOURLY</v>
      </c>
      <c r="C39" s="11"/>
      <c r="D39" s="6">
        <v>2600</v>
      </c>
      <c r="E39" s="2"/>
      <c r="F39" s="7">
        <f t="shared" si="21"/>
        <v>-16.229712858926344</v>
      </c>
      <c r="G39" s="2"/>
      <c r="H39" s="6">
        <v>35045.599999999999</v>
      </c>
      <c r="I39" s="2"/>
      <c r="J39" s="7">
        <f t="shared" si="22"/>
        <v>0.12790229125668776</v>
      </c>
      <c r="K39" s="2"/>
      <c r="L39" s="6">
        <f t="shared" si="23"/>
        <v>-32445.599999999999</v>
      </c>
      <c r="M39" s="2"/>
      <c r="N39" s="7">
        <f t="shared" si="24"/>
        <v>-0.92581094345652526</v>
      </c>
      <c r="O39" s="11"/>
      <c r="P39" s="6">
        <v>2600</v>
      </c>
      <c r="Q39" s="2"/>
      <c r="R39" s="7">
        <f t="shared" si="25"/>
        <v>0.10997414761576049</v>
      </c>
      <c r="S39" s="2"/>
      <c r="T39" s="6">
        <v>232985.29</v>
      </c>
      <c r="U39" s="2"/>
      <c r="V39" s="7">
        <f t="shared" si="26"/>
        <v>8.4305467197586303E-2</v>
      </c>
      <c r="W39" s="2"/>
      <c r="X39" s="6">
        <f t="shared" si="27"/>
        <v>-230385.29</v>
      </c>
      <c r="Y39" s="2"/>
      <c r="Z39" s="7">
        <f t="shared" si="28"/>
        <v>-0.98884049718332001</v>
      </c>
    </row>
    <row r="40" spans="1:26" s="24" customFormat="1" hidden="1" outlineLevel="2" x14ac:dyDescent="0.25">
      <c r="A40" s="25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1"/>
        <v>0</v>
      </c>
      <c r="G40" s="2"/>
      <c r="H40" s="6">
        <v>715</v>
      </c>
      <c r="I40" s="2"/>
      <c r="J40" s="7">
        <f t="shared" si="22"/>
        <v>2.609461337472657E-3</v>
      </c>
      <c r="K40" s="2"/>
      <c r="L40" s="6">
        <f t="shared" si="23"/>
        <v>-715</v>
      </c>
      <c r="M40" s="2"/>
      <c r="N40" s="7">
        <f t="shared" si="24"/>
        <v>-1</v>
      </c>
      <c r="O40" s="11"/>
      <c r="P40" s="6"/>
      <c r="Q40" s="2"/>
      <c r="R40" s="7">
        <f t="shared" si="25"/>
        <v>0</v>
      </c>
      <c r="S40" s="2"/>
      <c r="T40" s="6">
        <v>18854.5</v>
      </c>
      <c r="U40" s="2"/>
      <c r="V40" s="7">
        <f t="shared" si="26"/>
        <v>6.8224797852125809E-3</v>
      </c>
      <c r="W40" s="2"/>
      <c r="X40" s="6">
        <f t="shared" si="27"/>
        <v>-18854.5</v>
      </c>
      <c r="Y40" s="2"/>
      <c r="Z40" s="7">
        <f t="shared" si="28"/>
        <v>-1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2" si="29">IF(D$12=0,0,D41/D$12)</f>
        <v>0</v>
      </c>
      <c r="G41" s="1"/>
      <c r="H41" s="1">
        <f>SUM(OSRRefH22_2x_0)</f>
        <v>89.5</v>
      </c>
      <c r="I41" s="1"/>
      <c r="J41" s="5">
        <f t="shared" ref="J41:J62" si="30">IF(H$12=0,0,H41/H$12)</f>
        <v>3.2663886671860533E-4</v>
      </c>
      <c r="K41" s="1"/>
      <c r="L41" s="1">
        <f t="shared" ref="L41:L62" si="31">+D41-H41</f>
        <v>-89.5</v>
      </c>
      <c r="M41" s="1"/>
      <c r="N41" s="5">
        <f t="shared" ref="N41:N62" si="32">IF(H41=0,0,L41/H41)</f>
        <v>-1</v>
      </c>
      <c r="O41" s="13"/>
      <c r="P41" s="1">
        <f>SUM(OSRRefP22_2x_0)</f>
        <v>204.75</v>
      </c>
      <c r="Q41" s="1"/>
      <c r="R41" s="5">
        <f t="shared" ref="R41:R62" si="33">IF(P$12=0,0,P41/P$12)</f>
        <v>8.660464124741139E-3</v>
      </c>
      <c r="S41" s="1"/>
      <c r="T41" s="1">
        <f>SUM(OSRRefT22_2x_0)</f>
        <v>2772.68</v>
      </c>
      <c r="U41" s="1"/>
      <c r="V41" s="5">
        <f t="shared" ref="V41:V62" si="34">IF(T$12=0,0,T41/T$12)</f>
        <v>1.0032911639589073E-3</v>
      </c>
      <c r="W41" s="1"/>
      <c r="X41" s="1">
        <f t="shared" ref="X41:X62" si="35">+P41-T41</f>
        <v>-2567.9299999999998</v>
      </c>
      <c r="Y41" s="1"/>
      <c r="Z41" s="5">
        <f t="shared" ref="Z41:Z62" si="36">IF(T41=0,0,X41/T41)</f>
        <v>-0.926154478699309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9"/>
        <v>0</v>
      </c>
      <c r="G42" s="2"/>
      <c r="H42" s="6">
        <v>89.5</v>
      </c>
      <c r="I42" s="2"/>
      <c r="J42" s="7">
        <f t="shared" si="30"/>
        <v>3.2663886671860533E-4</v>
      </c>
      <c r="K42" s="2"/>
      <c r="L42" s="6">
        <f t="shared" si="31"/>
        <v>-89.5</v>
      </c>
      <c r="M42" s="2"/>
      <c r="N42" s="7">
        <f t="shared" si="32"/>
        <v>-1</v>
      </c>
      <c r="O42" s="11"/>
      <c r="P42" s="6">
        <v>204.75</v>
      </c>
      <c r="Q42" s="2"/>
      <c r="R42" s="7">
        <f t="shared" si="33"/>
        <v>8.660464124741139E-3</v>
      </c>
      <c r="S42" s="2"/>
      <c r="T42" s="6">
        <v>2772.68</v>
      </c>
      <c r="U42" s="2"/>
      <c r="V42" s="7">
        <f t="shared" si="34"/>
        <v>1.0032911639589073E-3</v>
      </c>
      <c r="W42" s="2"/>
      <c r="X42" s="6">
        <f t="shared" si="35"/>
        <v>-2567.9299999999998</v>
      </c>
      <c r="Y42" s="2"/>
      <c r="Z42" s="7">
        <f t="shared" si="36"/>
        <v>-0.926154478699309</v>
      </c>
    </row>
    <row r="43" spans="1:26" s="26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9"/>
        <v>0</v>
      </c>
      <c r="G43" s="1"/>
      <c r="H43" s="1">
        <f>SUM(OSRRefH22_3x_0)</f>
        <v>-0.1</v>
      </c>
      <c r="I43" s="1"/>
      <c r="J43" s="5">
        <f t="shared" si="30"/>
        <v>-3.6495962761855346E-7</v>
      </c>
      <c r="K43" s="1"/>
      <c r="L43" s="1">
        <f t="shared" si="31"/>
        <v>0.1</v>
      </c>
      <c r="M43" s="1"/>
      <c r="N43" s="5">
        <f t="shared" si="32"/>
        <v>-1</v>
      </c>
      <c r="O43" s="13"/>
      <c r="P43" s="1">
        <f>SUM(OSRRefP22_3x_0)</f>
        <v>0</v>
      </c>
      <c r="Q43" s="1"/>
      <c r="R43" s="5">
        <f t="shared" si="33"/>
        <v>0</v>
      </c>
      <c r="S43" s="1"/>
      <c r="T43" s="1">
        <f>SUM(OSRRefT22_3x_0)</f>
        <v>0.95</v>
      </c>
      <c r="U43" s="1"/>
      <c r="V43" s="5">
        <f t="shared" si="34"/>
        <v>3.4375643989243688E-7</v>
      </c>
      <c r="W43" s="1"/>
      <c r="X43" s="1">
        <f t="shared" si="35"/>
        <v>-0.95</v>
      </c>
      <c r="Y43" s="1"/>
      <c r="Z43" s="5">
        <f t="shared" si="36"/>
        <v>-1</v>
      </c>
    </row>
    <row r="44" spans="1:26" s="24" customFormat="1" hidden="1" outlineLevel="2" x14ac:dyDescent="0.25">
      <c r="A44" s="25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9"/>
        <v>0</v>
      </c>
      <c r="G44" s="2"/>
      <c r="H44" s="6">
        <v>-0.1</v>
      </c>
      <c r="I44" s="2"/>
      <c r="J44" s="7">
        <f t="shared" si="30"/>
        <v>-3.6495962761855346E-7</v>
      </c>
      <c r="K44" s="2"/>
      <c r="L44" s="6">
        <f t="shared" si="31"/>
        <v>0.1</v>
      </c>
      <c r="M44" s="2"/>
      <c r="N44" s="7">
        <f t="shared" si="32"/>
        <v>-1</v>
      </c>
      <c r="O44" s="11"/>
      <c r="P44" s="6"/>
      <c r="Q44" s="2"/>
      <c r="R44" s="7">
        <f t="shared" si="33"/>
        <v>0</v>
      </c>
      <c r="S44" s="2"/>
      <c r="T44" s="6">
        <v>0.95</v>
      </c>
      <c r="U44" s="2"/>
      <c r="V44" s="7">
        <f t="shared" si="34"/>
        <v>3.4375643989243688E-7</v>
      </c>
      <c r="W44" s="2"/>
      <c r="X44" s="6">
        <f t="shared" si="35"/>
        <v>-0.95</v>
      </c>
      <c r="Y44" s="2"/>
      <c r="Z44" s="7">
        <f t="shared" si="36"/>
        <v>-1</v>
      </c>
    </row>
    <row r="45" spans="1:26" s="26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0</v>
      </c>
      <c r="E45" s="1"/>
      <c r="F45" s="5">
        <f t="shared" si="29"/>
        <v>0</v>
      </c>
      <c r="G45" s="1"/>
      <c r="H45" s="1">
        <f>SUM(OSRRefH22_4x_0)</f>
        <v>74.16</v>
      </c>
      <c r="I45" s="1"/>
      <c r="J45" s="5">
        <f t="shared" si="30"/>
        <v>2.7065405984191924E-4</v>
      </c>
      <c r="K45" s="1"/>
      <c r="L45" s="1">
        <f t="shared" si="31"/>
        <v>-74.16</v>
      </c>
      <c r="M45" s="1"/>
      <c r="N45" s="5">
        <f t="shared" si="32"/>
        <v>-1</v>
      </c>
      <c r="O45" s="13"/>
      <c r="P45" s="1">
        <f>SUM(OSRRefP22_4x_0)</f>
        <v>0</v>
      </c>
      <c r="Q45" s="1"/>
      <c r="R45" s="5">
        <f t="shared" si="33"/>
        <v>0</v>
      </c>
      <c r="S45" s="1"/>
      <c r="T45" s="1">
        <f>SUM(OSRRefT22_4x_0)</f>
        <v>1603.16</v>
      </c>
      <c r="U45" s="1"/>
      <c r="V45" s="5">
        <f t="shared" si="34"/>
        <v>5.8010165702943072E-4</v>
      </c>
      <c r="W45" s="1"/>
      <c r="X45" s="1">
        <f t="shared" si="35"/>
        <v>-1603.16</v>
      </c>
      <c r="Y45" s="1"/>
      <c r="Z45" s="5">
        <f t="shared" si="36"/>
        <v>-1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29"/>
        <v>0</v>
      </c>
      <c r="G46" s="2"/>
      <c r="H46" s="6">
        <v>74.16</v>
      </c>
      <c r="I46" s="2"/>
      <c r="J46" s="7">
        <f t="shared" si="30"/>
        <v>2.7065405984191924E-4</v>
      </c>
      <c r="K46" s="2"/>
      <c r="L46" s="6">
        <f t="shared" si="31"/>
        <v>-74.16</v>
      </c>
      <c r="M46" s="2"/>
      <c r="N46" s="7">
        <f t="shared" si="32"/>
        <v>-1</v>
      </c>
      <c r="O46" s="11"/>
      <c r="P46" s="6"/>
      <c r="Q46" s="2"/>
      <c r="R46" s="7">
        <f t="shared" si="33"/>
        <v>0</v>
      </c>
      <c r="S46" s="2"/>
      <c r="T46" s="6">
        <v>1603.16</v>
      </c>
      <c r="U46" s="2"/>
      <c r="V46" s="7">
        <f t="shared" si="34"/>
        <v>5.8010165702943072E-4</v>
      </c>
      <c r="W46" s="2"/>
      <c r="X46" s="6">
        <f t="shared" si="35"/>
        <v>-1603.16</v>
      </c>
      <c r="Y46" s="2"/>
      <c r="Z46" s="7">
        <f t="shared" si="36"/>
        <v>-1</v>
      </c>
    </row>
    <row r="47" spans="1:26" s="26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272.74</v>
      </c>
      <c r="E47" s="1"/>
      <c r="F47" s="5">
        <f t="shared" si="29"/>
        <v>-1.7024968789013735</v>
      </c>
      <c r="G47" s="1"/>
      <c r="H47" s="1">
        <f>SUM(OSRRefH22_5x_0)</f>
        <v>0</v>
      </c>
      <c r="I47" s="1"/>
      <c r="J47" s="5">
        <f t="shared" si="30"/>
        <v>0</v>
      </c>
      <c r="K47" s="1"/>
      <c r="L47" s="1">
        <f t="shared" si="31"/>
        <v>272.74</v>
      </c>
      <c r="M47" s="1"/>
      <c r="N47" s="5">
        <f t="shared" si="32"/>
        <v>0</v>
      </c>
      <c r="O47" s="13"/>
      <c r="P47" s="1">
        <f>SUM(OSRRefP22_5x_0)</f>
        <v>1644.96</v>
      </c>
      <c r="Q47" s="1"/>
      <c r="R47" s="5">
        <f t="shared" si="33"/>
        <v>6.957810533154668E-2</v>
      </c>
      <c r="S47" s="1"/>
      <c r="T47" s="1">
        <f>SUM(OSRRefT22_5x_0)</f>
        <v>0</v>
      </c>
      <c r="U47" s="1"/>
      <c r="V47" s="5">
        <f t="shared" si="34"/>
        <v>0</v>
      </c>
      <c r="W47" s="1"/>
      <c r="X47" s="1">
        <f t="shared" si="35"/>
        <v>1644.96</v>
      </c>
      <c r="Y47" s="1"/>
      <c r="Z47" s="5">
        <f t="shared" si="36"/>
        <v>0</v>
      </c>
    </row>
    <row r="48" spans="1:26" s="24" customFormat="1" hidden="1" outlineLevel="2" x14ac:dyDescent="0.25">
      <c r="A48" s="25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272.74</v>
      </c>
      <c r="E48" s="2"/>
      <c r="F48" s="7">
        <f t="shared" si="29"/>
        <v>-1.7024968789013735</v>
      </c>
      <c r="G48" s="2"/>
      <c r="H48" s="6"/>
      <c r="I48" s="2"/>
      <c r="J48" s="7">
        <f t="shared" si="30"/>
        <v>0</v>
      </c>
      <c r="K48" s="2"/>
      <c r="L48" s="6">
        <f t="shared" si="31"/>
        <v>272.74</v>
      </c>
      <c r="M48" s="2"/>
      <c r="N48" s="7">
        <f t="shared" si="32"/>
        <v>0</v>
      </c>
      <c r="O48" s="11"/>
      <c r="P48" s="6">
        <v>1644.96</v>
      </c>
      <c r="Q48" s="2"/>
      <c r="R48" s="7">
        <f t="shared" si="33"/>
        <v>6.957810533154668E-2</v>
      </c>
      <c r="S48" s="2"/>
      <c r="T48" s="6"/>
      <c r="U48" s="2"/>
      <c r="V48" s="7">
        <f t="shared" si="34"/>
        <v>0</v>
      </c>
      <c r="W48" s="2"/>
      <c r="X48" s="6">
        <f t="shared" si="35"/>
        <v>1644.96</v>
      </c>
      <c r="Y48" s="2"/>
      <c r="Z48" s="7">
        <f t="shared" si="36"/>
        <v>0</v>
      </c>
    </row>
    <row r="49" spans="1:26" s="26" customFormat="1" outlineLevel="1" collapsed="1" x14ac:dyDescent="0.25">
      <c r="A49" s="27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SUM(OSRRefD22_6x_0)</f>
        <v>0</v>
      </c>
      <c r="E49" s="1"/>
      <c r="F49" s="5">
        <f t="shared" si="29"/>
        <v>0</v>
      </c>
      <c r="G49" s="1"/>
      <c r="H49" s="1">
        <f>SUM(OSRRefH22_6x_0)</f>
        <v>5622.6</v>
      </c>
      <c r="I49" s="1"/>
      <c r="J49" s="5">
        <f t="shared" si="30"/>
        <v>2.0520220022480787E-2</v>
      </c>
      <c r="K49" s="1"/>
      <c r="L49" s="1">
        <f t="shared" si="31"/>
        <v>-5622.6</v>
      </c>
      <c r="M49" s="1"/>
      <c r="N49" s="5">
        <f t="shared" si="32"/>
        <v>-1</v>
      </c>
      <c r="O49" s="13"/>
      <c r="P49" s="1">
        <f>SUM(OSRRefP22_6x_0)</f>
        <v>0</v>
      </c>
      <c r="Q49" s="1"/>
      <c r="R49" s="5">
        <f t="shared" si="33"/>
        <v>0</v>
      </c>
      <c r="S49" s="1"/>
      <c r="T49" s="1">
        <f>SUM(OSRRefT22_6x_0)</f>
        <v>51870.28</v>
      </c>
      <c r="U49" s="1"/>
      <c r="V49" s="5">
        <f t="shared" si="34"/>
        <v>1.8769202935814602E-2</v>
      </c>
      <c r="W49" s="1"/>
      <c r="X49" s="1">
        <f t="shared" si="35"/>
        <v>-51870.28</v>
      </c>
      <c r="Y49" s="1"/>
      <c r="Z49" s="5">
        <f t="shared" si="36"/>
        <v>-1</v>
      </c>
    </row>
    <row r="50" spans="1:26" s="24" customFormat="1" hidden="1" outlineLevel="2" x14ac:dyDescent="0.25">
      <c r="A50" s="25"/>
      <c r="B50" s="11" t="str">
        <f>CONCATENATE("          ", "6399", " - ", "DONATION-ON CAMPUS")</f>
        <v xml:space="preserve">          6399 - DONATION-ON CAMPUS</v>
      </c>
      <c r="C50" s="11"/>
      <c r="D50" s="6"/>
      <c r="E50" s="2"/>
      <c r="F50" s="7">
        <f t="shared" si="29"/>
        <v>0</v>
      </c>
      <c r="G50" s="2"/>
      <c r="H50" s="6">
        <v>5622.6</v>
      </c>
      <c r="I50" s="2"/>
      <c r="J50" s="7">
        <f t="shared" si="30"/>
        <v>2.0520220022480787E-2</v>
      </c>
      <c r="K50" s="2"/>
      <c r="L50" s="6">
        <f t="shared" si="31"/>
        <v>-5622.6</v>
      </c>
      <c r="M50" s="2"/>
      <c r="N50" s="7">
        <f t="shared" si="32"/>
        <v>-1</v>
      </c>
      <c r="O50" s="11"/>
      <c r="P50" s="6"/>
      <c r="Q50" s="2"/>
      <c r="R50" s="7">
        <f t="shared" si="33"/>
        <v>0</v>
      </c>
      <c r="S50" s="2"/>
      <c r="T50" s="6">
        <v>51870.28</v>
      </c>
      <c r="U50" s="2"/>
      <c r="V50" s="7">
        <f t="shared" si="34"/>
        <v>1.8769202935814602E-2</v>
      </c>
      <c r="W50" s="2"/>
      <c r="X50" s="6">
        <f t="shared" si="35"/>
        <v>-51870.28</v>
      </c>
      <c r="Y50" s="2"/>
      <c r="Z50" s="7">
        <f t="shared" si="36"/>
        <v>-1</v>
      </c>
    </row>
    <row r="51" spans="1:26" s="26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SUM(OSRRefD22_7x_0)</f>
        <v>0</v>
      </c>
      <c r="E51" s="1"/>
      <c r="F51" s="5">
        <f t="shared" si="29"/>
        <v>0</v>
      </c>
      <c r="G51" s="1"/>
      <c r="H51" s="1">
        <f>SUM(OSRRefH22_7x_0)</f>
        <v>85.92</v>
      </c>
      <c r="I51" s="1"/>
      <c r="J51" s="5">
        <f t="shared" si="30"/>
        <v>3.1357331204986109E-4</v>
      </c>
      <c r="K51" s="1"/>
      <c r="L51" s="1">
        <f t="shared" si="31"/>
        <v>-85.92</v>
      </c>
      <c r="M51" s="1"/>
      <c r="N51" s="5">
        <f t="shared" si="32"/>
        <v>-1</v>
      </c>
      <c r="O51" s="13"/>
      <c r="P51" s="1">
        <f>SUM(OSRRefP22_7x_0)</f>
        <v>0</v>
      </c>
      <c r="Q51" s="1"/>
      <c r="R51" s="5">
        <f t="shared" si="33"/>
        <v>0</v>
      </c>
      <c r="S51" s="1"/>
      <c r="T51" s="1">
        <f>SUM(OSRRefT22_7x_0)</f>
        <v>172.29</v>
      </c>
      <c r="U51" s="1"/>
      <c r="V51" s="5">
        <f t="shared" si="34"/>
        <v>6.2342944241124154E-5</v>
      </c>
      <c r="W51" s="1"/>
      <c r="X51" s="1">
        <f t="shared" si="35"/>
        <v>-172.29</v>
      </c>
      <c r="Y51" s="1"/>
      <c r="Z51" s="5">
        <f t="shared" si="36"/>
        <v>-1</v>
      </c>
    </row>
    <row r="52" spans="1:26" s="24" customFormat="1" hidden="1" outlineLevel="2" x14ac:dyDescent="0.25">
      <c r="A52" s="25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9"/>
        <v>0</v>
      </c>
      <c r="G52" s="2"/>
      <c r="H52" s="6">
        <v>85.92</v>
      </c>
      <c r="I52" s="2"/>
      <c r="J52" s="7">
        <f t="shared" si="30"/>
        <v>3.1357331204986109E-4</v>
      </c>
      <c r="K52" s="2"/>
      <c r="L52" s="6">
        <f t="shared" si="31"/>
        <v>-85.92</v>
      </c>
      <c r="M52" s="2"/>
      <c r="N52" s="7">
        <f t="shared" si="32"/>
        <v>-1</v>
      </c>
      <c r="O52" s="11"/>
      <c r="P52" s="6"/>
      <c r="Q52" s="2"/>
      <c r="R52" s="7">
        <f t="shared" si="33"/>
        <v>0</v>
      </c>
      <c r="S52" s="2"/>
      <c r="T52" s="6">
        <v>172.29</v>
      </c>
      <c r="U52" s="2"/>
      <c r="V52" s="7">
        <f t="shared" si="34"/>
        <v>6.2342944241124154E-5</v>
      </c>
      <c r="W52" s="2"/>
      <c r="X52" s="6">
        <f t="shared" si="35"/>
        <v>-172.29</v>
      </c>
      <c r="Y52" s="2"/>
      <c r="Z52" s="7">
        <f t="shared" si="36"/>
        <v>-1</v>
      </c>
    </row>
    <row r="53" spans="1:26" s="26" customFormat="1" outlineLevel="1" collapsed="1" x14ac:dyDescent="0.25">
      <c r="A53" s="27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SUM(OSRRefD22_8x_0)</f>
        <v>107.89</v>
      </c>
      <c r="E53" s="1"/>
      <c r="F53" s="5">
        <f t="shared" si="29"/>
        <v>-0.67347066167290892</v>
      </c>
      <c r="G53" s="1"/>
      <c r="H53" s="1">
        <f>SUM(OSRRefH22_8x_0)</f>
        <v>589.26</v>
      </c>
      <c r="I53" s="1"/>
      <c r="J53" s="5">
        <f t="shared" si="30"/>
        <v>2.150561101705088E-3</v>
      </c>
      <c r="K53" s="1"/>
      <c r="L53" s="1">
        <f t="shared" si="31"/>
        <v>-481.37</v>
      </c>
      <c r="M53" s="1"/>
      <c r="N53" s="5">
        <f t="shared" si="32"/>
        <v>-0.81690594983538678</v>
      </c>
      <c r="O53" s="13"/>
      <c r="P53" s="1">
        <f>SUM(OSRRefP22_8x_0)</f>
        <v>1494.56</v>
      </c>
      <c r="Q53" s="1"/>
      <c r="R53" s="5">
        <f t="shared" si="33"/>
        <v>6.321652386946576E-2</v>
      </c>
      <c r="S53" s="1"/>
      <c r="T53" s="1">
        <f>SUM(OSRRefT22_8x_0)</f>
        <v>1869.32</v>
      </c>
      <c r="U53" s="1"/>
      <c r="V53" s="5">
        <f t="shared" si="34"/>
        <v>6.7641135602076856E-4</v>
      </c>
      <c r="W53" s="1"/>
      <c r="X53" s="1">
        <f t="shared" si="35"/>
        <v>-374.76</v>
      </c>
      <c r="Y53" s="1"/>
      <c r="Z53" s="5">
        <f t="shared" si="36"/>
        <v>-0.20047931868272956</v>
      </c>
    </row>
    <row r="54" spans="1:26" s="24" customFormat="1" hidden="1" outlineLevel="2" x14ac:dyDescent="0.25">
      <c r="A54" s="25"/>
      <c r="B54" s="11" t="str">
        <f>CONCATENATE("          ", "6351", " - ", "EQUIPMENT RENTAL")</f>
        <v xml:space="preserve">          6351 - EQUIPMENT RENTAL</v>
      </c>
      <c r="C54" s="11"/>
      <c r="D54" s="6">
        <v>107.89</v>
      </c>
      <c r="E54" s="2"/>
      <c r="F54" s="7">
        <f t="shared" si="29"/>
        <v>-0.67347066167290892</v>
      </c>
      <c r="G54" s="2"/>
      <c r="H54" s="6">
        <v>589.26</v>
      </c>
      <c r="I54" s="2"/>
      <c r="J54" s="7">
        <f t="shared" si="30"/>
        <v>2.150561101705088E-3</v>
      </c>
      <c r="K54" s="2"/>
      <c r="L54" s="6">
        <f t="shared" si="31"/>
        <v>-481.37</v>
      </c>
      <c r="M54" s="2"/>
      <c r="N54" s="7">
        <f t="shared" si="32"/>
        <v>-0.81690594983538678</v>
      </c>
      <c r="O54" s="11"/>
      <c r="P54" s="6">
        <v>1494.56</v>
      </c>
      <c r="Q54" s="2"/>
      <c r="R54" s="7">
        <f t="shared" si="33"/>
        <v>6.321652386946576E-2</v>
      </c>
      <c r="S54" s="2"/>
      <c r="T54" s="6">
        <v>1869.32</v>
      </c>
      <c r="U54" s="2"/>
      <c r="V54" s="7">
        <f t="shared" si="34"/>
        <v>6.7641135602076856E-4</v>
      </c>
      <c r="W54" s="2"/>
      <c r="X54" s="6">
        <f t="shared" si="35"/>
        <v>-374.76</v>
      </c>
      <c r="Y54" s="2"/>
      <c r="Z54" s="7">
        <f t="shared" si="36"/>
        <v>-0.20047931868272956</v>
      </c>
    </row>
    <row r="55" spans="1:26" s="26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0</v>
      </c>
      <c r="E55" s="1"/>
      <c r="F55" s="5">
        <f t="shared" si="29"/>
        <v>0</v>
      </c>
      <c r="G55" s="1"/>
      <c r="H55" s="1">
        <f>SUM(OSRRefH22_9x_0)</f>
        <v>540.25</v>
      </c>
      <c r="I55" s="1"/>
      <c r="J55" s="5">
        <f t="shared" si="30"/>
        <v>1.9716943882092347E-3</v>
      </c>
      <c r="K55" s="1"/>
      <c r="L55" s="1">
        <f t="shared" si="31"/>
        <v>-540.25</v>
      </c>
      <c r="M55" s="1"/>
      <c r="N55" s="5">
        <f t="shared" si="32"/>
        <v>-1</v>
      </c>
      <c r="O55" s="13"/>
      <c r="P55" s="1">
        <f>SUM(OSRRefP22_9x_0)</f>
        <v>3828.45</v>
      </c>
      <c r="Q55" s="1"/>
      <c r="R55" s="5">
        <f t="shared" si="33"/>
        <v>0.16193481747675317</v>
      </c>
      <c r="S55" s="1"/>
      <c r="T55" s="1">
        <f>SUM(OSRRefT22_9x_0)</f>
        <v>2391.19</v>
      </c>
      <c r="U55" s="1"/>
      <c r="V55" s="5">
        <f t="shared" si="34"/>
        <v>8.6524943316462766E-4</v>
      </c>
      <c r="W55" s="1"/>
      <c r="X55" s="1">
        <f t="shared" si="35"/>
        <v>1437.2599999999998</v>
      </c>
      <c r="Y55" s="1"/>
      <c r="Z55" s="5">
        <f t="shared" si="36"/>
        <v>0.60106474182310887</v>
      </c>
    </row>
    <row r="56" spans="1:26" s="24" customFormat="1" hidden="1" outlineLevel="2" x14ac:dyDescent="0.25">
      <c r="A56" s="25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9"/>
        <v>0</v>
      </c>
      <c r="G56" s="2"/>
      <c r="H56" s="6">
        <v>540.25</v>
      </c>
      <c r="I56" s="2"/>
      <c r="J56" s="7">
        <f t="shared" si="30"/>
        <v>1.9716943882092347E-3</v>
      </c>
      <c r="K56" s="2"/>
      <c r="L56" s="6">
        <f t="shared" si="31"/>
        <v>-540.25</v>
      </c>
      <c r="M56" s="2"/>
      <c r="N56" s="7">
        <f t="shared" si="32"/>
        <v>-1</v>
      </c>
      <c r="O56" s="11"/>
      <c r="P56" s="6">
        <v>3828.45</v>
      </c>
      <c r="Q56" s="2"/>
      <c r="R56" s="7">
        <f t="shared" si="33"/>
        <v>0.16193481747675317</v>
      </c>
      <c r="S56" s="2"/>
      <c r="T56" s="6">
        <v>2391.19</v>
      </c>
      <c r="U56" s="2"/>
      <c r="V56" s="7">
        <f t="shared" si="34"/>
        <v>8.6524943316462766E-4</v>
      </c>
      <c r="W56" s="2"/>
      <c r="X56" s="6">
        <f t="shared" si="35"/>
        <v>1437.2599999999998</v>
      </c>
      <c r="Y56" s="2"/>
      <c r="Z56" s="7">
        <f t="shared" si="36"/>
        <v>0.60106474182310887</v>
      </c>
    </row>
    <row r="57" spans="1:26" s="26" customFormat="1" outlineLevel="1" collapsed="1" x14ac:dyDescent="0.25">
      <c r="A57" s="27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-12.82</v>
      </c>
      <c r="E57" s="1"/>
      <c r="F57" s="5">
        <f t="shared" si="29"/>
        <v>8.0024968789013745E-2</v>
      </c>
      <c r="G57" s="1"/>
      <c r="H57" s="1">
        <f>SUM(OSRRefH22_10x_0)</f>
        <v>22068.31</v>
      </c>
      <c r="I57" s="1"/>
      <c r="J57" s="5">
        <f t="shared" si="30"/>
        <v>8.0540421997707987E-2</v>
      </c>
      <c r="K57" s="1"/>
      <c r="L57" s="1">
        <f t="shared" si="31"/>
        <v>-22081.13</v>
      </c>
      <c r="M57" s="1"/>
      <c r="N57" s="5">
        <f t="shared" si="32"/>
        <v>-1.0005809235052434</v>
      </c>
      <c r="O57" s="13"/>
      <c r="P57" s="1">
        <f>SUM(OSRRefP22_10x_0)</f>
        <v>1899.35</v>
      </c>
      <c r="Q57" s="1"/>
      <c r="R57" s="5">
        <f t="shared" si="33"/>
        <v>8.0338229720767179E-2</v>
      </c>
      <c r="S57" s="1"/>
      <c r="T57" s="1">
        <f>SUM(OSRRefT22_10x_0)</f>
        <v>213574.03</v>
      </c>
      <c r="U57" s="1"/>
      <c r="V57" s="5">
        <f t="shared" si="34"/>
        <v>7.72815244276637E-2</v>
      </c>
      <c r="W57" s="1"/>
      <c r="X57" s="1">
        <f t="shared" si="35"/>
        <v>-211674.68</v>
      </c>
      <c r="Y57" s="1"/>
      <c r="Z57" s="5">
        <f t="shared" si="36"/>
        <v>-0.9911068307321822</v>
      </c>
    </row>
    <row r="58" spans="1:26" s="24" customFormat="1" hidden="1" outlineLevel="2" x14ac:dyDescent="0.25">
      <c r="A58" s="25"/>
      <c r="B58" s="11" t="str">
        <f>CONCATENATE("          ", "6387", " - ", "COMMISSION DUE HOUSING")</f>
        <v xml:space="preserve">          6387 - COMMISSION DUE HOUSING</v>
      </c>
      <c r="C58" s="11"/>
      <c r="D58" s="6">
        <v>-12.82</v>
      </c>
      <c r="E58" s="2"/>
      <c r="F58" s="7">
        <f t="shared" si="29"/>
        <v>8.0024968789013745E-2</v>
      </c>
      <c r="G58" s="2"/>
      <c r="H58" s="6">
        <v>22068.31</v>
      </c>
      <c r="I58" s="2"/>
      <c r="J58" s="7">
        <f t="shared" si="30"/>
        <v>8.0540421997707987E-2</v>
      </c>
      <c r="K58" s="2"/>
      <c r="L58" s="6">
        <f t="shared" si="31"/>
        <v>-22081.13</v>
      </c>
      <c r="M58" s="2"/>
      <c r="N58" s="7">
        <f t="shared" si="32"/>
        <v>-1.0005809235052434</v>
      </c>
      <c r="O58" s="11"/>
      <c r="P58" s="6">
        <v>1899.35</v>
      </c>
      <c r="Q58" s="2"/>
      <c r="R58" s="7">
        <f t="shared" si="33"/>
        <v>8.0338229720767179E-2</v>
      </c>
      <c r="S58" s="2"/>
      <c r="T58" s="6">
        <v>213574.03</v>
      </c>
      <c r="U58" s="2"/>
      <c r="V58" s="7">
        <f t="shared" si="34"/>
        <v>7.72815244276637E-2</v>
      </c>
      <c r="W58" s="2"/>
      <c r="X58" s="6">
        <f t="shared" si="35"/>
        <v>-211674.68</v>
      </c>
      <c r="Y58" s="2"/>
      <c r="Z58" s="7">
        <f t="shared" si="36"/>
        <v>-0.9911068307321822</v>
      </c>
    </row>
    <row r="59" spans="1:26" s="26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19</v>
      </c>
      <c r="E59" s="1"/>
      <c r="F59" s="5">
        <f t="shared" si="29"/>
        <v>-0.11860174781523097</v>
      </c>
      <c r="G59" s="1"/>
      <c r="H59" s="1">
        <f>SUM(OSRRefH22_11x_0)</f>
        <v>0</v>
      </c>
      <c r="I59" s="1"/>
      <c r="J59" s="5">
        <f t="shared" si="30"/>
        <v>0</v>
      </c>
      <c r="K59" s="1"/>
      <c r="L59" s="1">
        <f t="shared" si="31"/>
        <v>19</v>
      </c>
      <c r="M59" s="1"/>
      <c r="N59" s="5">
        <f t="shared" si="32"/>
        <v>0</v>
      </c>
      <c r="O59" s="13"/>
      <c r="P59" s="1">
        <f>SUM(OSRRefP22_11x_0)</f>
        <v>1260.8499999999999</v>
      </c>
      <c r="Q59" s="1"/>
      <c r="R59" s="5">
        <f t="shared" si="33"/>
        <v>5.3331116931281383E-2</v>
      </c>
      <c r="S59" s="1"/>
      <c r="T59" s="1">
        <f>SUM(OSRRefT22_11x_0)</f>
        <v>8530.3700000000008</v>
      </c>
      <c r="U59" s="1"/>
      <c r="V59" s="5">
        <f t="shared" si="34"/>
        <v>3.0867048654371022E-3</v>
      </c>
      <c r="W59" s="1"/>
      <c r="X59" s="1">
        <f t="shared" si="35"/>
        <v>-7269.52</v>
      </c>
      <c r="Y59" s="1"/>
      <c r="Z59" s="5">
        <f t="shared" si="36"/>
        <v>-0.85219281226957322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9"/>
        <v>0</v>
      </c>
      <c r="G60" s="2"/>
      <c r="H60" s="6"/>
      <c r="I60" s="2"/>
      <c r="J60" s="7">
        <f t="shared" si="30"/>
        <v>0</v>
      </c>
      <c r="K60" s="2"/>
      <c r="L60" s="6">
        <f t="shared" si="31"/>
        <v>0</v>
      </c>
      <c r="M60" s="2"/>
      <c r="N60" s="7">
        <f t="shared" si="32"/>
        <v>0</v>
      </c>
      <c r="O60" s="11"/>
      <c r="P60" s="6"/>
      <c r="Q60" s="2"/>
      <c r="R60" s="7">
        <f t="shared" si="33"/>
        <v>0</v>
      </c>
      <c r="S60" s="2"/>
      <c r="T60" s="6">
        <v>8238.75</v>
      </c>
      <c r="U60" s="2"/>
      <c r="V60" s="7">
        <f t="shared" si="34"/>
        <v>2.9811824938566467E-3</v>
      </c>
      <c r="W60" s="2"/>
      <c r="X60" s="6">
        <f t="shared" si="35"/>
        <v>-8238.75</v>
      </c>
      <c r="Y60" s="2"/>
      <c r="Z60" s="7">
        <f t="shared" si="36"/>
        <v>-1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9"/>
        <v>0</v>
      </c>
      <c r="G61" s="2"/>
      <c r="H61" s="6"/>
      <c r="I61" s="2"/>
      <c r="J61" s="7">
        <f t="shared" si="30"/>
        <v>0</v>
      </c>
      <c r="K61" s="2"/>
      <c r="L61" s="6">
        <f t="shared" si="31"/>
        <v>0</v>
      </c>
      <c r="M61" s="2"/>
      <c r="N61" s="7">
        <f t="shared" si="32"/>
        <v>0</v>
      </c>
      <c r="O61" s="11"/>
      <c r="P61" s="6">
        <v>1241.8499999999999</v>
      </c>
      <c r="Q61" s="2"/>
      <c r="R61" s="7">
        <f t="shared" si="33"/>
        <v>5.2527459698704676E-2</v>
      </c>
      <c r="S61" s="2"/>
      <c r="T61" s="6">
        <v>139.84</v>
      </c>
      <c r="U61" s="2"/>
      <c r="V61" s="7">
        <f t="shared" si="34"/>
        <v>5.0600947952166711E-5</v>
      </c>
      <c r="W61" s="2"/>
      <c r="X61" s="6">
        <f t="shared" si="35"/>
        <v>1102.01</v>
      </c>
      <c r="Y61" s="2"/>
      <c r="Z61" s="7">
        <f t="shared" si="36"/>
        <v>7.880506292906178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19</v>
      </c>
      <c r="E62" s="2"/>
      <c r="F62" s="7">
        <f t="shared" si="29"/>
        <v>-0.11860174781523097</v>
      </c>
      <c r="G62" s="2"/>
      <c r="H62" s="6"/>
      <c r="I62" s="2"/>
      <c r="J62" s="7">
        <f t="shared" si="30"/>
        <v>0</v>
      </c>
      <c r="K62" s="2"/>
      <c r="L62" s="6">
        <f t="shared" si="31"/>
        <v>19</v>
      </c>
      <c r="M62" s="2"/>
      <c r="N62" s="7">
        <f t="shared" si="32"/>
        <v>0</v>
      </c>
      <c r="O62" s="11"/>
      <c r="P62" s="6">
        <v>19</v>
      </c>
      <c r="Q62" s="2"/>
      <c r="R62" s="7">
        <f t="shared" si="33"/>
        <v>8.036572325767113E-4</v>
      </c>
      <c r="S62" s="2"/>
      <c r="T62" s="6">
        <v>151.78</v>
      </c>
      <c r="U62" s="2"/>
      <c r="V62" s="7">
        <f t="shared" si="34"/>
        <v>5.49214236282885E-5</v>
      </c>
      <c r="W62" s="2"/>
      <c r="X62" s="6">
        <f t="shared" si="35"/>
        <v>-132.78</v>
      </c>
      <c r="Y62" s="2"/>
      <c r="Z62" s="7">
        <f t="shared" si="36"/>
        <v>-0.87481881670839368</v>
      </c>
    </row>
    <row r="63" spans="1:26" s="26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5900.0599999999995</v>
      </c>
      <c r="E63" s="1"/>
      <c r="F63" s="5">
        <f t="shared" ref="F63:F66" si="37">IF(D$12=0,0,D63/D$12)</f>
        <v>-36.829338327091136</v>
      </c>
      <c r="G63" s="1"/>
      <c r="H63" s="1">
        <f>SUM(OSRRefH22_12x_0)</f>
        <v>5745.24</v>
      </c>
      <c r="I63" s="1"/>
      <c r="J63" s="5">
        <f t="shared" ref="J63:J66" si="38">IF(H$12=0,0,H63/H$12)</f>
        <v>2.0967806509792179E-2</v>
      </c>
      <c r="K63" s="1"/>
      <c r="L63" s="1">
        <f t="shared" ref="L63:L66" si="39">+D63-H63</f>
        <v>154.81999999999971</v>
      </c>
      <c r="M63" s="1"/>
      <c r="N63" s="5">
        <f t="shared" ref="N63:N66" si="40">IF(H63=0,0,L63/H63)</f>
        <v>2.6947525255689879E-2</v>
      </c>
      <c r="O63" s="13"/>
      <c r="P63" s="1">
        <f>SUM(OSRRefP22_12x_0)</f>
        <v>41407.64</v>
      </c>
      <c r="Q63" s="1"/>
      <c r="R63" s="5">
        <f t="shared" ref="R63:R66" si="41">IF(P$12=0,0,P63/P$12)</f>
        <v>1.7514499668385648</v>
      </c>
      <c r="S63" s="1"/>
      <c r="T63" s="1">
        <f>SUM(OSRRefT22_12x_0)</f>
        <v>43853.45</v>
      </c>
      <c r="U63" s="1"/>
      <c r="V63" s="5">
        <f t="shared" ref="V63:V66" si="42">IF(T$12=0,0,T63/T$12)</f>
        <v>1.5868321946316828E-2</v>
      </c>
      <c r="W63" s="1"/>
      <c r="X63" s="1">
        <f t="shared" ref="X63:X66" si="43">+P63-T63</f>
        <v>-2445.8099999999977</v>
      </c>
      <c r="Y63" s="1"/>
      <c r="Z63" s="5">
        <f t="shared" ref="Z63:Z66" si="44">IF(T63=0,0,X63/T63)</f>
        <v>-5.5772350864071077E-2</v>
      </c>
    </row>
    <row r="64" spans="1:26" s="24" customFormat="1" hidden="1" outlineLevel="2" x14ac:dyDescent="0.25">
      <c r="A64" s="25"/>
      <c r="B64" s="11" t="str">
        <f>CONCATENATE("          ", "6282", " - ", "JANITORIAL/EXTERMINATOR EXPENS")</f>
        <v xml:space="preserve">          6282 - JANITORIAL/EXTERMINATOR EXPENS</v>
      </c>
      <c r="C64" s="11"/>
      <c r="D64" s="6">
        <v>1251.96</v>
      </c>
      <c r="E64" s="2"/>
      <c r="F64" s="7">
        <f t="shared" si="37"/>
        <v>-7.8149812734082404</v>
      </c>
      <c r="G64" s="2"/>
      <c r="H64" s="6"/>
      <c r="I64" s="2"/>
      <c r="J64" s="7">
        <f t="shared" si="38"/>
        <v>0</v>
      </c>
      <c r="K64" s="2"/>
      <c r="L64" s="6">
        <f t="shared" si="39"/>
        <v>1251.96</v>
      </c>
      <c r="M64" s="2"/>
      <c r="N64" s="7">
        <f t="shared" si="40"/>
        <v>0</v>
      </c>
      <c r="O64" s="11"/>
      <c r="P64" s="6">
        <v>3009.62</v>
      </c>
      <c r="Q64" s="2"/>
      <c r="R64" s="7">
        <f t="shared" si="41"/>
        <v>0.12730015159513272</v>
      </c>
      <c r="S64" s="2"/>
      <c r="T64" s="6">
        <v>3041.24</v>
      </c>
      <c r="U64" s="2"/>
      <c r="V64" s="7">
        <f t="shared" si="42"/>
        <v>1.1004693002720787E-3</v>
      </c>
      <c r="W64" s="2"/>
      <c r="X64" s="6">
        <f t="shared" si="43"/>
        <v>-31.619999999999891</v>
      </c>
      <c r="Y64" s="2"/>
      <c r="Z64" s="7">
        <f t="shared" si="44"/>
        <v>-1.0397074877352624E-2</v>
      </c>
    </row>
    <row r="65" spans="1:26" s="24" customFormat="1" hidden="1" outlineLevel="2" x14ac:dyDescent="0.25">
      <c r="A65" s="25"/>
      <c r="B65" s="11" t="str">
        <f>CONCATENATE("          ", "6285", " - ", "JANITORIAL SERVICES")</f>
        <v xml:space="preserve">          6285 - JANITORIAL SERVICES</v>
      </c>
      <c r="C65" s="11"/>
      <c r="D65" s="6">
        <v>4428.8599999999997</v>
      </c>
      <c r="E65" s="2"/>
      <c r="F65" s="7">
        <f t="shared" si="37"/>
        <v>-27.6458177278402</v>
      </c>
      <c r="G65" s="2"/>
      <c r="H65" s="6">
        <v>4157.05</v>
      </c>
      <c r="I65" s="2"/>
      <c r="J65" s="7">
        <f t="shared" si="38"/>
        <v>1.5171554199917076E-2</v>
      </c>
      <c r="K65" s="2"/>
      <c r="L65" s="6">
        <f t="shared" si="39"/>
        <v>271.80999999999949</v>
      </c>
      <c r="M65" s="2"/>
      <c r="N65" s="7">
        <f t="shared" si="40"/>
        <v>6.5385309293850086E-2</v>
      </c>
      <c r="O65" s="11"/>
      <c r="P65" s="6">
        <v>33528.21</v>
      </c>
      <c r="Q65" s="2"/>
      <c r="R65" s="7">
        <f t="shared" si="41"/>
        <v>1.4181678137816218</v>
      </c>
      <c r="S65" s="2"/>
      <c r="T65" s="6">
        <v>28706.43</v>
      </c>
      <c r="U65" s="2"/>
      <c r="V65" s="7">
        <f t="shared" si="42"/>
        <v>1.0387389661917313E-2</v>
      </c>
      <c r="W65" s="2"/>
      <c r="X65" s="6">
        <f t="shared" si="43"/>
        <v>4821.7799999999988</v>
      </c>
      <c r="Y65" s="2"/>
      <c r="Z65" s="7">
        <f t="shared" si="44"/>
        <v>0.16796863977861401</v>
      </c>
    </row>
    <row r="66" spans="1:26" s="24" customFormat="1" hidden="1" outlineLevel="2" x14ac:dyDescent="0.25">
      <c r="A66" s="25"/>
      <c r="B66" s="11" t="str">
        <f>CONCATENATE("          ", "6286", " - ", "LAUNDRY EXPENSE")</f>
        <v xml:space="preserve">          6286 - LAUNDRY EXPENSE</v>
      </c>
      <c r="C66" s="11"/>
      <c r="D66" s="6">
        <v>219.24</v>
      </c>
      <c r="E66" s="2"/>
      <c r="F66" s="7">
        <f t="shared" si="37"/>
        <v>-1.3685393258426968</v>
      </c>
      <c r="G66" s="2"/>
      <c r="H66" s="6">
        <v>1588.19</v>
      </c>
      <c r="I66" s="2"/>
      <c r="J66" s="7">
        <f t="shared" si="38"/>
        <v>5.7962523098751039E-3</v>
      </c>
      <c r="K66" s="2"/>
      <c r="L66" s="6">
        <f t="shared" si="39"/>
        <v>-1368.95</v>
      </c>
      <c r="M66" s="2"/>
      <c r="N66" s="7">
        <f t="shared" si="40"/>
        <v>-0.86195606319143181</v>
      </c>
      <c r="O66" s="11"/>
      <c r="P66" s="6">
        <v>4869.8100000000004</v>
      </c>
      <c r="Q66" s="2"/>
      <c r="R66" s="7">
        <f t="shared" si="41"/>
        <v>0.20598200146181023</v>
      </c>
      <c r="S66" s="2"/>
      <c r="T66" s="6">
        <v>12105.78</v>
      </c>
      <c r="U66" s="2"/>
      <c r="V66" s="7">
        <f t="shared" si="42"/>
        <v>4.3804629841274366E-3</v>
      </c>
      <c r="W66" s="2"/>
      <c r="X66" s="6">
        <f t="shared" si="43"/>
        <v>-7235.97</v>
      </c>
      <c r="Y66" s="2"/>
      <c r="Z66" s="7">
        <f t="shared" si="44"/>
        <v>-0.59772852306914548</v>
      </c>
    </row>
    <row r="67" spans="1:26" s="26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803.65</v>
      </c>
      <c r="E67" s="1"/>
      <c r="F67" s="5">
        <f t="shared" ref="F67:F75" si="45">IF(D$12=0,0,D67/D$12)</f>
        <v>-5.0165418227215985</v>
      </c>
      <c r="G67" s="1"/>
      <c r="H67" s="1">
        <f>SUM(OSRRefH22_13x_0)</f>
        <v>6911.77</v>
      </c>
      <c r="I67" s="1"/>
      <c r="J67" s="5">
        <f t="shared" ref="J67:J75" si="46">IF(H$12=0,0,H67/H$12)</f>
        <v>2.5225170053850891E-2</v>
      </c>
      <c r="K67" s="1"/>
      <c r="L67" s="1">
        <f t="shared" ref="L67:L75" si="47">+D67-H67</f>
        <v>-6108.1200000000008</v>
      </c>
      <c r="M67" s="1"/>
      <c r="N67" s="5">
        <f t="shared" ref="N67:N75" si="48">IF(H67=0,0,L67/H67)</f>
        <v>-0.88372732310247604</v>
      </c>
      <c r="O67" s="13"/>
      <c r="P67" s="1">
        <f>SUM(OSRRefP22_13x_0)</f>
        <v>10125.33</v>
      </c>
      <c r="Q67" s="1"/>
      <c r="R67" s="5">
        <f t="shared" ref="R67:R75" si="49">IF(P$12=0,0,P67/P$12)</f>
        <v>0.42827866772241852</v>
      </c>
      <c r="S67" s="1"/>
      <c r="T67" s="1">
        <f>SUM(OSRRefT22_13x_0)</f>
        <v>46576.53</v>
      </c>
      <c r="U67" s="1"/>
      <c r="V67" s="5">
        <f t="shared" ref="V67:V75" si="50">IF(T$12=0,0,T67/T$12)</f>
        <v>1.685366540562451E-2</v>
      </c>
      <c r="W67" s="1"/>
      <c r="X67" s="1">
        <f t="shared" ref="X67:X75" si="51">+P67-T67</f>
        <v>-36451.199999999997</v>
      </c>
      <c r="Y67" s="1"/>
      <c r="Z67" s="5">
        <f t="shared" ref="Z67:Z75" si="52">IF(T67=0,0,X67/T67)</f>
        <v>-0.78260875166097599</v>
      </c>
    </row>
    <row r="68" spans="1:26" s="24" customFormat="1" hidden="1" outlineLevel="2" x14ac:dyDescent="0.25">
      <c r="A68" s="25"/>
      <c r="B68" s="11" t="str">
        <f>CONCATENATE("          ", "6235", " - ", "COVID-19 EXPENSES")</f>
        <v xml:space="preserve">          6235 - COVID-19 EXPENSES</v>
      </c>
      <c r="C68" s="11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1"/>
      <c r="P68" s="6">
        <v>1375.08</v>
      </c>
      <c r="Q68" s="2"/>
      <c r="R68" s="7">
        <f t="shared" si="49"/>
        <v>5.8162788809030738E-2</v>
      </c>
      <c r="S68" s="2"/>
      <c r="T68" s="6"/>
      <c r="U68" s="2"/>
      <c r="V68" s="7">
        <f t="shared" si="50"/>
        <v>0</v>
      </c>
      <c r="W68" s="2"/>
      <c r="X68" s="6">
        <f t="shared" si="51"/>
        <v>1375.08</v>
      </c>
      <c r="Y68" s="2"/>
      <c r="Z68" s="7">
        <f t="shared" si="52"/>
        <v>0</v>
      </c>
    </row>
    <row r="69" spans="1:26" s="24" customFormat="1" hidden="1" outlineLevel="2" x14ac:dyDescent="0.25">
      <c r="A69" s="25"/>
      <c r="B69" s="11" t="str">
        <f>CONCATENATE("          ", "6237", " - ", "JANITORIAL SUPPLIES")</f>
        <v xml:space="preserve">          6237 - JANITORIAL SUPPLIES</v>
      </c>
      <c r="C69" s="11"/>
      <c r="D69" s="6">
        <v>803.65</v>
      </c>
      <c r="E69" s="2"/>
      <c r="F69" s="7">
        <f t="shared" si="45"/>
        <v>-5.0165418227215985</v>
      </c>
      <c r="G69" s="2"/>
      <c r="H69" s="6">
        <v>2044.11</v>
      </c>
      <c r="I69" s="2"/>
      <c r="J69" s="7">
        <f t="shared" si="46"/>
        <v>7.4601762441136119E-3</v>
      </c>
      <c r="K69" s="2"/>
      <c r="L69" s="6">
        <f t="shared" si="47"/>
        <v>-1240.46</v>
      </c>
      <c r="M69" s="2"/>
      <c r="N69" s="7">
        <f t="shared" si="48"/>
        <v>-0.60684601122248805</v>
      </c>
      <c r="O69" s="11"/>
      <c r="P69" s="6">
        <v>4689.93</v>
      </c>
      <c r="Q69" s="2"/>
      <c r="R69" s="7">
        <f t="shared" si="49"/>
        <v>0.19837348235676294</v>
      </c>
      <c r="S69" s="2"/>
      <c r="T69" s="6">
        <v>20333.580000000002</v>
      </c>
      <c r="U69" s="2"/>
      <c r="V69" s="7">
        <f t="shared" si="50"/>
        <v>7.357683232703219E-3</v>
      </c>
      <c r="W69" s="2"/>
      <c r="X69" s="6">
        <f t="shared" si="51"/>
        <v>-15643.650000000001</v>
      </c>
      <c r="Y69" s="2"/>
      <c r="Z69" s="7">
        <f t="shared" si="52"/>
        <v>-0.76935050296111163</v>
      </c>
    </row>
    <row r="70" spans="1:26" s="24" customFormat="1" hidden="1" outlineLevel="2" x14ac:dyDescent="0.25">
      <c r="A70" s="25"/>
      <c r="B70" s="11" t="str">
        <f>CONCATENATE("          ", "6239", " - ", "KITCHEN SUPPLIES")</f>
        <v xml:space="preserve">          6239 - KITCHEN SUPPLIES</v>
      </c>
      <c r="C70" s="11"/>
      <c r="D70" s="6"/>
      <c r="E70" s="2"/>
      <c r="F70" s="7">
        <f t="shared" si="45"/>
        <v>0</v>
      </c>
      <c r="G70" s="2"/>
      <c r="H70" s="6">
        <v>1630.06</v>
      </c>
      <c r="I70" s="2"/>
      <c r="J70" s="7">
        <f t="shared" si="46"/>
        <v>5.9490609059589918E-3</v>
      </c>
      <c r="K70" s="2"/>
      <c r="L70" s="6">
        <f t="shared" si="47"/>
        <v>-1630.06</v>
      </c>
      <c r="M70" s="2"/>
      <c r="N70" s="7">
        <f t="shared" si="48"/>
        <v>-1</v>
      </c>
      <c r="O70" s="11"/>
      <c r="P70" s="6">
        <v>1031.07</v>
      </c>
      <c r="Q70" s="2"/>
      <c r="R70" s="7">
        <f t="shared" si="49"/>
        <v>4.3611940146993135E-2</v>
      </c>
      <c r="S70" s="2"/>
      <c r="T70" s="6">
        <v>4825.76</v>
      </c>
      <c r="U70" s="2"/>
      <c r="V70" s="7">
        <f t="shared" si="50"/>
        <v>1.7461958709213963E-3</v>
      </c>
      <c r="W70" s="2"/>
      <c r="X70" s="6">
        <f t="shared" si="51"/>
        <v>-3794.6900000000005</v>
      </c>
      <c r="Y70" s="2"/>
      <c r="Z70" s="7">
        <f t="shared" si="52"/>
        <v>-0.78634038990749655</v>
      </c>
    </row>
    <row r="71" spans="1:26" s="24" customFormat="1" hidden="1" outlineLevel="2" x14ac:dyDescent="0.25">
      <c r="A71" s="25"/>
      <c r="B71" s="11" t="str">
        <f>CONCATENATE("          ", "6241", " - ", "OFFICE EXPENSE")</f>
        <v xml:space="preserve">          6241 - OFFICE EXPENSE</v>
      </c>
      <c r="C71" s="11"/>
      <c r="D71" s="6"/>
      <c r="E71" s="2"/>
      <c r="F71" s="7">
        <f t="shared" si="45"/>
        <v>0</v>
      </c>
      <c r="G71" s="2"/>
      <c r="H71" s="6">
        <v>346.61</v>
      </c>
      <c r="I71" s="2"/>
      <c r="J71" s="7">
        <f t="shared" si="46"/>
        <v>1.2649865652886682E-3</v>
      </c>
      <c r="K71" s="2"/>
      <c r="L71" s="6">
        <f t="shared" si="47"/>
        <v>-346.61</v>
      </c>
      <c r="M71" s="2"/>
      <c r="N71" s="7">
        <f t="shared" si="48"/>
        <v>-1</v>
      </c>
      <c r="O71" s="11"/>
      <c r="P71" s="6">
        <v>19.7</v>
      </c>
      <c r="Q71" s="2"/>
      <c r="R71" s="7">
        <f t="shared" si="49"/>
        <v>8.3326565693480064E-4</v>
      </c>
      <c r="S71" s="2"/>
      <c r="T71" s="6">
        <v>1761.86</v>
      </c>
      <c r="U71" s="2"/>
      <c r="V71" s="7">
        <f t="shared" si="50"/>
        <v>6.375270749356725E-4</v>
      </c>
      <c r="W71" s="2"/>
      <c r="X71" s="6">
        <f t="shared" si="51"/>
        <v>-1742.1599999999999</v>
      </c>
      <c r="Y71" s="2"/>
      <c r="Z71" s="7">
        <f t="shared" si="52"/>
        <v>-0.98881863485180432</v>
      </c>
    </row>
    <row r="72" spans="1:26" s="24" customFormat="1" hidden="1" outlineLevel="2" x14ac:dyDescent="0.25">
      <c r="A72" s="25"/>
      <c r="B72" s="11" t="str">
        <f>CONCATENATE("          ", "6243", " - ", "PAPER SUPPLIES")</f>
        <v xml:space="preserve">          6243 - PAPER SUPPLIES</v>
      </c>
      <c r="C72" s="11"/>
      <c r="D72" s="6"/>
      <c r="E72" s="2"/>
      <c r="F72" s="7">
        <f t="shared" si="45"/>
        <v>0</v>
      </c>
      <c r="G72" s="2"/>
      <c r="H72" s="6">
        <v>2161.3200000000002</v>
      </c>
      <c r="I72" s="2"/>
      <c r="J72" s="7">
        <f t="shared" si="46"/>
        <v>7.8879454236453189E-3</v>
      </c>
      <c r="K72" s="2"/>
      <c r="L72" s="6">
        <f t="shared" si="47"/>
        <v>-2161.3200000000002</v>
      </c>
      <c r="M72" s="2"/>
      <c r="N72" s="7">
        <f t="shared" si="48"/>
        <v>-1</v>
      </c>
      <c r="O72" s="11"/>
      <c r="P72" s="6">
        <v>3009.55</v>
      </c>
      <c r="Q72" s="2"/>
      <c r="R72" s="7">
        <f t="shared" si="49"/>
        <v>0.12729719075269691</v>
      </c>
      <c r="S72" s="2"/>
      <c r="T72" s="6">
        <v>17179.740000000002</v>
      </c>
      <c r="U72" s="2"/>
      <c r="V72" s="7">
        <f t="shared" si="50"/>
        <v>6.2164697480817837E-3</v>
      </c>
      <c r="W72" s="2"/>
      <c r="X72" s="6">
        <f t="shared" si="51"/>
        <v>-14170.190000000002</v>
      </c>
      <c r="Y72" s="2"/>
      <c r="Z72" s="7">
        <f t="shared" si="52"/>
        <v>-0.82481981683075534</v>
      </c>
    </row>
    <row r="73" spans="1:26" s="24" customFormat="1" hidden="1" outlineLevel="2" x14ac:dyDescent="0.25">
      <c r="A73" s="25"/>
      <c r="B73" s="11" t="str">
        <f>CONCATENATE("          ", "6245", " - ", "PRINTING")</f>
        <v xml:space="preserve">          6245 - PRINTING</v>
      </c>
      <c r="C73" s="11"/>
      <c r="D73" s="6"/>
      <c r="E73" s="2"/>
      <c r="F73" s="7">
        <f t="shared" si="45"/>
        <v>0</v>
      </c>
      <c r="G73" s="2"/>
      <c r="H73" s="6"/>
      <c r="I73" s="2"/>
      <c r="J73" s="7">
        <f t="shared" si="46"/>
        <v>0</v>
      </c>
      <c r="K73" s="2"/>
      <c r="L73" s="6">
        <f t="shared" si="47"/>
        <v>0</v>
      </c>
      <c r="M73" s="2"/>
      <c r="N73" s="7">
        <f t="shared" si="48"/>
        <v>0</v>
      </c>
      <c r="O73" s="11"/>
      <c r="P73" s="6"/>
      <c r="Q73" s="2"/>
      <c r="R73" s="7">
        <f t="shared" si="49"/>
        <v>0</v>
      </c>
      <c r="S73" s="2"/>
      <c r="T73" s="6">
        <v>441</v>
      </c>
      <c r="U73" s="2"/>
      <c r="V73" s="7">
        <f t="shared" si="50"/>
        <v>1.5957535788691017E-4</v>
      </c>
      <c r="W73" s="2"/>
      <c r="X73" s="6">
        <f t="shared" si="51"/>
        <v>-441</v>
      </c>
      <c r="Y73" s="2"/>
      <c r="Z73" s="7">
        <f t="shared" si="52"/>
        <v>-1</v>
      </c>
    </row>
    <row r="74" spans="1:26" s="24" customFormat="1" hidden="1" outlineLevel="2" x14ac:dyDescent="0.25">
      <c r="A74" s="25"/>
      <c r="B74" s="11" t="str">
        <f>CONCATENATE("          ", "6247", " - ", "STORE SUPPLIES")</f>
        <v xml:space="preserve">          6247 - STORE SUPPLIES</v>
      </c>
      <c r="C74" s="11"/>
      <c r="D74" s="6"/>
      <c r="E74" s="2"/>
      <c r="F74" s="7">
        <f t="shared" si="45"/>
        <v>0</v>
      </c>
      <c r="G74" s="2"/>
      <c r="H74" s="6"/>
      <c r="I74" s="2"/>
      <c r="J74" s="7">
        <f t="shared" si="46"/>
        <v>0</v>
      </c>
      <c r="K74" s="2"/>
      <c r="L74" s="6">
        <f t="shared" si="47"/>
        <v>0</v>
      </c>
      <c r="M74" s="2"/>
      <c r="N74" s="7">
        <f t="shared" si="48"/>
        <v>0</v>
      </c>
      <c r="O74" s="11"/>
      <c r="P74" s="6"/>
      <c r="Q74" s="2"/>
      <c r="R74" s="7">
        <f t="shared" si="49"/>
        <v>0</v>
      </c>
      <c r="S74" s="2"/>
      <c r="T74" s="6">
        <v>82.5</v>
      </c>
      <c r="U74" s="2"/>
      <c r="V74" s="7">
        <f t="shared" si="50"/>
        <v>2.9852532938027417E-5</v>
      </c>
      <c r="W74" s="2"/>
      <c r="X74" s="6">
        <f t="shared" si="51"/>
        <v>-82.5</v>
      </c>
      <c r="Y74" s="2"/>
      <c r="Z74" s="7">
        <f t="shared" si="52"/>
        <v>-1</v>
      </c>
    </row>
    <row r="75" spans="1:26" s="24" customFormat="1" hidden="1" outlineLevel="2" x14ac:dyDescent="0.25">
      <c r="A75" s="25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45"/>
        <v>0</v>
      </c>
      <c r="G75" s="2"/>
      <c r="H75" s="6">
        <v>729.67</v>
      </c>
      <c r="I75" s="2"/>
      <c r="J75" s="7">
        <f t="shared" si="46"/>
        <v>2.6630009148442988E-3</v>
      </c>
      <c r="K75" s="2"/>
      <c r="L75" s="6">
        <f t="shared" si="47"/>
        <v>-729.67</v>
      </c>
      <c r="M75" s="2"/>
      <c r="N75" s="7">
        <f t="shared" si="48"/>
        <v>-1</v>
      </c>
      <c r="O75" s="11"/>
      <c r="P75" s="6"/>
      <c r="Q75" s="2"/>
      <c r="R75" s="7">
        <f t="shared" si="49"/>
        <v>0</v>
      </c>
      <c r="S75" s="2"/>
      <c r="T75" s="6">
        <v>1952.09</v>
      </c>
      <c r="U75" s="2"/>
      <c r="V75" s="7">
        <f t="shared" si="50"/>
        <v>7.0636158815750227E-4</v>
      </c>
      <c r="W75" s="2"/>
      <c r="X75" s="6">
        <f t="shared" si="51"/>
        <v>-1952.09</v>
      </c>
      <c r="Y75" s="2"/>
      <c r="Z75" s="7">
        <f t="shared" si="52"/>
        <v>-1</v>
      </c>
    </row>
    <row r="76" spans="1:26" s="26" customFormat="1" outlineLevel="1" collapsed="1" x14ac:dyDescent="0.25">
      <c r="A76" s="27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SUM(OSRRefD22_14x_0)</f>
        <v>89</v>
      </c>
      <c r="E76" s="1"/>
      <c r="F76" s="5">
        <f t="shared" ref="F76:F81" si="53">IF(D$12=0,0,D76/D$12)</f>
        <v>-0.55555555555555558</v>
      </c>
      <c r="G76" s="1"/>
      <c r="H76" s="1">
        <f>SUM(OSRRefH22_14x_0)</f>
        <v>193.15</v>
      </c>
      <c r="I76" s="1"/>
      <c r="J76" s="5">
        <f t="shared" ref="J76:J81" si="54">IF(H$12=0,0,H76/H$12)</f>
        <v>7.0491952074523592E-4</v>
      </c>
      <c r="K76" s="1"/>
      <c r="L76" s="1">
        <f t="shared" ref="L76:L81" si="55">+D76-H76</f>
        <v>-104.15</v>
      </c>
      <c r="M76" s="1"/>
      <c r="N76" s="5">
        <f t="shared" ref="N76:N81" si="56">IF(H76=0,0,L76/H76)</f>
        <v>-0.53921822417809995</v>
      </c>
      <c r="O76" s="13"/>
      <c r="P76" s="1">
        <f>SUM(OSRRefP22_14x_0)</f>
        <v>1009</v>
      </c>
      <c r="Q76" s="1"/>
      <c r="R76" s="5">
        <f t="shared" ref="R76:R81" si="57">IF(P$12=0,0,P76/P$12)</f>
        <v>4.2678428824731669E-2</v>
      </c>
      <c r="S76" s="1"/>
      <c r="T76" s="1">
        <f>SUM(OSRRefT22_14x_0)</f>
        <v>1316.4</v>
      </c>
      <c r="U76" s="1"/>
      <c r="V76" s="5">
        <f t="shared" ref="V76:V81" si="58">IF(T$12=0,0,T76/T$12)</f>
        <v>4.7633787102568839E-4</v>
      </c>
      <c r="W76" s="1"/>
      <c r="X76" s="1">
        <f t="shared" ref="X76:X81" si="59">+P76-T76</f>
        <v>-307.40000000000009</v>
      </c>
      <c r="Y76" s="1"/>
      <c r="Z76" s="5">
        <f t="shared" ref="Z76:Z81" si="60">IF(T76=0,0,X76/T76)</f>
        <v>-0.23351564873898517</v>
      </c>
    </row>
    <row r="77" spans="1:26" s="24" customFormat="1" hidden="1" outlineLevel="2" x14ac:dyDescent="0.25">
      <c r="A77" s="25"/>
      <c r="B77" s="11" t="str">
        <f>CONCATENATE("          ", "6309", " - ", "TELEPHONE")</f>
        <v xml:space="preserve">          6309 - TELEPHONE</v>
      </c>
      <c r="C77" s="11"/>
      <c r="D77" s="6">
        <v>89</v>
      </c>
      <c r="E77" s="2"/>
      <c r="F77" s="7">
        <f t="shared" si="53"/>
        <v>-0.55555555555555558</v>
      </c>
      <c r="G77" s="2"/>
      <c r="H77" s="6">
        <v>193.15</v>
      </c>
      <c r="I77" s="2"/>
      <c r="J77" s="7">
        <f t="shared" si="54"/>
        <v>7.0491952074523592E-4</v>
      </c>
      <c r="K77" s="2"/>
      <c r="L77" s="6">
        <f t="shared" si="55"/>
        <v>-104.15</v>
      </c>
      <c r="M77" s="2"/>
      <c r="N77" s="7">
        <f t="shared" si="56"/>
        <v>-0.53921822417809995</v>
      </c>
      <c r="O77" s="11"/>
      <c r="P77" s="6">
        <v>1009</v>
      </c>
      <c r="Q77" s="2"/>
      <c r="R77" s="7">
        <f t="shared" si="57"/>
        <v>4.2678428824731669E-2</v>
      </c>
      <c r="S77" s="2"/>
      <c r="T77" s="6">
        <v>1316.4</v>
      </c>
      <c r="U77" s="2"/>
      <c r="V77" s="7">
        <f t="shared" si="58"/>
        <v>4.7633787102568839E-4</v>
      </c>
      <c r="W77" s="2"/>
      <c r="X77" s="6">
        <f t="shared" si="59"/>
        <v>-307.40000000000009</v>
      </c>
      <c r="Y77" s="2"/>
      <c r="Z77" s="7">
        <f t="shared" si="60"/>
        <v>-0.23351564873898517</v>
      </c>
    </row>
    <row r="78" spans="1:26" s="26" customFormat="1" outlineLevel="1" collapsed="1" x14ac:dyDescent="0.25">
      <c r="A78" s="27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SUM(OSRRefD22_15x_0)</f>
        <v>0</v>
      </c>
      <c r="E78" s="1"/>
      <c r="F78" s="5">
        <f t="shared" si="53"/>
        <v>0</v>
      </c>
      <c r="G78" s="1"/>
      <c r="H78" s="1">
        <f>SUM(OSRRefH22_15x_0)</f>
        <v>0</v>
      </c>
      <c r="I78" s="1"/>
      <c r="J78" s="5">
        <f t="shared" si="54"/>
        <v>0</v>
      </c>
      <c r="K78" s="1"/>
      <c r="L78" s="1">
        <f t="shared" si="55"/>
        <v>0</v>
      </c>
      <c r="M78" s="1"/>
      <c r="N78" s="5">
        <f t="shared" si="56"/>
        <v>0</v>
      </c>
      <c r="O78" s="13"/>
      <c r="P78" s="1">
        <f>SUM(OSRRefP22_15x_0)</f>
        <v>0</v>
      </c>
      <c r="Q78" s="1"/>
      <c r="R78" s="5">
        <f t="shared" si="57"/>
        <v>0</v>
      </c>
      <c r="S78" s="1"/>
      <c r="T78" s="1">
        <f>SUM(OSRRefT22_15x_0)</f>
        <v>617.37</v>
      </c>
      <c r="U78" s="1"/>
      <c r="V78" s="5">
        <f t="shared" si="58"/>
        <v>2.2339464557515133E-4</v>
      </c>
      <c r="W78" s="1"/>
      <c r="X78" s="1">
        <f t="shared" si="59"/>
        <v>-617.37</v>
      </c>
      <c r="Y78" s="1"/>
      <c r="Z78" s="5">
        <f t="shared" si="60"/>
        <v>-1</v>
      </c>
    </row>
    <row r="79" spans="1:26" s="24" customFormat="1" hidden="1" outlineLevel="2" x14ac:dyDescent="0.25">
      <c r="A79" s="25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53"/>
        <v>0</v>
      </c>
      <c r="G79" s="2"/>
      <c r="H79" s="6"/>
      <c r="I79" s="2"/>
      <c r="J79" s="7">
        <f t="shared" si="54"/>
        <v>0</v>
      </c>
      <c r="K79" s="2"/>
      <c r="L79" s="6">
        <f t="shared" si="55"/>
        <v>0</v>
      </c>
      <c r="M79" s="2"/>
      <c r="N79" s="7">
        <f t="shared" si="56"/>
        <v>0</v>
      </c>
      <c r="O79" s="11"/>
      <c r="P79" s="6"/>
      <c r="Q79" s="2"/>
      <c r="R79" s="7">
        <f t="shared" si="57"/>
        <v>0</v>
      </c>
      <c r="S79" s="2"/>
      <c r="T79" s="6">
        <v>617.37</v>
      </c>
      <c r="U79" s="2"/>
      <c r="V79" s="7">
        <f t="shared" si="58"/>
        <v>2.2339464557515133E-4</v>
      </c>
      <c r="W79" s="2"/>
      <c r="X79" s="6">
        <f t="shared" si="59"/>
        <v>-617.37</v>
      </c>
      <c r="Y79" s="2"/>
      <c r="Z79" s="7">
        <f t="shared" si="60"/>
        <v>-1</v>
      </c>
    </row>
    <row r="80" spans="1:26" s="26" customFormat="1" outlineLevel="1" collapsed="1" x14ac:dyDescent="0.25">
      <c r="A80" s="27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SUM(OSRRefD22_16x_0)</f>
        <v>0</v>
      </c>
      <c r="E80" s="1"/>
      <c r="F80" s="5">
        <f t="shared" si="53"/>
        <v>0</v>
      </c>
      <c r="G80" s="1"/>
      <c r="H80" s="1">
        <f>SUM(OSRRefH22_16x_0)</f>
        <v>0</v>
      </c>
      <c r="I80" s="1"/>
      <c r="J80" s="5">
        <f t="shared" si="54"/>
        <v>0</v>
      </c>
      <c r="K80" s="1"/>
      <c r="L80" s="1">
        <f t="shared" si="55"/>
        <v>0</v>
      </c>
      <c r="M80" s="1"/>
      <c r="N80" s="5">
        <f t="shared" si="56"/>
        <v>0</v>
      </c>
      <c r="O80" s="13"/>
      <c r="P80" s="1">
        <f>SUM(OSRRefP22_16x_0)</f>
        <v>0</v>
      </c>
      <c r="Q80" s="1"/>
      <c r="R80" s="5">
        <f t="shared" si="57"/>
        <v>0</v>
      </c>
      <c r="S80" s="1"/>
      <c r="T80" s="1">
        <f>SUM(OSRRefT22_16x_0)</f>
        <v>1429.86</v>
      </c>
      <c r="U80" s="1"/>
      <c r="V80" s="5">
        <f t="shared" si="58"/>
        <v>5.1739324541536826E-4</v>
      </c>
      <c r="W80" s="1"/>
      <c r="X80" s="1">
        <f t="shared" si="59"/>
        <v>-1429.86</v>
      </c>
      <c r="Y80" s="1"/>
      <c r="Z80" s="5">
        <f t="shared" si="60"/>
        <v>-1</v>
      </c>
    </row>
    <row r="81" spans="1:26" s="24" customFormat="1" hidden="1" outlineLevel="2" x14ac:dyDescent="0.25">
      <c r="A81" s="25"/>
      <c r="B81" s="11" t="str">
        <f>CONCATENATE("          ", "6292", " - ", "TRAVEL/CONFERENCE")</f>
        <v xml:space="preserve">          6292 - TRAVEL/CONFERENCE</v>
      </c>
      <c r="C81" s="11"/>
      <c r="D81" s="6"/>
      <c r="E81" s="2"/>
      <c r="F81" s="7">
        <f t="shared" si="53"/>
        <v>0</v>
      </c>
      <c r="G81" s="2"/>
      <c r="H81" s="6"/>
      <c r="I81" s="2"/>
      <c r="J81" s="7">
        <f t="shared" si="54"/>
        <v>0</v>
      </c>
      <c r="K81" s="2"/>
      <c r="L81" s="6">
        <f t="shared" si="55"/>
        <v>0</v>
      </c>
      <c r="M81" s="2"/>
      <c r="N81" s="7">
        <f t="shared" si="56"/>
        <v>0</v>
      </c>
      <c r="O81" s="11"/>
      <c r="P81" s="6"/>
      <c r="Q81" s="2"/>
      <c r="R81" s="7">
        <f t="shared" si="57"/>
        <v>0</v>
      </c>
      <c r="S81" s="2"/>
      <c r="T81" s="6">
        <v>1429.86</v>
      </c>
      <c r="U81" s="2"/>
      <c r="V81" s="7">
        <f t="shared" si="58"/>
        <v>5.1739324541536826E-4</v>
      </c>
      <c r="W81" s="2"/>
      <c r="X81" s="6">
        <f t="shared" si="59"/>
        <v>-1429.86</v>
      </c>
      <c r="Y81" s="2"/>
      <c r="Z81" s="7">
        <f t="shared" si="60"/>
        <v>-1</v>
      </c>
    </row>
    <row r="82" spans="1:26" s="61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9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8" t="s">
        <v>3</v>
      </c>
      <c r="C85" s="28"/>
      <c r="D85" s="20">
        <f>+D21-D23+D83</f>
        <v>-51385.729999999996</v>
      </c>
      <c r="E85" s="14"/>
      <c r="F85" s="22">
        <f>IF(D$12=0,0,D85/D$12)</f>
        <v>320.75986267166041</v>
      </c>
      <c r="G85" s="14"/>
      <c r="H85" s="20">
        <f>+H21-H23+H83</f>
        <v>74315.06</v>
      </c>
      <c r="I85" s="14"/>
      <c r="J85" s="22">
        <f>IF(H$12=0,0,H85/H$12)</f>
        <v>0.27121996624050454</v>
      </c>
      <c r="K85" s="15"/>
      <c r="L85" s="20">
        <f>+D85-H85</f>
        <v>-125700.79</v>
      </c>
      <c r="M85" s="15"/>
      <c r="N85" s="22">
        <f>IF(H85=0,0,L85/H85)</f>
        <v>-1.6914578283325075</v>
      </c>
      <c r="O85" s="29"/>
      <c r="P85" s="20">
        <f>+P21-P23+P83</f>
        <v>-369990.79000000004</v>
      </c>
      <c r="Q85" s="14"/>
      <c r="R85" s="22">
        <f>IF(P$12=0,0,P85/P$12)</f>
        <v>-15.649777598435325</v>
      </c>
      <c r="S85" s="14"/>
      <c r="T85" s="20">
        <f>+T21-T23+T83</f>
        <v>952034.84000000008</v>
      </c>
      <c r="U85" s="14"/>
      <c r="V85" s="22">
        <f>IF(T$12=0,0,T85/T$12)</f>
        <v>0.34449274447575351</v>
      </c>
      <c r="W85" s="15"/>
      <c r="X85" s="20">
        <f>+P85-T85</f>
        <v>-1322025.6300000001</v>
      </c>
      <c r="Y85" s="15"/>
      <c r="Z85" s="22">
        <f>IF(T85=0,0,X85/T85)</f>
        <v>-1.388631565206164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-112.27</v>
      </c>
      <c r="E87" s="4"/>
      <c r="F87" s="12">
        <f>IF(D$12=0,0,D87/D$12)</f>
        <v>0.70081148564294637</v>
      </c>
      <c r="G87" s="4"/>
      <c r="H87" s="4">
        <v>19308.740000000002</v>
      </c>
      <c r="I87" s="4"/>
      <c r="J87" s="12">
        <f>IF(H$12=0,0,H87/H$12)</f>
        <v>7.0469105601834683E-2</v>
      </c>
      <c r="K87" s="4"/>
      <c r="L87" s="4">
        <f>+D87-H87</f>
        <v>-19421.010000000002</v>
      </c>
      <c r="M87" s="4"/>
      <c r="N87" s="12">
        <f>IF(H87=0,0,L87/H87)</f>
        <v>-1.0058144653664609</v>
      </c>
      <c r="O87" s="10"/>
      <c r="P87" s="4">
        <v>4291.63</v>
      </c>
      <c r="Q87" s="4"/>
      <c r="R87" s="12">
        <f>IF(P$12=0,0,P87/P$12)</f>
        <v>0.18152628889701009</v>
      </c>
      <c r="S87" s="4"/>
      <c r="T87" s="4">
        <v>288202.73000000004</v>
      </c>
      <c r="U87" s="4"/>
      <c r="V87" s="12">
        <f>IF(T$12=0,0,T87/T$12)</f>
        <v>0.10428583624429603</v>
      </c>
      <c r="W87" s="4"/>
      <c r="X87" s="4">
        <f>+P87-T87</f>
        <v>-283911.10000000003</v>
      </c>
      <c r="Y87" s="4"/>
      <c r="Z87" s="12">
        <f>IF(T87=0,0,X87/T87)</f>
        <v>-0.98510898907862532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4</v>
      </c>
      <c r="C89" s="28"/>
      <c r="D89" s="30">
        <f>+D85-D87</f>
        <v>-51273.46</v>
      </c>
      <c r="E89" s="14"/>
      <c r="F89" s="36">
        <f>IF(D$12=0,0,D89/D$12)</f>
        <v>320.05905118601748</v>
      </c>
      <c r="G89" s="14"/>
      <c r="H89" s="30">
        <f>+H85-H87</f>
        <v>55006.319999999992</v>
      </c>
      <c r="I89" s="14"/>
      <c r="J89" s="36">
        <f>IF(H$12=0,0,H89/H$12)</f>
        <v>0.20075086063866984</v>
      </c>
      <c r="K89" s="15"/>
      <c r="L89" s="30">
        <f>D89-H89</f>
        <v>-106279.78</v>
      </c>
      <c r="M89" s="15"/>
      <c r="N89" s="36">
        <f>IF(H89=0,0,L89/H89)</f>
        <v>-1.9321376161866493</v>
      </c>
      <c r="O89" s="29"/>
      <c r="P89" s="30">
        <f>+P85-P87</f>
        <v>-374282.42000000004</v>
      </c>
      <c r="Q89" s="14"/>
      <c r="R89" s="36">
        <f>IF(P$12=0,0,P89/P$12)</f>
        <v>-15.831303887332334</v>
      </c>
      <c r="S89" s="14"/>
      <c r="T89" s="30">
        <f>+T85-T87</f>
        <v>663832.1100000001</v>
      </c>
      <c r="U89" s="14"/>
      <c r="V89" s="36">
        <f>IF(T$12=0,0,T89/T$12)</f>
        <v>0.24020690823145746</v>
      </c>
      <c r="W89" s="15"/>
      <c r="X89" s="30">
        <f>P89-T89</f>
        <v>-1038114.5300000001</v>
      </c>
      <c r="Y89" s="15"/>
      <c r="Z89" s="36">
        <f>IF(T89=0,0,X89/T89)</f>
        <v>-1.5638209034510246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5</v>
      </c>
      <c r="C92" s="28"/>
      <c r="D92" s="32">
        <f>SUM(D89:D91)</f>
        <v>-51273.46</v>
      </c>
      <c r="E92" s="14"/>
      <c r="F92" s="31">
        <f>IF(D$12=0,0,D92/D$12)</f>
        <v>320.05905118601748</v>
      </c>
      <c r="G92" s="14"/>
      <c r="H92" s="32">
        <f>SUM(H89:H91)</f>
        <v>55006.319999999992</v>
      </c>
      <c r="I92" s="14"/>
      <c r="J92" s="31">
        <f>IF(H$12=0,0,H92/H$12)</f>
        <v>0.20075086063866984</v>
      </c>
      <c r="K92" s="15"/>
      <c r="L92" s="32">
        <f>+D92-H92</f>
        <v>-106279.78</v>
      </c>
      <c r="M92" s="15"/>
      <c r="N92" s="31">
        <f>IF(H92=0,0,L92/H92)</f>
        <v>-1.9321376161866493</v>
      </c>
      <c r="O92" s="29"/>
      <c r="P92" s="32">
        <f>SUM(P89:P91)</f>
        <v>-374282.42000000004</v>
      </c>
      <c r="Q92" s="14"/>
      <c r="R92" s="31">
        <f>IF(P$12=0,0,P92/P$12)</f>
        <v>-15.831303887332334</v>
      </c>
      <c r="S92" s="14"/>
      <c r="T92" s="32">
        <f>SUM(T89:T91)</f>
        <v>663832.1100000001</v>
      </c>
      <c r="U92" s="14"/>
      <c r="V92" s="31">
        <f>IF(T$12=0,0,T92/T$12)</f>
        <v>0.24020690823145746</v>
      </c>
      <c r="W92" s="15"/>
      <c r="X92" s="32">
        <f>+P92-T92</f>
        <v>-1038114.5300000001</v>
      </c>
      <c r="Y92" s="15"/>
      <c r="Z92" s="31">
        <f>IF(T92=0,0,X92/T92)</f>
        <v>-1.5638209034510246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62">
        <v>44238.496614201387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9" t="s">
        <v>313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6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4:24" x14ac:dyDescent="0.25"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","435", " - ", "Ground Floor Coffee House")</f>
        <v>Department 435 - Ground Floor Coffee House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5179.0200000000004</v>
      </c>
      <c r="U12" s="4"/>
      <c r="V12" s="12"/>
      <c r="W12" s="4"/>
      <c r="X12" s="4">
        <f t="shared" ref="X12:X15" si="2">+P12-T12</f>
        <v>-5179.0200000000004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5" si="4">0</f>
        <v>0</v>
      </c>
      <c r="E13" s="2"/>
      <c r="F13" s="19"/>
      <c r="G13" s="2"/>
      <c r="H13" s="2">
        <f t="shared" ref="H13:H15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5" si="6">0</f>
        <v>0</v>
      </c>
      <c r="Q13" s="2"/>
      <c r="R13" s="19"/>
      <c r="S13" s="2"/>
      <c r="T13" s="2">
        <f>--973.49</f>
        <v>973.49</v>
      </c>
      <c r="U13" s="2"/>
      <c r="V13" s="19"/>
      <c r="W13" s="2"/>
      <c r="X13" s="2">
        <f t="shared" si="2"/>
        <v>-973.49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6"/>
        <v>0</v>
      </c>
      <c r="Q14" s="2"/>
      <c r="R14" s="19"/>
      <c r="S14" s="2"/>
      <c r="T14" s="2">
        <f>--471.63</f>
        <v>471.63</v>
      </c>
      <c r="U14" s="2"/>
      <c r="V14" s="19"/>
      <c r="W14" s="2"/>
      <c r="X14" s="2">
        <f t="shared" si="2"/>
        <v>-471.63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"4155", " - ", "NON-TAXABLE SALES-FOOD")</f>
        <v xml:space="preserve">          4155 - NON-TAXABLE SALES-FOOD</v>
      </c>
      <c r="C15" s="11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>--3733.9</f>
        <v>3733.9</v>
      </c>
      <c r="U15" s="2"/>
      <c r="V15" s="19"/>
      <c r="W15" s="2"/>
      <c r="X15" s="2">
        <f t="shared" si="2"/>
        <v>-3733.9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0</v>
      </c>
      <c r="E17" s="4"/>
      <c r="F17" s="12">
        <f t="shared" ref="F17:F19" si="7">IF(D$12=0,0,D17/D$12)</f>
        <v>0</v>
      </c>
      <c r="G17" s="4"/>
      <c r="H17" s="4">
        <f>SUM(OSRRefH16x_0)</f>
        <v>0</v>
      </c>
      <c r="I17" s="4"/>
      <c r="J17" s="12">
        <f t="shared" ref="J17:J19" si="8">IF(H$12=0,0,H17/H$12)</f>
        <v>0</v>
      </c>
      <c r="K17" s="4"/>
      <c r="L17" s="4">
        <f t="shared" ref="L17:L19" si="9">+D17-H17</f>
        <v>0</v>
      </c>
      <c r="M17" s="4"/>
      <c r="N17" s="12">
        <f t="shared" ref="N17:N19" si="10">IF(H17=0,0,L17/H17)</f>
        <v>0</v>
      </c>
      <c r="O17" s="10"/>
      <c r="P17" s="4">
        <f>SUM(OSRRefP16x_0)</f>
        <v>0</v>
      </c>
      <c r="Q17" s="4"/>
      <c r="R17" s="12">
        <f t="shared" ref="R17:R19" si="11">IF(P$12=0,0,P17/P$12)</f>
        <v>0</v>
      </c>
      <c r="S17" s="4"/>
      <c r="T17" s="4">
        <f>SUM(OSRRefT16x_0)</f>
        <v>1954.47</v>
      </c>
      <c r="U17" s="4"/>
      <c r="V17" s="12">
        <f t="shared" ref="V17:V19" si="12">IF(T$12=0,0,T17/T$12)</f>
        <v>0.37738220744465167</v>
      </c>
      <c r="W17" s="4"/>
      <c r="X17" s="4">
        <f t="shared" ref="X17:X19" si="13">+P17-T17</f>
        <v>-1954.47</v>
      </c>
      <c r="Y17" s="4"/>
      <c r="Z17" s="12">
        <f t="shared" ref="Z17:Z19" si="14">IF(T17=0,0,X17/T17)</f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1"/>
      <c r="P18" s="2"/>
      <c r="Q18" s="2"/>
      <c r="R18" s="19">
        <f t="shared" si="11"/>
        <v>0</v>
      </c>
      <c r="S18" s="2"/>
      <c r="T18" s="2">
        <v>3948.48</v>
      </c>
      <c r="U18" s="2"/>
      <c r="V18" s="19">
        <f t="shared" si="12"/>
        <v>0.762399063915567</v>
      </c>
      <c r="W18" s="2"/>
      <c r="X18" s="2">
        <f t="shared" si="13"/>
        <v>-3948.48</v>
      </c>
      <c r="Y18" s="2"/>
      <c r="Z18" s="19">
        <f t="shared" si="14"/>
        <v>-1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7"/>
        <v>0</v>
      </c>
      <c r="G19" s="2"/>
      <c r="H19" s="2"/>
      <c r="I19" s="2"/>
      <c r="J19" s="19">
        <f t="shared" si="8"/>
        <v>0</v>
      </c>
      <c r="K19" s="2"/>
      <c r="L19" s="2">
        <f t="shared" si="9"/>
        <v>0</v>
      </c>
      <c r="M19" s="2"/>
      <c r="N19" s="19">
        <f t="shared" si="10"/>
        <v>0</v>
      </c>
      <c r="O19" s="11"/>
      <c r="P19" s="2"/>
      <c r="Q19" s="2"/>
      <c r="R19" s="19">
        <f t="shared" si="11"/>
        <v>0</v>
      </c>
      <c r="S19" s="2"/>
      <c r="T19" s="2">
        <v>-1994.01</v>
      </c>
      <c r="U19" s="2"/>
      <c r="V19" s="19">
        <f t="shared" si="12"/>
        <v>-0.38501685647091533</v>
      </c>
      <c r="W19" s="2"/>
      <c r="X19" s="2">
        <f t="shared" si="13"/>
        <v>1994.01</v>
      </c>
      <c r="Y19" s="2"/>
      <c r="Z19" s="19">
        <f t="shared" si="14"/>
        <v>-1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0</v>
      </c>
      <c r="E21" s="14"/>
      <c r="F21" s="22">
        <f>IF(D$12=0,0,D21/D$12)</f>
        <v>0</v>
      </c>
      <c r="G21" s="14"/>
      <c r="H21" s="20">
        <f>H12-H17</f>
        <v>0</v>
      </c>
      <c r="I21" s="14"/>
      <c r="J21" s="22">
        <f>IF(H$12=0,0,H21/H$12)</f>
        <v>0</v>
      </c>
      <c r="K21" s="15"/>
      <c r="L21" s="20">
        <f>+D21-H21</f>
        <v>0</v>
      </c>
      <c r="M21" s="15"/>
      <c r="N21" s="22">
        <f>IF(H21=0,0,L21/H21)</f>
        <v>0</v>
      </c>
      <c r="O21" s="29"/>
      <c r="P21" s="20">
        <f>P12-P17</f>
        <v>0</v>
      </c>
      <c r="Q21" s="14"/>
      <c r="R21" s="22">
        <f>IF(P$12=0,0,P21/P$12)</f>
        <v>0</v>
      </c>
      <c r="S21" s="14"/>
      <c r="T21" s="20">
        <f>T12-T17</f>
        <v>3224.55</v>
      </c>
      <c r="U21" s="14"/>
      <c r="V21" s="22">
        <f>IF(T$12=0,0,T21/T$12)</f>
        <v>0.62261779255534833</v>
      </c>
      <c r="W21" s="15"/>
      <c r="X21" s="20">
        <f>+P21-T21</f>
        <v>-3224.55</v>
      </c>
      <c r="Y21" s="15"/>
      <c r="Z21" s="22">
        <f>IF(T21=0,0,X21/T21)</f>
        <v>-1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1">
        <f>SUM(OSRRefD22x_0)</f>
        <v>0</v>
      </c>
      <c r="E23" s="21"/>
      <c r="F23" s="35">
        <f t="shared" ref="F23:F27" si="15">IF(D$12=0,0,D23/D$12)</f>
        <v>0</v>
      </c>
      <c r="G23" s="21"/>
      <c r="H23" s="21">
        <f>SUM(OSRRefH22x_0)</f>
        <v>191.53</v>
      </c>
      <c r="I23" s="21"/>
      <c r="J23" s="35">
        <f t="shared" ref="J23:J27" si="16">IF(H$12=0,0,H23/H$12)</f>
        <v>0</v>
      </c>
      <c r="K23" s="4"/>
      <c r="L23" s="21">
        <f t="shared" ref="L23:L27" si="17">+D23-H23</f>
        <v>-191.53</v>
      </c>
      <c r="M23" s="4"/>
      <c r="N23" s="35">
        <f t="shared" ref="N23:N27" si="18">IF(H23=0,0,L23/H23)</f>
        <v>-1</v>
      </c>
      <c r="O23" s="10"/>
      <c r="P23" s="21">
        <f>SUM(OSRRefP22x_0)</f>
        <v>178.69</v>
      </c>
      <c r="Q23" s="21"/>
      <c r="R23" s="35">
        <f t="shared" ref="R23:R27" si="19">IF(P$12=0,0,P23/P$12)</f>
        <v>0</v>
      </c>
      <c r="S23" s="21"/>
      <c r="T23" s="21">
        <f>SUM(OSRRefT22x_0)</f>
        <v>15587.219999999998</v>
      </c>
      <c r="U23" s="21"/>
      <c r="V23" s="35">
        <f t="shared" ref="V23:V27" si="20">IF(T$12=0,0,T23/T$12)</f>
        <v>3.0096852300242123</v>
      </c>
      <c r="W23" s="4"/>
      <c r="X23" s="21">
        <f t="shared" ref="X23:X27" si="21">+P23-T23</f>
        <v>-15408.529999999997</v>
      </c>
      <c r="Y23" s="4"/>
      <c r="Z23" s="35">
        <f t="shared" ref="Z23:Z27" si="22">IF(T23=0,0,X23/T23)</f>
        <v>-0.98853612125831292</v>
      </c>
    </row>
    <row r="24" spans="1:26" s="26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5"/>
        <v>0</v>
      </c>
      <c r="G24" s="1"/>
      <c r="H24" s="1">
        <f>SUM(OSRRefH22_0x_0)</f>
        <v>5.5</v>
      </c>
      <c r="I24" s="1"/>
      <c r="J24" s="5">
        <f t="shared" si="16"/>
        <v>0</v>
      </c>
      <c r="K24" s="1"/>
      <c r="L24" s="1">
        <f t="shared" si="17"/>
        <v>-5.5</v>
      </c>
      <c r="M24" s="1"/>
      <c r="N24" s="5">
        <f t="shared" si="18"/>
        <v>-1</v>
      </c>
      <c r="O24" s="13"/>
      <c r="P24" s="1">
        <f>SUM(OSRRefP22_0x_0)</f>
        <v>0</v>
      </c>
      <c r="Q24" s="1"/>
      <c r="R24" s="5">
        <f t="shared" si="19"/>
        <v>0</v>
      </c>
      <c r="S24" s="1"/>
      <c r="T24" s="1">
        <f>SUM(OSRRefT22_0x_0)</f>
        <v>858.58</v>
      </c>
      <c r="U24" s="1"/>
      <c r="V24" s="5">
        <f t="shared" si="20"/>
        <v>0.16578039860823091</v>
      </c>
      <c r="W24" s="1"/>
      <c r="X24" s="1">
        <f t="shared" si="21"/>
        <v>-858.58</v>
      </c>
      <c r="Y24" s="1"/>
      <c r="Z24" s="5">
        <f t="shared" si="22"/>
        <v>-1</v>
      </c>
    </row>
    <row r="25" spans="1:26" s="24" customFormat="1" hidden="1" outlineLevel="2" x14ac:dyDescent="0.25">
      <c r="A25" s="25"/>
      <c r="B25" s="11" t="str">
        <f>CONCATENATE("          ", "6111", " - ", "F.I.C.A.")</f>
        <v xml:space="preserve">          6111 - F.I.C.A.</v>
      </c>
      <c r="C25" s="11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1"/>
      <c r="P25" s="6"/>
      <c r="Q25" s="2"/>
      <c r="R25" s="7">
        <f t="shared" si="19"/>
        <v>0</v>
      </c>
      <c r="S25" s="2"/>
      <c r="T25" s="6">
        <v>602.38</v>
      </c>
      <c r="U25" s="2"/>
      <c r="V25" s="7">
        <f t="shared" si="20"/>
        <v>0.11631158018312343</v>
      </c>
      <c r="W25" s="2"/>
      <c r="X25" s="6">
        <f t="shared" si="21"/>
        <v>-602.38</v>
      </c>
      <c r="Y25" s="2"/>
      <c r="Z25" s="7">
        <f t="shared" si="22"/>
        <v>-1</v>
      </c>
    </row>
    <row r="26" spans="1:26" s="24" customFormat="1" hidden="1" outlineLevel="2" x14ac:dyDescent="0.25">
      <c r="A26" s="25"/>
      <c r="B26" s="11" t="str">
        <f>CONCATENATE("          ", "6112", " - ", "COMPENSATION INSURANCE")</f>
        <v xml:space="preserve">          6112 - COMPENSATION INSURANCE</v>
      </c>
      <c r="C26" s="11"/>
      <c r="D26" s="6"/>
      <c r="E26" s="2"/>
      <c r="F26" s="7">
        <f t="shared" si="15"/>
        <v>0</v>
      </c>
      <c r="G26" s="2"/>
      <c r="H26" s="6">
        <v>4.84</v>
      </c>
      <c r="I26" s="2"/>
      <c r="J26" s="7">
        <f t="shared" si="16"/>
        <v>0</v>
      </c>
      <c r="K26" s="2"/>
      <c r="L26" s="6">
        <f t="shared" si="17"/>
        <v>-4.84</v>
      </c>
      <c r="M26" s="2"/>
      <c r="N26" s="7">
        <f t="shared" si="18"/>
        <v>-1</v>
      </c>
      <c r="O26" s="11"/>
      <c r="P26" s="6"/>
      <c r="Q26" s="2"/>
      <c r="R26" s="7">
        <f t="shared" si="19"/>
        <v>0</v>
      </c>
      <c r="S26" s="2"/>
      <c r="T26" s="6">
        <v>221.3</v>
      </c>
      <c r="U26" s="2"/>
      <c r="V26" s="7">
        <f t="shared" si="20"/>
        <v>4.2730091793428099E-2</v>
      </c>
      <c r="W26" s="2"/>
      <c r="X26" s="6">
        <f t="shared" si="21"/>
        <v>-221.3</v>
      </c>
      <c r="Y26" s="2"/>
      <c r="Z26" s="7">
        <f t="shared" si="22"/>
        <v>-1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5"/>
        <v>0</v>
      </c>
      <c r="G27" s="2"/>
      <c r="H27" s="6">
        <v>0.66</v>
      </c>
      <c r="I27" s="2"/>
      <c r="J27" s="7">
        <f t="shared" si="16"/>
        <v>0</v>
      </c>
      <c r="K27" s="2"/>
      <c r="L27" s="6">
        <f t="shared" si="17"/>
        <v>-0.66</v>
      </c>
      <c r="M27" s="2"/>
      <c r="N27" s="7">
        <f t="shared" si="18"/>
        <v>-1</v>
      </c>
      <c r="O27" s="11"/>
      <c r="P27" s="6"/>
      <c r="Q27" s="2"/>
      <c r="R27" s="7">
        <f t="shared" si="19"/>
        <v>0</v>
      </c>
      <c r="S27" s="2"/>
      <c r="T27" s="6">
        <v>34.9</v>
      </c>
      <c r="U27" s="2"/>
      <c r="V27" s="7">
        <f t="shared" si="20"/>
        <v>6.7387266316793516E-3</v>
      </c>
      <c r="W27" s="2"/>
      <c r="X27" s="6">
        <f t="shared" si="21"/>
        <v>-34.9</v>
      </c>
      <c r="Y27" s="2"/>
      <c r="Z27" s="7">
        <f t="shared" si="22"/>
        <v>-1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0</v>
      </c>
      <c r="E28" s="1"/>
      <c r="F28" s="5">
        <f t="shared" ref="F28:F31" si="23">IF(D$12=0,0,D28/D$12)</f>
        <v>0</v>
      </c>
      <c r="G28" s="1"/>
      <c r="H28" s="1">
        <f>SUM(OSRRefH22_1x_0)</f>
        <v>0</v>
      </c>
      <c r="I28" s="1"/>
      <c r="J28" s="5">
        <f t="shared" ref="J28:J31" si="24">IF(H$12=0,0,H28/H$12)</f>
        <v>0</v>
      </c>
      <c r="K28" s="1"/>
      <c r="L28" s="1">
        <f t="shared" ref="L28:L31" si="25">+D28-H28</f>
        <v>0</v>
      </c>
      <c r="M28" s="1"/>
      <c r="N28" s="5">
        <f t="shared" ref="N28:N31" si="26">IF(H28=0,0,L28/H28)</f>
        <v>0</v>
      </c>
      <c r="O28" s="13"/>
      <c r="P28" s="1">
        <f>SUM(OSRRefP22_1x_0)</f>
        <v>0</v>
      </c>
      <c r="Q28" s="1"/>
      <c r="R28" s="5">
        <f t="shared" ref="R28:R31" si="27">IF(P$12=0,0,P28/P$12)</f>
        <v>0</v>
      </c>
      <c r="S28" s="1"/>
      <c r="T28" s="1">
        <f>SUM(OSRRefT22_1x_0)</f>
        <v>10914.98</v>
      </c>
      <c r="U28" s="1"/>
      <c r="V28" s="5">
        <f t="shared" ref="V28:V31" si="28">IF(T$12=0,0,T28/T$12)</f>
        <v>2.1075377194913321</v>
      </c>
      <c r="W28" s="1"/>
      <c r="X28" s="1">
        <f t="shared" ref="X28:X31" si="29">+P28-T28</f>
        <v>-10914.98</v>
      </c>
      <c r="Y28" s="1"/>
      <c r="Z28" s="5">
        <f t="shared" ref="Z28:Z31" si="30">IF(T28=0,0,X28/T28)</f>
        <v>-1</v>
      </c>
    </row>
    <row r="29" spans="1:26" s="24" customFormat="1" hidden="1" outlineLevel="2" x14ac:dyDescent="0.25">
      <c r="A29" s="25"/>
      <c r="B29" s="11" t="str">
        <f>CONCATENATE("          ", "6005", " - ", "TEMPORARY WAGES-HOURLY")</f>
        <v xml:space="preserve">          6005 - TEMPORARY WAGES-HOURLY</v>
      </c>
      <c r="C29" s="11"/>
      <c r="D29" s="6"/>
      <c r="E29" s="2"/>
      <c r="F29" s="7">
        <f t="shared" si="23"/>
        <v>0</v>
      </c>
      <c r="G29" s="2"/>
      <c r="H29" s="6"/>
      <c r="I29" s="2"/>
      <c r="J29" s="7">
        <f t="shared" si="24"/>
        <v>0</v>
      </c>
      <c r="K29" s="2"/>
      <c r="L29" s="6">
        <f t="shared" si="25"/>
        <v>0</v>
      </c>
      <c r="M29" s="2"/>
      <c r="N29" s="7">
        <f t="shared" si="26"/>
        <v>0</v>
      </c>
      <c r="O29" s="11"/>
      <c r="P29" s="6"/>
      <c r="Q29" s="2"/>
      <c r="R29" s="7">
        <f t="shared" si="27"/>
        <v>0</v>
      </c>
      <c r="S29" s="2"/>
      <c r="T29" s="6">
        <v>7765.17</v>
      </c>
      <c r="U29" s="2"/>
      <c r="V29" s="7">
        <f t="shared" si="28"/>
        <v>1.4993512286108182</v>
      </c>
      <c r="W29" s="2"/>
      <c r="X29" s="6">
        <f t="shared" si="29"/>
        <v>-7765.17</v>
      </c>
      <c r="Y29" s="2"/>
      <c r="Z29" s="7">
        <f t="shared" si="30"/>
        <v>-1</v>
      </c>
    </row>
    <row r="30" spans="1:26" s="24" customFormat="1" hidden="1" outlineLevel="2" x14ac:dyDescent="0.25">
      <c r="A30" s="25"/>
      <c r="B30" s="11" t="str">
        <f>CONCATENATE("          ", "6006", " - ", "TEMPORARY PART TIME")</f>
        <v xml:space="preserve">          6006 - TEMPORARY PART TIME</v>
      </c>
      <c r="C30" s="11"/>
      <c r="D30" s="6"/>
      <c r="E30" s="2"/>
      <c r="F30" s="7">
        <f t="shared" si="23"/>
        <v>0</v>
      </c>
      <c r="G30" s="2"/>
      <c r="H30" s="6"/>
      <c r="I30" s="2"/>
      <c r="J30" s="7">
        <f t="shared" si="24"/>
        <v>0</v>
      </c>
      <c r="K30" s="2"/>
      <c r="L30" s="6">
        <f t="shared" si="25"/>
        <v>0</v>
      </c>
      <c r="M30" s="2"/>
      <c r="N30" s="7">
        <f t="shared" si="26"/>
        <v>0</v>
      </c>
      <c r="O30" s="11"/>
      <c r="P30" s="6"/>
      <c r="Q30" s="2"/>
      <c r="R30" s="7">
        <f t="shared" si="27"/>
        <v>0</v>
      </c>
      <c r="S30" s="2"/>
      <c r="T30" s="6">
        <v>73.31</v>
      </c>
      <c r="U30" s="2"/>
      <c r="V30" s="7">
        <f t="shared" si="28"/>
        <v>1.4155187660986054E-2</v>
      </c>
      <c r="W30" s="2"/>
      <c r="X30" s="6">
        <f t="shared" si="29"/>
        <v>-73.31</v>
      </c>
      <c r="Y30" s="2"/>
      <c r="Z30" s="7">
        <f t="shared" si="30"/>
        <v>-1</v>
      </c>
    </row>
    <row r="31" spans="1:26" s="24" customFormat="1" hidden="1" outlineLevel="2" x14ac:dyDescent="0.25">
      <c r="A31" s="25"/>
      <c r="B31" s="11" t="str">
        <f>CONCATENATE("          ", "6007", " - ", "STUDENT HOURLY")</f>
        <v xml:space="preserve">          6007 - STUDENT HOURLY</v>
      </c>
      <c r="C31" s="11"/>
      <c r="D31" s="6"/>
      <c r="E31" s="2"/>
      <c r="F31" s="7">
        <f t="shared" si="23"/>
        <v>0</v>
      </c>
      <c r="G31" s="2"/>
      <c r="H31" s="6"/>
      <c r="I31" s="2"/>
      <c r="J31" s="7">
        <f t="shared" si="24"/>
        <v>0</v>
      </c>
      <c r="K31" s="2"/>
      <c r="L31" s="6">
        <f t="shared" si="25"/>
        <v>0</v>
      </c>
      <c r="M31" s="2"/>
      <c r="N31" s="7">
        <f t="shared" si="26"/>
        <v>0</v>
      </c>
      <c r="O31" s="11"/>
      <c r="P31" s="6"/>
      <c r="Q31" s="2"/>
      <c r="R31" s="7">
        <f t="shared" si="27"/>
        <v>0</v>
      </c>
      <c r="S31" s="2"/>
      <c r="T31" s="6">
        <v>3076.5</v>
      </c>
      <c r="U31" s="2"/>
      <c r="V31" s="7">
        <f t="shared" si="28"/>
        <v>0.59403130321952802</v>
      </c>
      <c r="W31" s="2"/>
      <c r="X31" s="6">
        <f t="shared" si="29"/>
        <v>-3076.5</v>
      </c>
      <c r="Y31" s="2"/>
      <c r="Z31" s="7">
        <f t="shared" si="30"/>
        <v>-1</v>
      </c>
    </row>
    <row r="32" spans="1:26" s="26" customFormat="1" outlineLevel="1" collapsed="1" x14ac:dyDescent="0.25">
      <c r="A32" s="27"/>
      <c r="B32" s="13" t="str">
        <f>CONCATENATE("     ","Bad Debts/Over/Short                              ")</f>
        <v xml:space="preserve">     Bad Debts/Over/Short                              </v>
      </c>
      <c r="C32" s="13"/>
      <c r="D32" s="1">
        <f>SUM(OSRRefD22_2x_0)</f>
        <v>0</v>
      </c>
      <c r="E32" s="1"/>
      <c r="F32" s="5">
        <f t="shared" ref="F32:F45" si="31">IF(D$12=0,0,D32/D$12)</f>
        <v>0</v>
      </c>
      <c r="G32" s="1"/>
      <c r="H32" s="1">
        <f>SUM(OSRRefH22_2x_0)</f>
        <v>0</v>
      </c>
      <c r="I32" s="1"/>
      <c r="J32" s="5">
        <f t="shared" ref="J32:J45" si="32">IF(H$12=0,0,H32/H$12)</f>
        <v>0</v>
      </c>
      <c r="K32" s="1"/>
      <c r="L32" s="1">
        <f t="shared" ref="L32:L45" si="33">+D32-H32</f>
        <v>0</v>
      </c>
      <c r="M32" s="1"/>
      <c r="N32" s="5">
        <f t="shared" ref="N32:N45" si="34">IF(H32=0,0,L32/H32)</f>
        <v>0</v>
      </c>
      <c r="O32" s="13"/>
      <c r="P32" s="1">
        <f>SUM(OSRRefP22_2x_0)</f>
        <v>0</v>
      </c>
      <c r="Q32" s="1"/>
      <c r="R32" s="5">
        <f t="shared" ref="R32:R45" si="35">IF(P$12=0,0,P32/P$12)</f>
        <v>0</v>
      </c>
      <c r="S32" s="1"/>
      <c r="T32" s="1">
        <f>SUM(OSRRefT22_2x_0)</f>
        <v>-1.41</v>
      </c>
      <c r="U32" s="1"/>
      <c r="V32" s="5">
        <f t="shared" ref="V32:V45" si="36">IF(T$12=0,0,T32/T$12)</f>
        <v>-2.7225227938876463E-4</v>
      </c>
      <c r="W32" s="1"/>
      <c r="X32" s="1">
        <f t="shared" ref="X32:X45" si="37">+P32-T32</f>
        <v>1.41</v>
      </c>
      <c r="Y32" s="1"/>
      <c r="Z32" s="5">
        <f t="shared" ref="Z32:Z45" si="38">IF(T32=0,0,X32/T32)</f>
        <v>-1</v>
      </c>
    </row>
    <row r="33" spans="1:26" s="24" customFormat="1" hidden="1" outlineLevel="2" x14ac:dyDescent="0.25">
      <c r="A33" s="25"/>
      <c r="B33" s="11" t="str">
        <f>CONCATENATE("          ", "6272", " - ", "CASH (OVER/SHORT)")</f>
        <v xml:space="preserve">          6272 - CASH (OVER/SHORT)</v>
      </c>
      <c r="C33" s="11"/>
      <c r="D33" s="6"/>
      <c r="E33" s="2"/>
      <c r="F33" s="7">
        <f t="shared" si="31"/>
        <v>0</v>
      </c>
      <c r="G33" s="2"/>
      <c r="H33" s="6"/>
      <c r="I33" s="2"/>
      <c r="J33" s="7">
        <f t="shared" si="32"/>
        <v>0</v>
      </c>
      <c r="K33" s="2"/>
      <c r="L33" s="6">
        <f t="shared" si="33"/>
        <v>0</v>
      </c>
      <c r="M33" s="2"/>
      <c r="N33" s="7">
        <f t="shared" si="34"/>
        <v>0</v>
      </c>
      <c r="O33" s="11"/>
      <c r="P33" s="6"/>
      <c r="Q33" s="2"/>
      <c r="R33" s="7">
        <f t="shared" si="35"/>
        <v>0</v>
      </c>
      <c r="S33" s="2"/>
      <c r="T33" s="6">
        <v>-1.41</v>
      </c>
      <c r="U33" s="2"/>
      <c r="V33" s="7">
        <f t="shared" si="36"/>
        <v>-2.7225227938876463E-4</v>
      </c>
      <c r="W33" s="2"/>
      <c r="X33" s="6">
        <f t="shared" si="37"/>
        <v>1.41</v>
      </c>
      <c r="Y33" s="2"/>
      <c r="Z33" s="7">
        <f t="shared" si="38"/>
        <v>-1</v>
      </c>
    </row>
    <row r="34" spans="1:26" s="26" customFormat="1" outlineLevel="1" collapsed="1" x14ac:dyDescent="0.25">
      <c r="A34" s="27"/>
      <c r="B34" s="13" t="str">
        <f>CONCATENATE("     ","Bank/card Fees                                    ")</f>
        <v xml:space="preserve">     Bank/card Fees                                    </v>
      </c>
      <c r="C34" s="13"/>
      <c r="D34" s="1">
        <f>SUM(OSRRefD22_3x_0)</f>
        <v>0</v>
      </c>
      <c r="E34" s="1"/>
      <c r="F34" s="5">
        <f t="shared" si="31"/>
        <v>0</v>
      </c>
      <c r="G34" s="1"/>
      <c r="H34" s="1">
        <f>SUM(OSRRefH22_3x_0)</f>
        <v>0</v>
      </c>
      <c r="I34" s="1"/>
      <c r="J34" s="5">
        <f t="shared" si="32"/>
        <v>0</v>
      </c>
      <c r="K34" s="1"/>
      <c r="L34" s="1">
        <f t="shared" si="33"/>
        <v>0</v>
      </c>
      <c r="M34" s="1"/>
      <c r="N34" s="5">
        <f t="shared" si="34"/>
        <v>0</v>
      </c>
      <c r="O34" s="13"/>
      <c r="P34" s="1">
        <f>SUM(OSRRefP22_3x_0)</f>
        <v>0</v>
      </c>
      <c r="Q34" s="1"/>
      <c r="R34" s="5">
        <f t="shared" si="35"/>
        <v>0</v>
      </c>
      <c r="S34" s="1"/>
      <c r="T34" s="1">
        <f>SUM(OSRRefT22_3x_0)</f>
        <v>125.26</v>
      </c>
      <c r="U34" s="1"/>
      <c r="V34" s="5">
        <f t="shared" si="36"/>
        <v>2.418604291931678E-2</v>
      </c>
      <c r="W34" s="1"/>
      <c r="X34" s="1">
        <f t="shared" si="37"/>
        <v>-125.26</v>
      </c>
      <c r="Y34" s="1"/>
      <c r="Z34" s="5">
        <f t="shared" si="38"/>
        <v>-1</v>
      </c>
    </row>
    <row r="35" spans="1:26" s="24" customFormat="1" hidden="1" outlineLevel="2" x14ac:dyDescent="0.25">
      <c r="A35" s="25"/>
      <c r="B35" s="11" t="str">
        <f>CONCATENATE("          ", "6381", " - ", "BANK/CREDIT CARD FEES")</f>
        <v xml:space="preserve">          6381 - BANK/CREDIT CARD FEES</v>
      </c>
      <c r="C35" s="11"/>
      <c r="D35" s="6"/>
      <c r="E35" s="2"/>
      <c r="F35" s="7">
        <f t="shared" si="31"/>
        <v>0</v>
      </c>
      <c r="G35" s="2"/>
      <c r="H35" s="6"/>
      <c r="I35" s="2"/>
      <c r="J35" s="7">
        <f t="shared" si="32"/>
        <v>0</v>
      </c>
      <c r="K35" s="2"/>
      <c r="L35" s="6">
        <f t="shared" si="33"/>
        <v>0</v>
      </c>
      <c r="M35" s="2"/>
      <c r="N35" s="7">
        <f t="shared" si="34"/>
        <v>0</v>
      </c>
      <c r="O35" s="11"/>
      <c r="P35" s="6"/>
      <c r="Q35" s="2"/>
      <c r="R35" s="7">
        <f t="shared" si="35"/>
        <v>0</v>
      </c>
      <c r="S35" s="2"/>
      <c r="T35" s="6">
        <v>125.26</v>
      </c>
      <c r="U35" s="2"/>
      <c r="V35" s="7">
        <f t="shared" si="36"/>
        <v>2.418604291931678E-2</v>
      </c>
      <c r="W35" s="2"/>
      <c r="X35" s="6">
        <f t="shared" si="37"/>
        <v>-125.26</v>
      </c>
      <c r="Y35" s="2"/>
      <c r="Z35" s="7">
        <f t="shared" si="38"/>
        <v>-1</v>
      </c>
    </row>
    <row r="36" spans="1:26" s="26" customFormat="1" outlineLevel="1" collapsed="1" x14ac:dyDescent="0.25">
      <c r="A36" s="27"/>
      <c r="B36" s="13" t="str">
        <f>CONCATENATE("     ","Employees' Appreciation                           ")</f>
        <v xml:space="preserve">     Employees' Appreciation                           </v>
      </c>
      <c r="C36" s="13"/>
      <c r="D36" s="1">
        <f>SUM(OSRRefD22_4x_0)</f>
        <v>0</v>
      </c>
      <c r="E36" s="1"/>
      <c r="F36" s="5">
        <f t="shared" si="31"/>
        <v>0</v>
      </c>
      <c r="G36" s="1"/>
      <c r="H36" s="1">
        <f>SUM(OSRRefH22_4x_0)</f>
        <v>40.799999999999997</v>
      </c>
      <c r="I36" s="1"/>
      <c r="J36" s="5">
        <f t="shared" si="32"/>
        <v>0</v>
      </c>
      <c r="K36" s="1"/>
      <c r="L36" s="1">
        <f t="shared" si="33"/>
        <v>-40.799999999999997</v>
      </c>
      <c r="M36" s="1"/>
      <c r="N36" s="5">
        <f t="shared" si="34"/>
        <v>-1</v>
      </c>
      <c r="O36" s="13"/>
      <c r="P36" s="1">
        <f>SUM(OSRRefP22_4x_0)</f>
        <v>0</v>
      </c>
      <c r="Q36" s="1"/>
      <c r="R36" s="5">
        <f t="shared" si="35"/>
        <v>0</v>
      </c>
      <c r="S36" s="1"/>
      <c r="T36" s="1">
        <f>SUM(OSRRefT22_4x_0)</f>
        <v>40.799999999999997</v>
      </c>
      <c r="U36" s="1"/>
      <c r="V36" s="5">
        <f t="shared" si="36"/>
        <v>7.877938297206807E-3</v>
      </c>
      <c r="W36" s="1"/>
      <c r="X36" s="1">
        <f t="shared" si="37"/>
        <v>-40.799999999999997</v>
      </c>
      <c r="Y36" s="1"/>
      <c r="Z36" s="5">
        <f t="shared" si="38"/>
        <v>-1</v>
      </c>
    </row>
    <row r="37" spans="1:26" s="24" customFormat="1" hidden="1" outlineLevel="2" x14ac:dyDescent="0.25">
      <c r="A37" s="25"/>
      <c r="B37" s="11" t="str">
        <f>CONCATENATE("          ", "6277", " - ", "EMPLOYEE APPRECIATION")</f>
        <v xml:space="preserve">          6277 - EMPLOYEE APPRECIATION</v>
      </c>
      <c r="C37" s="11"/>
      <c r="D37" s="6"/>
      <c r="E37" s="2"/>
      <c r="F37" s="7">
        <f t="shared" si="31"/>
        <v>0</v>
      </c>
      <c r="G37" s="2"/>
      <c r="H37" s="6">
        <v>40.799999999999997</v>
      </c>
      <c r="I37" s="2"/>
      <c r="J37" s="7">
        <f t="shared" si="32"/>
        <v>0</v>
      </c>
      <c r="K37" s="2"/>
      <c r="L37" s="6">
        <f t="shared" si="33"/>
        <v>-40.799999999999997</v>
      </c>
      <c r="M37" s="2"/>
      <c r="N37" s="7">
        <f t="shared" si="34"/>
        <v>-1</v>
      </c>
      <c r="O37" s="11"/>
      <c r="P37" s="6"/>
      <c r="Q37" s="2"/>
      <c r="R37" s="7">
        <f t="shared" si="35"/>
        <v>0</v>
      </c>
      <c r="S37" s="2"/>
      <c r="T37" s="6">
        <v>40.799999999999997</v>
      </c>
      <c r="U37" s="2"/>
      <c r="V37" s="7">
        <f t="shared" si="36"/>
        <v>7.877938297206807E-3</v>
      </c>
      <c r="W37" s="2"/>
      <c r="X37" s="6">
        <f t="shared" si="37"/>
        <v>-40.799999999999997</v>
      </c>
      <c r="Y37" s="2"/>
      <c r="Z37" s="7">
        <f t="shared" si="38"/>
        <v>-1</v>
      </c>
    </row>
    <row r="38" spans="1:26" s="26" customFormat="1" outlineLevel="1" collapsed="1" x14ac:dyDescent="0.25">
      <c r="A38" s="27"/>
      <c r="B38" s="13" t="str">
        <f>CONCATENATE("     ","General                                           ")</f>
        <v xml:space="preserve">     General                                           </v>
      </c>
      <c r="C38" s="13"/>
      <c r="D38" s="1">
        <f>SUM(OSRRefD22_5x_0)</f>
        <v>0</v>
      </c>
      <c r="E38" s="1"/>
      <c r="F38" s="5">
        <f t="shared" si="31"/>
        <v>0</v>
      </c>
      <c r="G38" s="1"/>
      <c r="H38" s="1">
        <f>SUM(OSRRefH22_5x_0)</f>
        <v>0</v>
      </c>
      <c r="I38" s="1"/>
      <c r="J38" s="5">
        <f t="shared" si="32"/>
        <v>0</v>
      </c>
      <c r="K38" s="1"/>
      <c r="L38" s="1">
        <f t="shared" si="33"/>
        <v>0</v>
      </c>
      <c r="M38" s="1"/>
      <c r="N38" s="5">
        <f t="shared" si="34"/>
        <v>0</v>
      </c>
      <c r="O38" s="13"/>
      <c r="P38" s="1">
        <f>SUM(OSRRefP22_5x_0)</f>
        <v>0</v>
      </c>
      <c r="Q38" s="1"/>
      <c r="R38" s="5">
        <f t="shared" si="35"/>
        <v>0</v>
      </c>
      <c r="S38" s="1"/>
      <c r="T38" s="1">
        <f>SUM(OSRRefT22_5x_0)</f>
        <v>1154.05</v>
      </c>
      <c r="U38" s="1"/>
      <c r="V38" s="5">
        <f t="shared" si="36"/>
        <v>0.22283173264439987</v>
      </c>
      <c r="W38" s="1"/>
      <c r="X38" s="1">
        <f t="shared" si="37"/>
        <v>-1154.05</v>
      </c>
      <c r="Y38" s="1"/>
      <c r="Z38" s="5">
        <f t="shared" si="38"/>
        <v>-1</v>
      </c>
    </row>
    <row r="39" spans="1:26" s="24" customFormat="1" hidden="1" outlineLevel="2" x14ac:dyDescent="0.25">
      <c r="A39" s="25"/>
      <c r="B39" s="11" t="str">
        <f>CONCATENATE("          ", "6279", " - ", "GENERAL EXPENSE")</f>
        <v xml:space="preserve">          6279 - GENERAL EXPENSE</v>
      </c>
      <c r="C39" s="11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1"/>
      <c r="P39" s="6"/>
      <c r="Q39" s="2"/>
      <c r="R39" s="7">
        <f t="shared" si="35"/>
        <v>0</v>
      </c>
      <c r="S39" s="2"/>
      <c r="T39" s="6">
        <v>1154.05</v>
      </c>
      <c r="U39" s="2"/>
      <c r="V39" s="7">
        <f t="shared" si="36"/>
        <v>0.22283173264439987</v>
      </c>
      <c r="W39" s="2"/>
      <c r="X39" s="6">
        <f t="shared" si="37"/>
        <v>-1154.05</v>
      </c>
      <c r="Y39" s="2"/>
      <c r="Z39" s="7">
        <f t="shared" si="38"/>
        <v>-1</v>
      </c>
    </row>
    <row r="40" spans="1:26" s="26" customFormat="1" outlineLevel="1" collapsed="1" x14ac:dyDescent="0.25">
      <c r="A40" s="27"/>
      <c r="B40" s="13" t="str">
        <f>CONCATENATE("     ","R/H Commissions                                   ")</f>
        <v xml:space="preserve">     R/H Commissions                                   </v>
      </c>
      <c r="C40" s="13"/>
      <c r="D40" s="1">
        <f>SUM(OSRRefD22_6x_0)</f>
        <v>0</v>
      </c>
      <c r="E40" s="1"/>
      <c r="F40" s="5">
        <f t="shared" si="31"/>
        <v>0</v>
      </c>
      <c r="G40" s="1"/>
      <c r="H40" s="1">
        <f>SUM(OSRRefH22_6x_0)</f>
        <v>69.73</v>
      </c>
      <c r="I40" s="1"/>
      <c r="J40" s="5">
        <f t="shared" si="32"/>
        <v>0</v>
      </c>
      <c r="K40" s="1"/>
      <c r="L40" s="1">
        <f t="shared" si="33"/>
        <v>-69.73</v>
      </c>
      <c r="M40" s="1"/>
      <c r="N40" s="5">
        <f t="shared" si="34"/>
        <v>-1</v>
      </c>
      <c r="O40" s="13"/>
      <c r="P40" s="1">
        <f>SUM(OSRRefP22_6x_0)</f>
        <v>0</v>
      </c>
      <c r="Q40" s="1"/>
      <c r="R40" s="5">
        <f t="shared" si="35"/>
        <v>0</v>
      </c>
      <c r="S40" s="1"/>
      <c r="T40" s="1">
        <f>SUM(OSRRefT22_6x_0)</f>
        <v>414.32</v>
      </c>
      <c r="U40" s="1"/>
      <c r="V40" s="5">
        <f t="shared" si="36"/>
        <v>7.9999691061243244E-2</v>
      </c>
      <c r="W40" s="1"/>
      <c r="X40" s="1">
        <f t="shared" si="37"/>
        <v>-414.32</v>
      </c>
      <c r="Y40" s="1"/>
      <c r="Z40" s="5">
        <f t="shared" si="38"/>
        <v>-1</v>
      </c>
    </row>
    <row r="41" spans="1:26" s="24" customFormat="1" hidden="1" outlineLevel="2" x14ac:dyDescent="0.25">
      <c r="A41" s="25"/>
      <c r="B41" s="11" t="str">
        <f>CONCATENATE("          ", "6387", " - ", "COMMISSION DUE HOUSING")</f>
        <v xml:space="preserve">          6387 - COMMISSION DUE HOUSING</v>
      </c>
      <c r="C41" s="11"/>
      <c r="D41" s="6"/>
      <c r="E41" s="2"/>
      <c r="F41" s="7">
        <f t="shared" si="31"/>
        <v>0</v>
      </c>
      <c r="G41" s="2"/>
      <c r="H41" s="6">
        <v>69.73</v>
      </c>
      <c r="I41" s="2"/>
      <c r="J41" s="7">
        <f t="shared" si="32"/>
        <v>0</v>
      </c>
      <c r="K41" s="2"/>
      <c r="L41" s="6">
        <f t="shared" si="33"/>
        <v>-69.73</v>
      </c>
      <c r="M41" s="2"/>
      <c r="N41" s="7">
        <f t="shared" si="34"/>
        <v>-1</v>
      </c>
      <c r="O41" s="11"/>
      <c r="P41" s="6"/>
      <c r="Q41" s="2"/>
      <c r="R41" s="7">
        <f t="shared" si="35"/>
        <v>0</v>
      </c>
      <c r="S41" s="2"/>
      <c r="T41" s="6">
        <v>414.32</v>
      </c>
      <c r="U41" s="2"/>
      <c r="V41" s="7">
        <f t="shared" si="36"/>
        <v>7.9999691061243244E-2</v>
      </c>
      <c r="W41" s="2"/>
      <c r="X41" s="6">
        <f t="shared" si="37"/>
        <v>-414.32</v>
      </c>
      <c r="Y41" s="2"/>
      <c r="Z41" s="7">
        <f t="shared" si="38"/>
        <v>-1</v>
      </c>
    </row>
    <row r="42" spans="1:26" s="26" customFormat="1" outlineLevel="1" collapsed="1" x14ac:dyDescent="0.25">
      <c r="A42" s="27"/>
      <c r="B42" s="13" t="str">
        <f>CONCATENATE("     ","Supplies                                          ")</f>
        <v xml:space="preserve">     Supplies                                          </v>
      </c>
      <c r="C42" s="13"/>
      <c r="D42" s="1">
        <f>SUM(OSRRefD22_7x_0)</f>
        <v>0</v>
      </c>
      <c r="E42" s="1"/>
      <c r="F42" s="5">
        <f t="shared" si="31"/>
        <v>0</v>
      </c>
      <c r="G42" s="1"/>
      <c r="H42" s="1">
        <f>SUM(OSRRefH22_7x_0)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3"/>
      <c r="P42" s="1">
        <f>SUM(OSRRefP22_7x_0)</f>
        <v>0</v>
      </c>
      <c r="Q42" s="1"/>
      <c r="R42" s="5">
        <f t="shared" si="35"/>
        <v>0</v>
      </c>
      <c r="S42" s="1"/>
      <c r="T42" s="1">
        <f>SUM(OSRRefT22_7x_0)</f>
        <v>1592.1399999999999</v>
      </c>
      <c r="U42" s="1"/>
      <c r="V42" s="5">
        <f t="shared" si="36"/>
        <v>0.30742109511065796</v>
      </c>
      <c r="W42" s="1"/>
      <c r="X42" s="1">
        <f t="shared" si="37"/>
        <v>-1592.1399999999999</v>
      </c>
      <c r="Y42" s="1"/>
      <c r="Z42" s="5">
        <f t="shared" si="38"/>
        <v>-1</v>
      </c>
    </row>
    <row r="43" spans="1:26" s="24" customFormat="1" hidden="1" outlineLevel="2" x14ac:dyDescent="0.25">
      <c r="A43" s="25"/>
      <c r="B43" s="11" t="str">
        <f>CONCATENATE("          ", "6237", " - ", "JANITORIAL SUPPLIES")</f>
        <v xml:space="preserve">          6237 - JANITORIAL SUPPLIES</v>
      </c>
      <c r="C43" s="11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1"/>
      <c r="P43" s="6"/>
      <c r="Q43" s="2"/>
      <c r="R43" s="7">
        <f t="shared" si="35"/>
        <v>0</v>
      </c>
      <c r="S43" s="2"/>
      <c r="T43" s="6">
        <v>47.13</v>
      </c>
      <c r="U43" s="2"/>
      <c r="V43" s="7">
        <f t="shared" si="36"/>
        <v>9.1001772536116864E-3</v>
      </c>
      <c r="W43" s="2"/>
      <c r="X43" s="6">
        <f t="shared" si="37"/>
        <v>-47.13</v>
      </c>
      <c r="Y43" s="2"/>
      <c r="Z43" s="7">
        <f t="shared" si="38"/>
        <v>-1</v>
      </c>
    </row>
    <row r="44" spans="1:26" s="24" customFormat="1" hidden="1" outlineLevel="2" x14ac:dyDescent="0.25">
      <c r="A44" s="25"/>
      <c r="B44" s="11" t="str">
        <f>CONCATENATE("          ", "6247", " - ", "STORE SUPPLIES")</f>
        <v xml:space="preserve">          6247 - STORE SUPPLIES</v>
      </c>
      <c r="C44" s="11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1"/>
      <c r="P44" s="6"/>
      <c r="Q44" s="2"/>
      <c r="R44" s="7">
        <f t="shared" si="35"/>
        <v>0</v>
      </c>
      <c r="S44" s="2"/>
      <c r="T44" s="6">
        <v>431.41</v>
      </c>
      <c r="U44" s="2"/>
      <c r="V44" s="7">
        <f t="shared" si="36"/>
        <v>8.3299543156813455E-2</v>
      </c>
      <c r="W44" s="2"/>
      <c r="X44" s="6">
        <f t="shared" si="37"/>
        <v>-431.41</v>
      </c>
      <c r="Y44" s="2"/>
      <c r="Z44" s="7">
        <f t="shared" si="38"/>
        <v>-1</v>
      </c>
    </row>
    <row r="45" spans="1:26" s="24" customFormat="1" hidden="1" outlineLevel="2" x14ac:dyDescent="0.25">
      <c r="A45" s="25"/>
      <c r="B45" s="11" t="str">
        <f>CONCATENATE("          ", "6248", " - ", "UNIFORMS")</f>
        <v xml:space="preserve">          6248 - UNIFORMS</v>
      </c>
      <c r="C45" s="11"/>
      <c r="D45" s="6"/>
      <c r="E45" s="2"/>
      <c r="F45" s="7">
        <f t="shared" si="31"/>
        <v>0</v>
      </c>
      <c r="G45" s="2"/>
      <c r="H45" s="6"/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1"/>
      <c r="P45" s="6"/>
      <c r="Q45" s="2"/>
      <c r="R45" s="7">
        <f t="shared" si="35"/>
        <v>0</v>
      </c>
      <c r="S45" s="2"/>
      <c r="T45" s="6">
        <v>1113.5999999999999</v>
      </c>
      <c r="U45" s="2"/>
      <c r="V45" s="7">
        <f t="shared" si="36"/>
        <v>0.21502137470023283</v>
      </c>
      <c r="W45" s="2"/>
      <c r="X45" s="6">
        <f t="shared" si="37"/>
        <v>-1113.5999999999999</v>
      </c>
      <c r="Y45" s="2"/>
      <c r="Z45" s="7">
        <f t="shared" si="38"/>
        <v>-1</v>
      </c>
    </row>
    <row r="46" spans="1:26" s="26" customFormat="1" outlineLevel="1" collapsed="1" x14ac:dyDescent="0.25">
      <c r="A46" s="27"/>
      <c r="B46" s="13" t="str">
        <f>CONCATENATE("     ","Telephone/Data Lines                              ")</f>
        <v xml:space="preserve">     Telephone/Data Lines                              </v>
      </c>
      <c r="C46" s="13"/>
      <c r="D46" s="1">
        <f>SUM(OSRRefD22_8x_0)</f>
        <v>0</v>
      </c>
      <c r="E46" s="1"/>
      <c r="F46" s="5">
        <f t="shared" ref="F46:F47" si="39">IF(D$12=0,0,D46/D$12)</f>
        <v>0</v>
      </c>
      <c r="G46" s="1"/>
      <c r="H46" s="1">
        <f>SUM(OSRRefH22_8x_0)</f>
        <v>75.5</v>
      </c>
      <c r="I46" s="1"/>
      <c r="J46" s="5">
        <f t="shared" ref="J46:J47" si="40">IF(H$12=0,0,H46/H$12)</f>
        <v>0</v>
      </c>
      <c r="K46" s="1"/>
      <c r="L46" s="1">
        <f t="shared" ref="L46:L47" si="41">+D46-H46</f>
        <v>-75.5</v>
      </c>
      <c r="M46" s="1"/>
      <c r="N46" s="5">
        <f t="shared" ref="N46:N47" si="42">IF(H46=0,0,L46/H46)</f>
        <v>-1</v>
      </c>
      <c r="O46" s="13"/>
      <c r="P46" s="1">
        <f>SUM(OSRRefP22_8x_0)</f>
        <v>178.69</v>
      </c>
      <c r="Q46" s="1"/>
      <c r="R46" s="5">
        <f t="shared" ref="R46:R47" si="43">IF(P$12=0,0,P46/P$12)</f>
        <v>0</v>
      </c>
      <c r="S46" s="1"/>
      <c r="T46" s="1">
        <f>SUM(OSRRefT22_8x_0)</f>
        <v>488.5</v>
      </c>
      <c r="U46" s="1"/>
      <c r="V46" s="5">
        <f t="shared" ref="V46:V47" si="44">IF(T$12=0,0,T46/T$12)</f>
        <v>9.4322864171213855E-2</v>
      </c>
      <c r="W46" s="1"/>
      <c r="X46" s="1">
        <f t="shared" ref="X46:X47" si="45">+P46-T46</f>
        <v>-309.81</v>
      </c>
      <c r="Y46" s="1"/>
      <c r="Z46" s="5">
        <f t="shared" ref="Z46:Z47" si="46">IF(T46=0,0,X46/T46)</f>
        <v>-0.63420675537359261</v>
      </c>
    </row>
    <row r="47" spans="1:26" s="24" customFormat="1" hidden="1" outlineLevel="2" x14ac:dyDescent="0.25">
      <c r="A47" s="25"/>
      <c r="B47" s="11" t="str">
        <f>CONCATENATE("          ", "6309", " - ", "TELEPHONE")</f>
        <v xml:space="preserve">          6309 - TELEPHONE</v>
      </c>
      <c r="C47" s="11"/>
      <c r="D47" s="6"/>
      <c r="E47" s="2"/>
      <c r="F47" s="7">
        <f t="shared" si="39"/>
        <v>0</v>
      </c>
      <c r="G47" s="2"/>
      <c r="H47" s="6">
        <v>75.5</v>
      </c>
      <c r="I47" s="2"/>
      <c r="J47" s="7">
        <f t="shared" si="40"/>
        <v>0</v>
      </c>
      <c r="K47" s="2"/>
      <c r="L47" s="6">
        <f t="shared" si="41"/>
        <v>-75.5</v>
      </c>
      <c r="M47" s="2"/>
      <c r="N47" s="7">
        <f t="shared" si="42"/>
        <v>-1</v>
      </c>
      <c r="O47" s="11"/>
      <c r="P47" s="6">
        <v>178.69</v>
      </c>
      <c r="Q47" s="2"/>
      <c r="R47" s="7">
        <f t="shared" si="43"/>
        <v>0</v>
      </c>
      <c r="S47" s="2"/>
      <c r="T47" s="6">
        <v>488.5</v>
      </c>
      <c r="U47" s="2"/>
      <c r="V47" s="7">
        <f t="shared" si="44"/>
        <v>9.4322864171213855E-2</v>
      </c>
      <c r="W47" s="2"/>
      <c r="X47" s="6">
        <f t="shared" si="45"/>
        <v>-309.81</v>
      </c>
      <c r="Y47" s="2"/>
      <c r="Z47" s="7">
        <f t="shared" si="46"/>
        <v>-0.63420675537359261</v>
      </c>
    </row>
    <row r="48" spans="1:26" s="61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25">
      <c r="A49" s="10"/>
      <c r="B49" s="29" t="s">
        <v>0</v>
      </c>
      <c r="C49" s="10"/>
      <c r="D49" s="4">
        <f>SUM(0)</f>
        <v>0</v>
      </c>
      <c r="E49" s="4"/>
      <c r="F49" s="12">
        <f>IF(D$12=0,0,D49/D$12)</f>
        <v>0</v>
      </c>
      <c r="G49" s="4"/>
      <c r="H49" s="4">
        <f>SUM(0)</f>
        <v>0</v>
      </c>
      <c r="I49" s="4"/>
      <c r="J49" s="12">
        <f>IF(H$12=0,0,H49/H$12)</f>
        <v>0</v>
      </c>
      <c r="K49" s="4"/>
      <c r="L49" s="4">
        <f>+D49-H49</f>
        <v>0</v>
      </c>
      <c r="M49" s="4"/>
      <c r="N49" s="12">
        <f>IF(H49=0,0,L49/H49)</f>
        <v>0</v>
      </c>
      <c r="O49" s="10"/>
      <c r="P49" s="4">
        <f>SUM(0)</f>
        <v>0</v>
      </c>
      <c r="Q49" s="4"/>
      <c r="R49" s="12">
        <f>IF(P$12=0,0,P49/P$12)</f>
        <v>0</v>
      </c>
      <c r="S49" s="4"/>
      <c r="T49" s="4">
        <f>SUM(0)</f>
        <v>0</v>
      </c>
      <c r="U49" s="4"/>
      <c r="V49" s="12">
        <f>IF(T$12=0,0,T49/T$12)</f>
        <v>0</v>
      </c>
      <c r="W49" s="4"/>
      <c r="X49" s="4">
        <f>+P49-T49</f>
        <v>0</v>
      </c>
      <c r="Y49" s="4"/>
      <c r="Z49" s="12">
        <f>IF(T49=0,0,X49/T49)</f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8" t="s">
        <v>3</v>
      </c>
      <c r="C51" s="28"/>
      <c r="D51" s="20">
        <f>+D21-D23+D49</f>
        <v>0</v>
      </c>
      <c r="E51" s="14"/>
      <c r="F51" s="22">
        <f>IF(D$12=0,0,D51/D$12)</f>
        <v>0</v>
      </c>
      <c r="G51" s="14"/>
      <c r="H51" s="20">
        <f>+H21-H23+H49</f>
        <v>-191.53</v>
      </c>
      <c r="I51" s="14"/>
      <c r="J51" s="22">
        <f>IF(H$12=0,0,H51/H$12)</f>
        <v>0</v>
      </c>
      <c r="K51" s="15"/>
      <c r="L51" s="20">
        <f>+D51-H51</f>
        <v>191.53</v>
      </c>
      <c r="M51" s="15"/>
      <c r="N51" s="22">
        <f>IF(H51=0,0,L51/H51)</f>
        <v>-1</v>
      </c>
      <c r="O51" s="29"/>
      <c r="P51" s="20">
        <f>+P21-P23+P49</f>
        <v>-178.69</v>
      </c>
      <c r="Q51" s="14"/>
      <c r="R51" s="22">
        <f>IF(P$12=0,0,P51/P$12)</f>
        <v>0</v>
      </c>
      <c r="S51" s="14"/>
      <c r="T51" s="20">
        <f>+T21-T23+T49</f>
        <v>-12362.669999999998</v>
      </c>
      <c r="U51" s="14"/>
      <c r="V51" s="22">
        <f>IF(T$12=0,0,T51/T$12)</f>
        <v>-2.3870674374688643</v>
      </c>
      <c r="W51" s="15"/>
      <c r="X51" s="20">
        <f>+P51-T51</f>
        <v>12183.979999999998</v>
      </c>
      <c r="Y51" s="15"/>
      <c r="Z51" s="22">
        <f>IF(T51=0,0,X51/T51)</f>
        <v>-0.98554600260299752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51"/>
      <c r="B53" s="10" t="s">
        <v>13</v>
      </c>
      <c r="C53" s="10"/>
      <c r="D53" s="4"/>
      <c r="E53" s="4"/>
      <c r="F53" s="12">
        <f>IF(D$12=0,0,D53/D$12)</f>
        <v>0</v>
      </c>
      <c r="G53" s="4"/>
      <c r="H53" s="4">
        <v>-19.27</v>
      </c>
      <c r="I53" s="4"/>
      <c r="J53" s="12">
        <f>IF(H$12=0,0,H53/H$12)</f>
        <v>0</v>
      </c>
      <c r="K53" s="4"/>
      <c r="L53" s="4">
        <f>+D53-H53</f>
        <v>19.27</v>
      </c>
      <c r="M53" s="4"/>
      <c r="N53" s="12">
        <f>IF(H53=0,0,L53/H53)</f>
        <v>-1</v>
      </c>
      <c r="O53" s="10"/>
      <c r="P53" s="4"/>
      <c r="Q53" s="4"/>
      <c r="R53" s="12">
        <f>IF(P$12=0,0,P53/P$12)</f>
        <v>0</v>
      </c>
      <c r="S53" s="4"/>
      <c r="T53" s="4">
        <v>540.1</v>
      </c>
      <c r="U53" s="4"/>
      <c r="V53" s="12">
        <f>IF(T$12=0,0,T53/T$12)</f>
        <v>0.10428613907650482</v>
      </c>
      <c r="W53" s="4"/>
      <c r="X53" s="4">
        <f>+P53-T53</f>
        <v>-540.1</v>
      </c>
      <c r="Y53" s="4"/>
      <c r="Z53" s="12">
        <f>IF(T53=0,0,X53/T53)</f>
        <v>-1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8" t="s">
        <v>4</v>
      </c>
      <c r="C55" s="28"/>
      <c r="D55" s="30">
        <f>+D51-D53</f>
        <v>0</v>
      </c>
      <c r="E55" s="14"/>
      <c r="F55" s="36">
        <f>IF(D$12=0,0,D55/D$12)</f>
        <v>0</v>
      </c>
      <c r="G55" s="14"/>
      <c r="H55" s="30">
        <f>+H51-H53</f>
        <v>-172.26</v>
      </c>
      <c r="I55" s="14"/>
      <c r="J55" s="36">
        <f>IF(H$12=0,0,H55/H$12)</f>
        <v>0</v>
      </c>
      <c r="K55" s="15"/>
      <c r="L55" s="30">
        <f>D55-H55</f>
        <v>172.26</v>
      </c>
      <c r="M55" s="15"/>
      <c r="N55" s="36">
        <f>IF(H55=0,0,L55/H55)</f>
        <v>-1</v>
      </c>
      <c r="O55" s="29"/>
      <c r="P55" s="30">
        <f>+P51-P53</f>
        <v>-178.69</v>
      </c>
      <c r="Q55" s="14"/>
      <c r="R55" s="36">
        <f>IF(P$12=0,0,P55/P$12)</f>
        <v>0</v>
      </c>
      <c r="S55" s="14"/>
      <c r="T55" s="30">
        <f>+T51-T53</f>
        <v>-12902.769999999999</v>
      </c>
      <c r="U55" s="14"/>
      <c r="V55" s="36">
        <f>IF(T$12=0,0,T55/T$12)</f>
        <v>-2.4913535765453689</v>
      </c>
      <c r="W55" s="15"/>
      <c r="X55" s="30">
        <f>P55-T55</f>
        <v>12724.079999999998</v>
      </c>
      <c r="Y55" s="15"/>
      <c r="Z55" s="36">
        <f>IF(T55=0,0,X55/T55)</f>
        <v>-0.98615103578533903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8" t="s">
        <v>5</v>
      </c>
      <c r="C58" s="28"/>
      <c r="D58" s="32">
        <f>SUM(D55:D57)</f>
        <v>0</v>
      </c>
      <c r="E58" s="14"/>
      <c r="F58" s="31">
        <f>IF(D$12=0,0,D58/D$12)</f>
        <v>0</v>
      </c>
      <c r="G58" s="14"/>
      <c r="H58" s="32">
        <f>SUM(H55:H57)</f>
        <v>-172.26</v>
      </c>
      <c r="I58" s="14"/>
      <c r="J58" s="31">
        <f>IF(H$12=0,0,H58/H$12)</f>
        <v>0</v>
      </c>
      <c r="K58" s="15"/>
      <c r="L58" s="32">
        <f>+D58-H58</f>
        <v>172.26</v>
      </c>
      <c r="M58" s="15"/>
      <c r="N58" s="31">
        <f>IF(H58=0,0,L58/H58)</f>
        <v>-1</v>
      </c>
      <c r="O58" s="29"/>
      <c r="P58" s="32">
        <f>SUM(P55:P57)</f>
        <v>-178.69</v>
      </c>
      <c r="Q58" s="14"/>
      <c r="R58" s="31">
        <f>IF(P$12=0,0,P58/P$12)</f>
        <v>0</v>
      </c>
      <c r="S58" s="14"/>
      <c r="T58" s="32">
        <f>SUM(T55:T57)</f>
        <v>-12902.769999999999</v>
      </c>
      <c r="U58" s="14"/>
      <c r="V58" s="31">
        <f>IF(T$12=0,0,T58/T$12)</f>
        <v>-2.4913535765453689</v>
      </c>
      <c r="W58" s="15"/>
      <c r="X58" s="32">
        <f>+P58-T58</f>
        <v>12724.079999999998</v>
      </c>
      <c r="Y58" s="15"/>
      <c r="Z58" s="31">
        <f>IF(T58=0,0,X58/T58)</f>
        <v>-0.98615103578533903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62">
        <v>44238.496634456016</v>
      </c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A61" s="9"/>
      <c r="B61" s="59" t="s">
        <v>313</v>
      </c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  <row r="62" spans="1:26" x14ac:dyDescent="0.25">
      <c r="A62" s="9"/>
      <c r="B62" s="56"/>
      <c r="D62" s="18"/>
      <c r="E62" s="18"/>
      <c r="G62" s="18"/>
      <c r="H62" s="18"/>
      <c r="I62" s="18"/>
      <c r="J62" s="42"/>
      <c r="K62" s="18"/>
      <c r="L62" s="18"/>
      <c r="M62" s="18"/>
      <c r="P62" s="18"/>
      <c r="Q62" s="18"/>
      <c r="R62" s="42"/>
      <c r="S62" s="18"/>
      <c r="T62" s="18"/>
      <c r="U62" s="18"/>
      <c r="V62" s="42"/>
      <c r="W62" s="18"/>
      <c r="X62" s="18"/>
    </row>
    <row r="63" spans="1:26" x14ac:dyDescent="0.25">
      <c r="D63" s="18"/>
      <c r="E63" s="18"/>
      <c r="G63" s="18"/>
      <c r="H63" s="18"/>
      <c r="I63" s="18"/>
      <c r="J63" s="42"/>
      <c r="K63" s="18"/>
      <c r="L63" s="18"/>
      <c r="M63" s="18"/>
      <c r="P63" s="18"/>
      <c r="Q63" s="18"/>
      <c r="R63" s="42"/>
      <c r="S63" s="18"/>
      <c r="T63" s="18"/>
      <c r="U63" s="18"/>
      <c r="V63" s="42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","444", " - ", "Parkside Dining Hall")</f>
        <v>Department 444 - Parkside Dining Hall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38411.35</v>
      </c>
      <c r="E12" s="4"/>
      <c r="F12" s="12"/>
      <c r="G12" s="4"/>
      <c r="H12" s="4">
        <f>SUM(OSRRefH13x_0)</f>
        <v>228518.96999999997</v>
      </c>
      <c r="I12" s="4"/>
      <c r="J12" s="12"/>
      <c r="K12" s="4"/>
      <c r="L12" s="4">
        <f t="shared" ref="L12:L15" si="0">+D12-H12</f>
        <v>-190107.61999999997</v>
      </c>
      <c r="M12" s="4"/>
      <c r="N12" s="12">
        <f t="shared" ref="N12:N15" si="1">IF(H12=0,0,L12/H12)</f>
        <v>-0.83191176644984877</v>
      </c>
      <c r="O12" s="10"/>
      <c r="P12" s="4">
        <f>SUM(OSRRefP13x_0)</f>
        <v>651109.09</v>
      </c>
      <c r="Q12" s="4"/>
      <c r="R12" s="12"/>
      <c r="S12" s="4"/>
      <c r="T12" s="4">
        <f>SUM(OSRRefT13x_0)</f>
        <v>2523194.5</v>
      </c>
      <c r="U12" s="4"/>
      <c r="V12" s="12"/>
      <c r="W12" s="4"/>
      <c r="X12" s="4">
        <f t="shared" ref="X12:X15" si="2">+P12-T12</f>
        <v>-1872085.4100000001</v>
      </c>
      <c r="Y12" s="4"/>
      <c r="Z12" s="12">
        <f t="shared" ref="Z12:Z15" si="3">IF(T12=0,0,X12/T12)</f>
        <v>-0.74195049569107741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--46.44</f>
        <v>46.44</v>
      </c>
      <c r="E13" s="2"/>
      <c r="F13" s="19"/>
      <c r="G13" s="2"/>
      <c r="H13" s="2">
        <f>--43.61</f>
        <v>43.61</v>
      </c>
      <c r="I13" s="2"/>
      <c r="J13" s="19"/>
      <c r="K13" s="2"/>
      <c r="L13" s="2">
        <f t="shared" si="0"/>
        <v>2.8299999999999983</v>
      </c>
      <c r="M13" s="2"/>
      <c r="N13" s="19">
        <f t="shared" si="1"/>
        <v>6.489337307956887E-2</v>
      </c>
      <c r="O13" s="11"/>
      <c r="P13" s="2">
        <f>--361.87</f>
        <v>361.87</v>
      </c>
      <c r="Q13" s="2"/>
      <c r="R13" s="19"/>
      <c r="S13" s="2"/>
      <c r="T13" s="2">
        <f>--2270.97</f>
        <v>2270.9699999999998</v>
      </c>
      <c r="U13" s="2"/>
      <c r="V13" s="19"/>
      <c r="W13" s="2"/>
      <c r="X13" s="2">
        <f t="shared" si="2"/>
        <v>-1909.1</v>
      </c>
      <c r="Y13" s="2"/>
      <c r="Z13" s="19">
        <f t="shared" si="3"/>
        <v>-0.84065399366790405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--35996.95</f>
        <v>35996.949999999997</v>
      </c>
      <c r="E14" s="2"/>
      <c r="F14" s="19"/>
      <c r="G14" s="2"/>
      <c r="H14" s="2">
        <f>--227237.75</f>
        <v>227237.75</v>
      </c>
      <c r="I14" s="2"/>
      <c r="J14" s="19"/>
      <c r="K14" s="2"/>
      <c r="L14" s="2">
        <f t="shared" si="0"/>
        <v>-191240.8</v>
      </c>
      <c r="M14" s="2"/>
      <c r="N14" s="19">
        <f t="shared" si="1"/>
        <v>-0.84158904055334116</v>
      </c>
      <c r="O14" s="11"/>
      <c r="P14" s="2">
        <f>--626106.33</f>
        <v>626106.32999999996</v>
      </c>
      <c r="Q14" s="2"/>
      <c r="R14" s="19"/>
      <c r="S14" s="2"/>
      <c r="T14" s="2">
        <f>--2481822.55</f>
        <v>2481822.5499999998</v>
      </c>
      <c r="U14" s="2"/>
      <c r="V14" s="19"/>
      <c r="W14" s="2"/>
      <c r="X14" s="2">
        <f t="shared" si="2"/>
        <v>-1855716.2199999997</v>
      </c>
      <c r="Y14" s="2"/>
      <c r="Z14" s="19">
        <f t="shared" si="3"/>
        <v>-0.74772316820152995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--2367.96</f>
        <v>2367.96</v>
      </c>
      <c r="E15" s="2"/>
      <c r="F15" s="19"/>
      <c r="G15" s="2"/>
      <c r="H15" s="2">
        <f>--1237.61</f>
        <v>1237.6099999999999</v>
      </c>
      <c r="I15" s="2"/>
      <c r="J15" s="19"/>
      <c r="K15" s="2"/>
      <c r="L15" s="2">
        <f t="shared" si="0"/>
        <v>1130.3500000000001</v>
      </c>
      <c r="M15" s="2"/>
      <c r="N15" s="19">
        <f t="shared" si="1"/>
        <v>0.91333295626247379</v>
      </c>
      <c r="O15" s="11"/>
      <c r="P15" s="2">
        <f>--24640.89</f>
        <v>24640.89</v>
      </c>
      <c r="Q15" s="2"/>
      <c r="R15" s="19"/>
      <c r="S15" s="2"/>
      <c r="T15" s="2">
        <f>--39100.98</f>
        <v>39100.980000000003</v>
      </c>
      <c r="U15" s="2"/>
      <c r="V15" s="19"/>
      <c r="W15" s="2"/>
      <c r="X15" s="2">
        <f t="shared" si="2"/>
        <v>-14460.090000000004</v>
      </c>
      <c r="Y15" s="2"/>
      <c r="Z15" s="19">
        <f t="shared" si="3"/>
        <v>-0.36981400466177583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31982.57</v>
      </c>
      <c r="E17" s="4"/>
      <c r="F17" s="12">
        <f t="shared" ref="F17:F19" si="4">IF(D$12=0,0,D17/D$12)</f>
        <v>0.83263332322347439</v>
      </c>
      <c r="G17" s="4"/>
      <c r="H17" s="4">
        <f>SUM(OSRRefH16x_0)</f>
        <v>62098.36</v>
      </c>
      <c r="I17" s="4"/>
      <c r="J17" s="12">
        <f t="shared" ref="J17:J19" si="5">IF(H$12=0,0,H17/H$12)</f>
        <v>0.27174269164612463</v>
      </c>
      <c r="K17" s="4"/>
      <c r="L17" s="4">
        <f t="shared" ref="L17:L19" si="6">+D17-H17</f>
        <v>-30115.79</v>
      </c>
      <c r="M17" s="4"/>
      <c r="N17" s="12">
        <f t="shared" ref="N17:N19" si="7">IF(H17=0,0,L17/H17)</f>
        <v>-0.48496916826788983</v>
      </c>
      <c r="O17" s="10"/>
      <c r="P17" s="4">
        <f>SUM(OSRRefP16x_0)</f>
        <v>257524.45999999996</v>
      </c>
      <c r="Q17" s="4"/>
      <c r="R17" s="12">
        <f t="shared" ref="R17:R19" si="8">IF(P$12=0,0,P17/P$12)</f>
        <v>0.39551660997391386</v>
      </c>
      <c r="S17" s="4"/>
      <c r="T17" s="4">
        <f>SUM(OSRRefT16x_0)</f>
        <v>632448.87</v>
      </c>
      <c r="U17" s="4"/>
      <c r="V17" s="12">
        <f t="shared" ref="V17:V19" si="9">IF(T$12=0,0,T17/T$12)</f>
        <v>0.25065403004009401</v>
      </c>
      <c r="W17" s="4"/>
      <c r="X17" s="4">
        <f t="shared" ref="X17:X19" si="10">+P17-T17</f>
        <v>-374924.41000000003</v>
      </c>
      <c r="Y17" s="4"/>
      <c r="Z17" s="12">
        <f t="shared" ref="Z17:Z19" si="11">IF(T17=0,0,X17/T17)</f>
        <v>-0.59281378746079516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29350.59</v>
      </c>
      <c r="E18" s="2"/>
      <c r="F18" s="19">
        <f t="shared" si="4"/>
        <v>0.76411243031031195</v>
      </c>
      <c r="G18" s="2"/>
      <c r="H18" s="2">
        <v>78764.36</v>
      </c>
      <c r="I18" s="2"/>
      <c r="J18" s="19">
        <f t="shared" si="5"/>
        <v>0.34467317964893684</v>
      </c>
      <c r="K18" s="2"/>
      <c r="L18" s="2">
        <f t="shared" si="6"/>
        <v>-49413.770000000004</v>
      </c>
      <c r="M18" s="2"/>
      <c r="N18" s="19">
        <f t="shared" si="7"/>
        <v>-0.62736204547335883</v>
      </c>
      <c r="O18" s="11"/>
      <c r="P18" s="2">
        <v>271268.15999999997</v>
      </c>
      <c r="Q18" s="2"/>
      <c r="R18" s="19">
        <f t="shared" si="8"/>
        <v>0.41662474716794384</v>
      </c>
      <c r="S18" s="2"/>
      <c r="T18" s="2">
        <v>642165.12</v>
      </c>
      <c r="U18" s="2"/>
      <c r="V18" s="19">
        <f t="shared" si="9"/>
        <v>0.25450480333561287</v>
      </c>
      <c r="W18" s="2"/>
      <c r="X18" s="2">
        <f t="shared" si="10"/>
        <v>-370896.96</v>
      </c>
      <c r="Y18" s="2"/>
      <c r="Z18" s="19">
        <f t="shared" si="11"/>
        <v>-0.57757257198896139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2631.98</v>
      </c>
      <c r="E19" s="2"/>
      <c r="F19" s="19">
        <f t="shared" si="4"/>
        <v>6.8520892913162393E-2</v>
      </c>
      <c r="G19" s="2"/>
      <c r="H19" s="2">
        <v>-16666</v>
      </c>
      <c r="I19" s="2"/>
      <c r="J19" s="19">
        <f t="shared" si="5"/>
        <v>-7.293048800281221E-2</v>
      </c>
      <c r="K19" s="2"/>
      <c r="L19" s="2">
        <f t="shared" si="6"/>
        <v>19297.98</v>
      </c>
      <c r="M19" s="2"/>
      <c r="N19" s="19">
        <f t="shared" si="7"/>
        <v>-1.1579251170046803</v>
      </c>
      <c r="O19" s="11"/>
      <c r="P19" s="2">
        <v>-13743.7</v>
      </c>
      <c r="Q19" s="2"/>
      <c r="R19" s="19">
        <f t="shared" si="8"/>
        <v>-2.1108137194029961E-2</v>
      </c>
      <c r="S19" s="2"/>
      <c r="T19" s="2">
        <v>-9716.25</v>
      </c>
      <c r="U19" s="2"/>
      <c r="V19" s="19">
        <f t="shared" si="9"/>
        <v>-3.8507732955188351E-3</v>
      </c>
      <c r="W19" s="2"/>
      <c r="X19" s="2">
        <f t="shared" si="10"/>
        <v>-4027.4500000000007</v>
      </c>
      <c r="Y19" s="2"/>
      <c r="Z19" s="19">
        <f t="shared" si="11"/>
        <v>0.41450662549852058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6428.7799999999988</v>
      </c>
      <c r="E21" s="14"/>
      <c r="F21" s="22">
        <f>IF(D$12=0,0,D21/D$12)</f>
        <v>0.16736667677652567</v>
      </c>
      <c r="G21" s="14"/>
      <c r="H21" s="20">
        <f>H12-H17</f>
        <v>166420.60999999999</v>
      </c>
      <c r="I21" s="14"/>
      <c r="J21" s="22">
        <f>IF(H$12=0,0,H21/H$12)</f>
        <v>0.72825730835387537</v>
      </c>
      <c r="K21" s="15"/>
      <c r="L21" s="20">
        <f>+D21-H21</f>
        <v>-159991.82999999999</v>
      </c>
      <c r="M21" s="15"/>
      <c r="N21" s="22">
        <f>IF(H21=0,0,L21/H21)</f>
        <v>-0.96137028941307212</v>
      </c>
      <c r="O21" s="29"/>
      <c r="P21" s="20">
        <f>P12-P17</f>
        <v>393584.63</v>
      </c>
      <c r="Q21" s="14"/>
      <c r="R21" s="22">
        <f>IF(P$12=0,0,P21/P$12)</f>
        <v>0.60448339002608609</v>
      </c>
      <c r="S21" s="14"/>
      <c r="T21" s="20">
        <f>T12-T17</f>
        <v>1890745.63</v>
      </c>
      <c r="U21" s="14"/>
      <c r="V21" s="22">
        <f>IF(T$12=0,0,T21/T$12)</f>
        <v>0.74934596995990599</v>
      </c>
      <c r="W21" s="15"/>
      <c r="X21" s="20">
        <f>+P21-T21</f>
        <v>-1497161</v>
      </c>
      <c r="Y21" s="15"/>
      <c r="Z21" s="22">
        <f>IF(T21=0,0,X21/T21)</f>
        <v>-0.79183628735928913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1">
        <f>SUM(OSRRefD22x_0)</f>
        <v>69417.709999999992</v>
      </c>
      <c r="E23" s="21"/>
      <c r="F23" s="35">
        <f t="shared" ref="F23:F33" si="12">IF(D$12=0,0,D23/D$12)</f>
        <v>1.8072186996812138</v>
      </c>
      <c r="G23" s="21"/>
      <c r="H23" s="21">
        <f>SUM(OSRRefH22x_0)</f>
        <v>143529.50000000003</v>
      </c>
      <c r="I23" s="21"/>
      <c r="J23" s="35">
        <f t="shared" ref="J23:J33" si="13">IF(H$12=0,0,H23/H$12)</f>
        <v>0.62808571209646202</v>
      </c>
      <c r="K23" s="4"/>
      <c r="L23" s="21">
        <f t="shared" ref="L23:L33" si="14">+D23-H23</f>
        <v>-74111.790000000037</v>
      </c>
      <c r="M23" s="4"/>
      <c r="N23" s="35">
        <f t="shared" ref="N23:N33" si="15">IF(H23=0,0,L23/H23)</f>
        <v>-0.51635231781619817</v>
      </c>
      <c r="O23" s="10"/>
      <c r="P23" s="21">
        <f>SUM(OSRRefP22x_0)</f>
        <v>808923.05999999971</v>
      </c>
      <c r="Q23" s="21"/>
      <c r="R23" s="35">
        <f t="shared" ref="R23:R33" si="16">IF(P$12=0,0,P23/P$12)</f>
        <v>1.2423771567987167</v>
      </c>
      <c r="S23" s="21"/>
      <c r="T23" s="21">
        <f>SUM(OSRRefT22x_0)</f>
        <v>1215830.94</v>
      </c>
      <c r="U23" s="21"/>
      <c r="V23" s="35">
        <f t="shared" ref="V23:V33" si="17">IF(T$12=0,0,T23/T$12)</f>
        <v>0.48186175897260397</v>
      </c>
      <c r="W23" s="4"/>
      <c r="X23" s="21">
        <f t="shared" ref="X23:X33" si="18">+P23-T23</f>
        <v>-406907.88000000024</v>
      </c>
      <c r="Y23" s="4"/>
      <c r="Z23" s="35">
        <f t="shared" ref="Z23:Z33" si="19">IF(T23=0,0,X23/T23)</f>
        <v>-0.3346747204837543</v>
      </c>
    </row>
    <row r="24" spans="1:26" s="26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28877.140000000003</v>
      </c>
      <c r="E24" s="1"/>
      <c r="F24" s="5">
        <f t="shared" si="12"/>
        <v>0.7517866463948808</v>
      </c>
      <c r="G24" s="1"/>
      <c r="H24" s="1">
        <f>SUM(OSRRefH22_0x_0)</f>
        <v>33815.519999999997</v>
      </c>
      <c r="I24" s="1"/>
      <c r="J24" s="5">
        <f t="shared" si="13"/>
        <v>0.14797686161459594</v>
      </c>
      <c r="K24" s="1"/>
      <c r="L24" s="1">
        <f t="shared" si="14"/>
        <v>-4938.3799999999937</v>
      </c>
      <c r="M24" s="1"/>
      <c r="N24" s="5">
        <f t="shared" si="15"/>
        <v>-0.14603886026297966</v>
      </c>
      <c r="O24" s="13"/>
      <c r="P24" s="1">
        <f>SUM(OSRRefP22_0x_0)</f>
        <v>215241.72999999998</v>
      </c>
      <c r="Q24" s="1"/>
      <c r="R24" s="5">
        <f t="shared" si="16"/>
        <v>0.3305770619789688</v>
      </c>
      <c r="S24" s="1"/>
      <c r="T24" s="1">
        <f>SUM(OSRRefT22_0x_0)</f>
        <v>237513.92</v>
      </c>
      <c r="U24" s="1"/>
      <c r="V24" s="5">
        <f t="shared" si="17"/>
        <v>9.4132228014923144E-2</v>
      </c>
      <c r="W24" s="1"/>
      <c r="X24" s="1">
        <f t="shared" si="18"/>
        <v>-22272.190000000031</v>
      </c>
      <c r="Y24" s="1"/>
      <c r="Z24" s="5">
        <f t="shared" si="19"/>
        <v>-9.377214607042833E-2</v>
      </c>
    </row>
    <row r="25" spans="1:26" s="24" customFormat="1" hidden="1" outlineLevel="2" x14ac:dyDescent="0.25">
      <c r="A25" s="25"/>
      <c r="B25" s="11" t="str">
        <f>CONCATENATE("          ", "6111", " - ", "F.I.C.A.")</f>
        <v xml:space="preserve">          6111 - F.I.C.A.</v>
      </c>
      <c r="C25" s="11"/>
      <c r="D25" s="6">
        <v>3152.67</v>
      </c>
      <c r="E25" s="2"/>
      <c r="F25" s="7">
        <f t="shared" si="12"/>
        <v>8.2076521653105139E-2</v>
      </c>
      <c r="G25" s="2"/>
      <c r="H25" s="6">
        <v>3339.87</v>
      </c>
      <c r="I25" s="2"/>
      <c r="J25" s="7">
        <f t="shared" si="13"/>
        <v>1.4615285549379119E-2</v>
      </c>
      <c r="K25" s="2"/>
      <c r="L25" s="6">
        <f t="shared" si="14"/>
        <v>-187.19999999999982</v>
      </c>
      <c r="M25" s="2"/>
      <c r="N25" s="7">
        <f t="shared" si="15"/>
        <v>-5.6050085781781875E-2</v>
      </c>
      <c r="O25" s="11"/>
      <c r="P25" s="6">
        <v>24804.76</v>
      </c>
      <c r="Q25" s="2"/>
      <c r="R25" s="7">
        <f t="shared" si="16"/>
        <v>3.8096166035709929E-2</v>
      </c>
      <c r="S25" s="2"/>
      <c r="T25" s="6">
        <v>33186.15</v>
      </c>
      <c r="U25" s="2"/>
      <c r="V25" s="7">
        <f t="shared" si="17"/>
        <v>1.3152434344637325E-2</v>
      </c>
      <c r="W25" s="2"/>
      <c r="X25" s="6">
        <f t="shared" si="18"/>
        <v>-8381.3900000000031</v>
      </c>
      <c r="Y25" s="2"/>
      <c r="Z25" s="7">
        <f t="shared" si="19"/>
        <v>-0.25255686483668649</v>
      </c>
    </row>
    <row r="26" spans="1:26" s="24" customFormat="1" hidden="1" outlineLevel="2" x14ac:dyDescent="0.25">
      <c r="A26" s="25"/>
      <c r="B26" s="11" t="str">
        <f>CONCATENATE("          ", "6112", " - ", "COMPENSATION INSURANCE")</f>
        <v xml:space="preserve">          6112 - COMPENSATION INSURANCE</v>
      </c>
      <c r="C26" s="11"/>
      <c r="D26" s="6">
        <v>75.34</v>
      </c>
      <c r="E26" s="2"/>
      <c r="F26" s="7">
        <f t="shared" si="12"/>
        <v>1.9613994301163592E-3</v>
      </c>
      <c r="G26" s="2"/>
      <c r="H26" s="6">
        <v>2402.2199999999998</v>
      </c>
      <c r="I26" s="2"/>
      <c r="J26" s="7">
        <f t="shared" si="13"/>
        <v>1.0512125098410867E-2</v>
      </c>
      <c r="K26" s="2"/>
      <c r="L26" s="6">
        <f t="shared" si="14"/>
        <v>-2326.8799999999997</v>
      </c>
      <c r="M26" s="2"/>
      <c r="N26" s="7">
        <f t="shared" si="15"/>
        <v>-0.96863734379032718</v>
      </c>
      <c r="O26" s="11"/>
      <c r="P26" s="6">
        <v>17266.09</v>
      </c>
      <c r="Q26" s="2"/>
      <c r="R26" s="7">
        <f t="shared" si="16"/>
        <v>2.6517967979835761E-2</v>
      </c>
      <c r="S26" s="2"/>
      <c r="T26" s="6">
        <v>19692.240000000002</v>
      </c>
      <c r="U26" s="2"/>
      <c r="V26" s="7">
        <f t="shared" si="17"/>
        <v>7.8044875256346674E-3</v>
      </c>
      <c r="W26" s="2"/>
      <c r="X26" s="6">
        <f t="shared" si="18"/>
        <v>-2426.1500000000015</v>
      </c>
      <c r="Y26" s="2"/>
      <c r="Z26" s="7">
        <f t="shared" si="19"/>
        <v>-0.12320335319902669</v>
      </c>
    </row>
    <row r="27" spans="1:26" s="24" customFormat="1" hidden="1" outlineLevel="2" x14ac:dyDescent="0.25">
      <c r="A27" s="25"/>
      <c r="B27" s="11" t="str">
        <f>CONCATENATE("          ", "6113", " - ", "GROUP INSURANCE")</f>
        <v xml:space="preserve">          6113 - GROUP INSURANCE</v>
      </c>
      <c r="C27" s="11"/>
      <c r="D27" s="6">
        <v>17691.580000000002</v>
      </c>
      <c r="E27" s="2"/>
      <c r="F27" s="7">
        <f t="shared" si="12"/>
        <v>0.46058209357390467</v>
      </c>
      <c r="G27" s="2"/>
      <c r="H27" s="6">
        <v>19108.37</v>
      </c>
      <c r="I27" s="2"/>
      <c r="J27" s="7">
        <f t="shared" si="13"/>
        <v>8.3618309674684782E-2</v>
      </c>
      <c r="K27" s="2"/>
      <c r="L27" s="6">
        <f t="shared" si="14"/>
        <v>-1416.7899999999972</v>
      </c>
      <c r="M27" s="2"/>
      <c r="N27" s="7">
        <f t="shared" si="15"/>
        <v>-7.4144995099006211E-2</v>
      </c>
      <c r="O27" s="11"/>
      <c r="P27" s="6">
        <v>120695.37999999999</v>
      </c>
      <c r="Q27" s="2"/>
      <c r="R27" s="7">
        <f t="shared" si="16"/>
        <v>0.18536890646082055</v>
      </c>
      <c r="S27" s="2"/>
      <c r="T27" s="6">
        <v>122389.01000000001</v>
      </c>
      <c r="U27" s="2"/>
      <c r="V27" s="7">
        <f t="shared" si="17"/>
        <v>4.8505578939713134E-2</v>
      </c>
      <c r="W27" s="2"/>
      <c r="X27" s="6">
        <f t="shared" si="18"/>
        <v>-1693.6300000000192</v>
      </c>
      <c r="Y27" s="2"/>
      <c r="Z27" s="7">
        <f t="shared" si="19"/>
        <v>-1.3838088893766027E-2</v>
      </c>
    </row>
    <row r="28" spans="1:26" s="24" customFormat="1" hidden="1" outlineLevel="2" x14ac:dyDescent="0.25">
      <c r="A28" s="25"/>
      <c r="B28" s="11" t="str">
        <f>CONCATENATE("          ", "6114", " - ", "STATE UNEMPLOYMENT INSURANCE")</f>
        <v xml:space="preserve">          6114 - STATE UNEMPLOYMENT INSURANCE</v>
      </c>
      <c r="C28" s="11"/>
      <c r="D28" s="6">
        <v>274.18</v>
      </c>
      <c r="E28" s="2"/>
      <c r="F28" s="7">
        <f t="shared" si="12"/>
        <v>7.1379943688519151E-3</v>
      </c>
      <c r="G28" s="2"/>
      <c r="H28" s="6">
        <v>160.97</v>
      </c>
      <c r="I28" s="2"/>
      <c r="J28" s="7">
        <f t="shared" si="13"/>
        <v>7.0440541544537869E-4</v>
      </c>
      <c r="K28" s="2"/>
      <c r="L28" s="6">
        <f t="shared" si="14"/>
        <v>113.21000000000001</v>
      </c>
      <c r="M28" s="2"/>
      <c r="N28" s="7">
        <f t="shared" si="15"/>
        <v>0.70329875132012176</v>
      </c>
      <c r="O28" s="11"/>
      <c r="P28" s="6">
        <v>1118.55</v>
      </c>
      <c r="Q28" s="2"/>
      <c r="R28" s="7">
        <f t="shared" si="16"/>
        <v>1.7179148888859777E-3</v>
      </c>
      <c r="S28" s="2"/>
      <c r="T28" s="6">
        <v>1697.87</v>
      </c>
      <c r="U28" s="2"/>
      <c r="V28" s="7">
        <f t="shared" si="17"/>
        <v>6.7290492270809872E-4</v>
      </c>
      <c r="W28" s="2"/>
      <c r="X28" s="6">
        <f t="shared" si="18"/>
        <v>-579.31999999999994</v>
      </c>
      <c r="Y28" s="2"/>
      <c r="Z28" s="7">
        <f t="shared" si="19"/>
        <v>-0.3412039791032293</v>
      </c>
    </row>
    <row r="29" spans="1:26" s="24" customFormat="1" hidden="1" outlineLevel="2" x14ac:dyDescent="0.25">
      <c r="A29" s="25"/>
      <c r="B29" s="11" t="str">
        <f>CONCATENATE("          ", "6115", " - ", "P.E.R.S.")</f>
        <v xml:space="preserve">          6115 - P.E.R.S.</v>
      </c>
      <c r="C29" s="11"/>
      <c r="D29" s="6">
        <v>2186.25</v>
      </c>
      <c r="E29" s="2"/>
      <c r="F29" s="7">
        <f t="shared" si="12"/>
        <v>5.6916770694078703E-2</v>
      </c>
      <c r="G29" s="2"/>
      <c r="H29" s="6">
        <v>1939.96</v>
      </c>
      <c r="I29" s="2"/>
      <c r="J29" s="7">
        <f t="shared" si="13"/>
        <v>8.4892733412897849E-3</v>
      </c>
      <c r="K29" s="2"/>
      <c r="L29" s="6">
        <f t="shared" si="14"/>
        <v>246.28999999999996</v>
      </c>
      <c r="M29" s="2"/>
      <c r="N29" s="7">
        <f t="shared" si="15"/>
        <v>0.12695622590156497</v>
      </c>
      <c r="O29" s="11"/>
      <c r="P29" s="6">
        <v>11726.56</v>
      </c>
      <c r="Q29" s="2"/>
      <c r="R29" s="7">
        <f t="shared" si="16"/>
        <v>1.8010130990491931E-2</v>
      </c>
      <c r="S29" s="2"/>
      <c r="T29" s="6">
        <v>9831.7000000000007</v>
      </c>
      <c r="U29" s="2"/>
      <c r="V29" s="7">
        <f t="shared" si="17"/>
        <v>3.8965287852363345E-3</v>
      </c>
      <c r="W29" s="2"/>
      <c r="X29" s="6">
        <f t="shared" si="18"/>
        <v>1894.8599999999988</v>
      </c>
      <c r="Y29" s="2"/>
      <c r="Z29" s="7">
        <f t="shared" si="19"/>
        <v>0.19272963983848151</v>
      </c>
    </row>
    <row r="30" spans="1:26" s="24" customFormat="1" hidden="1" outlineLevel="2" x14ac:dyDescent="0.25">
      <c r="A30" s="25"/>
      <c r="B30" s="11" t="str">
        <f>CONCATENATE("          ", "6117", " - ", "RETIREMENT STAFF HOURLY")</f>
        <v xml:space="preserve">          6117 - RETIREMENT STAFF HOURLY</v>
      </c>
      <c r="C30" s="11"/>
      <c r="D30" s="6">
        <v>531.84</v>
      </c>
      <c r="E30" s="2"/>
      <c r="F30" s="7">
        <f t="shared" si="12"/>
        <v>1.384590752472902E-2</v>
      </c>
      <c r="G30" s="2"/>
      <c r="H30" s="6">
        <v>884.86</v>
      </c>
      <c r="I30" s="2"/>
      <c r="J30" s="7">
        <f t="shared" si="13"/>
        <v>3.8721511828974202E-3</v>
      </c>
      <c r="K30" s="2"/>
      <c r="L30" s="6">
        <f t="shared" si="14"/>
        <v>-353.02</v>
      </c>
      <c r="M30" s="2"/>
      <c r="N30" s="7">
        <f t="shared" si="15"/>
        <v>-0.39895576701399088</v>
      </c>
      <c r="O30" s="11"/>
      <c r="P30" s="6">
        <v>3727.06</v>
      </c>
      <c r="Q30" s="2"/>
      <c r="R30" s="7">
        <f t="shared" si="16"/>
        <v>5.7241713519926444E-3</v>
      </c>
      <c r="S30" s="2"/>
      <c r="T30" s="6">
        <v>5510.33</v>
      </c>
      <c r="U30" s="2"/>
      <c r="V30" s="7">
        <f t="shared" si="17"/>
        <v>2.1838704864012661E-3</v>
      </c>
      <c r="W30" s="2"/>
      <c r="X30" s="6">
        <f t="shared" si="18"/>
        <v>-1783.27</v>
      </c>
      <c r="Y30" s="2"/>
      <c r="Z30" s="7">
        <f t="shared" si="19"/>
        <v>-0.32362308609466223</v>
      </c>
    </row>
    <row r="31" spans="1:26" s="24" customFormat="1" hidden="1" outlineLevel="2" x14ac:dyDescent="0.25">
      <c r="A31" s="25"/>
      <c r="B31" s="11" t="str">
        <f>CONCATENATE("          ", "6118", " - ", "VACATION")</f>
        <v xml:space="preserve">          6118 - VACATION</v>
      </c>
      <c r="C31" s="11"/>
      <c r="D31" s="6">
        <v>2606.96</v>
      </c>
      <c r="E31" s="2"/>
      <c r="F31" s="7">
        <f t="shared" si="12"/>
        <v>6.7869522940485039E-2</v>
      </c>
      <c r="G31" s="2"/>
      <c r="H31" s="6">
        <v>2658.94</v>
      </c>
      <c r="I31" s="2"/>
      <c r="J31" s="7">
        <f t="shared" si="13"/>
        <v>1.163553292752895E-2</v>
      </c>
      <c r="K31" s="2"/>
      <c r="L31" s="6">
        <f t="shared" si="14"/>
        <v>-51.980000000000018</v>
      </c>
      <c r="M31" s="2"/>
      <c r="N31" s="7">
        <f t="shared" si="15"/>
        <v>-1.9549143643707648E-2</v>
      </c>
      <c r="O31" s="11"/>
      <c r="P31" s="6">
        <v>18639.900000000001</v>
      </c>
      <c r="Q31" s="2"/>
      <c r="R31" s="7">
        <f t="shared" si="16"/>
        <v>2.8627921628309631E-2</v>
      </c>
      <c r="S31" s="2"/>
      <c r="T31" s="6">
        <v>20963.129999999997</v>
      </c>
      <c r="U31" s="2"/>
      <c r="V31" s="7">
        <f t="shared" si="17"/>
        <v>8.3081704561420045E-3</v>
      </c>
      <c r="W31" s="2"/>
      <c r="X31" s="6">
        <f t="shared" si="18"/>
        <v>-2323.2299999999959</v>
      </c>
      <c r="Y31" s="2"/>
      <c r="Z31" s="7">
        <f t="shared" si="19"/>
        <v>-0.11082457629180358</v>
      </c>
    </row>
    <row r="32" spans="1:26" s="24" customFormat="1" hidden="1" outlineLevel="2" x14ac:dyDescent="0.25">
      <c r="A32" s="25"/>
      <c r="B32" s="11" t="str">
        <f>CONCATENATE("          ", "6119", " - ", "SICK LEAVE")</f>
        <v xml:space="preserve">          6119 - SICK LEAVE</v>
      </c>
      <c r="C32" s="11"/>
      <c r="D32" s="6">
        <v>1633.22</v>
      </c>
      <c r="E32" s="2"/>
      <c r="F32" s="7">
        <f t="shared" si="12"/>
        <v>4.2519203308397133E-2</v>
      </c>
      <c r="G32" s="2"/>
      <c r="H32" s="6">
        <v>1743.76</v>
      </c>
      <c r="I32" s="2"/>
      <c r="J32" s="7">
        <f t="shared" si="13"/>
        <v>7.630701293638774E-3</v>
      </c>
      <c r="K32" s="2"/>
      <c r="L32" s="6">
        <f t="shared" si="14"/>
        <v>-110.53999999999996</v>
      </c>
      <c r="M32" s="2"/>
      <c r="N32" s="7">
        <f t="shared" si="15"/>
        <v>-6.3391751158416276E-2</v>
      </c>
      <c r="O32" s="11"/>
      <c r="P32" s="6">
        <v>11698.98</v>
      </c>
      <c r="Q32" s="2"/>
      <c r="R32" s="7">
        <f t="shared" si="16"/>
        <v>1.7967772497232377E-2</v>
      </c>
      <c r="S32" s="2"/>
      <c r="T32" s="6">
        <v>14738.68</v>
      </c>
      <c r="U32" s="2"/>
      <c r="V32" s="7">
        <f t="shared" si="17"/>
        <v>5.8412777928930964E-3</v>
      </c>
      <c r="W32" s="2"/>
      <c r="X32" s="6">
        <f t="shared" si="18"/>
        <v>-3039.7000000000007</v>
      </c>
      <c r="Y32" s="2"/>
      <c r="Z32" s="7">
        <f t="shared" si="19"/>
        <v>-0.20623963611395327</v>
      </c>
    </row>
    <row r="33" spans="1:26" s="24" customFormat="1" hidden="1" outlineLevel="2" x14ac:dyDescent="0.25">
      <c r="A33" s="25"/>
      <c r="B33" s="11" t="str">
        <f>CONCATENATE("          ", "6156", " - ", "EMPLOYEE MEALS")</f>
        <v xml:space="preserve">          6156 - EMPLOYEE MEALS</v>
      </c>
      <c r="C33" s="11"/>
      <c r="D33" s="6">
        <v>725.1</v>
      </c>
      <c r="E33" s="2"/>
      <c r="F33" s="7">
        <f t="shared" si="12"/>
        <v>1.8877232901212793E-2</v>
      </c>
      <c r="G33" s="2"/>
      <c r="H33" s="6">
        <v>1576.57</v>
      </c>
      <c r="I33" s="2"/>
      <c r="J33" s="7">
        <f t="shared" si="13"/>
        <v>6.8990771313208708E-3</v>
      </c>
      <c r="K33" s="2"/>
      <c r="L33" s="6">
        <f t="shared" si="14"/>
        <v>-851.46999999999991</v>
      </c>
      <c r="M33" s="2"/>
      <c r="N33" s="7">
        <f t="shared" si="15"/>
        <v>-0.54007751003761328</v>
      </c>
      <c r="O33" s="11"/>
      <c r="P33" s="6">
        <v>5564.45</v>
      </c>
      <c r="Q33" s="2"/>
      <c r="R33" s="7">
        <f t="shared" si="16"/>
        <v>8.5461101456900251E-3</v>
      </c>
      <c r="S33" s="2"/>
      <c r="T33" s="6">
        <v>9504.81</v>
      </c>
      <c r="U33" s="2"/>
      <c r="V33" s="7">
        <f t="shared" si="17"/>
        <v>3.7669747615572242E-3</v>
      </c>
      <c r="W33" s="2"/>
      <c r="X33" s="6">
        <f t="shared" si="18"/>
        <v>-3940.3599999999997</v>
      </c>
      <c r="Y33" s="2"/>
      <c r="Z33" s="7">
        <f t="shared" si="19"/>
        <v>-0.4145648361198172</v>
      </c>
    </row>
    <row r="34" spans="1:26" s="26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51997.840000000004</v>
      </c>
      <c r="E34" s="1"/>
      <c r="F34" s="5">
        <f t="shared" ref="F34:F40" si="20">IF(D$12=0,0,D34/D$12)</f>
        <v>1.3537102965659891</v>
      </c>
      <c r="G34" s="1"/>
      <c r="H34" s="1">
        <f>SUM(OSRRefH22_1x_0)</f>
        <v>76120.56</v>
      </c>
      <c r="I34" s="1"/>
      <c r="J34" s="5">
        <f t="shared" ref="J34:J40" si="21">IF(H$12=0,0,H34/H$12)</f>
        <v>0.33310389942681784</v>
      </c>
      <c r="K34" s="1"/>
      <c r="L34" s="1">
        <f t="shared" ref="L34:L40" si="22">+D34-H34</f>
        <v>-24122.719999999994</v>
      </c>
      <c r="M34" s="1"/>
      <c r="N34" s="5">
        <f t="shared" ref="N34:N40" si="23">IF(H34=0,0,L34/H34)</f>
        <v>-0.31690150466575645</v>
      </c>
      <c r="O34" s="13"/>
      <c r="P34" s="1">
        <f>SUM(OSRRefP22_1x_0)</f>
        <v>379944.87</v>
      </c>
      <c r="Q34" s="1"/>
      <c r="R34" s="5">
        <f t="shared" ref="R34:R40" si="24">IF(P$12=0,0,P34/P$12)</f>
        <v>0.58353488813986609</v>
      </c>
      <c r="S34" s="1"/>
      <c r="T34" s="1">
        <f>SUM(OSRRefT22_1x_0)</f>
        <v>633527.69000000006</v>
      </c>
      <c r="U34" s="1"/>
      <c r="V34" s="5">
        <f t="shared" ref="V34:V40" si="25">IF(T$12=0,0,T34/T$12)</f>
        <v>0.25108159121304363</v>
      </c>
      <c r="W34" s="1"/>
      <c r="X34" s="1">
        <f t="shared" ref="X34:X40" si="26">+P34-T34</f>
        <v>-253582.82000000007</v>
      </c>
      <c r="Y34" s="1"/>
      <c r="Z34" s="5">
        <f t="shared" ref="Z34:Z40" si="27">IF(T34=0,0,X34/T34)</f>
        <v>-0.40027109154455431</v>
      </c>
    </row>
    <row r="35" spans="1:26" s="24" customFormat="1" hidden="1" outlineLevel="2" x14ac:dyDescent="0.25">
      <c r="A35" s="25"/>
      <c r="B35" s="11" t="str">
        <f>CONCATENATE("          ", "6002", " - ", "STAFF SALARIES")</f>
        <v xml:space="preserve">          6002 - STAFF SALARIES</v>
      </c>
      <c r="C35" s="11"/>
      <c r="D35" s="6">
        <v>18971.47</v>
      </c>
      <c r="E35" s="2"/>
      <c r="F35" s="7">
        <f t="shared" si="20"/>
        <v>0.49390271365104327</v>
      </c>
      <c r="G35" s="2"/>
      <c r="H35" s="6">
        <v>17548.900000000001</v>
      </c>
      <c r="I35" s="2"/>
      <c r="J35" s="7">
        <f t="shared" si="21"/>
        <v>7.6794062217241763E-2</v>
      </c>
      <c r="K35" s="2"/>
      <c r="L35" s="6">
        <f t="shared" si="22"/>
        <v>1422.5699999999997</v>
      </c>
      <c r="M35" s="2"/>
      <c r="N35" s="7">
        <f t="shared" si="23"/>
        <v>8.1063200542484115E-2</v>
      </c>
      <c r="O35" s="11"/>
      <c r="P35" s="6">
        <v>107466.7</v>
      </c>
      <c r="Q35" s="2"/>
      <c r="R35" s="7">
        <f t="shared" si="24"/>
        <v>0.16505175807021832</v>
      </c>
      <c r="S35" s="2"/>
      <c r="T35" s="6">
        <v>107427.51</v>
      </c>
      <c r="U35" s="2"/>
      <c r="V35" s="7">
        <f t="shared" si="25"/>
        <v>4.2575992457180765E-2</v>
      </c>
      <c r="W35" s="2"/>
      <c r="X35" s="6">
        <f t="shared" si="26"/>
        <v>39.190000000002328</v>
      </c>
      <c r="Y35" s="2"/>
      <c r="Z35" s="7">
        <f t="shared" si="27"/>
        <v>3.6480413629620879E-4</v>
      </c>
    </row>
    <row r="36" spans="1:26" s="24" customFormat="1" hidden="1" outlineLevel="2" x14ac:dyDescent="0.25">
      <c r="A36" s="25"/>
      <c r="B36" s="11" t="str">
        <f>CONCATENATE("          ", "6004", " - ", "STAFF HOURLY")</f>
        <v xml:space="preserve">          6004 - STAFF HOURLY</v>
      </c>
      <c r="C36" s="11"/>
      <c r="D36" s="6">
        <v>12416.84</v>
      </c>
      <c r="E36" s="2"/>
      <c r="F36" s="7">
        <f t="shared" si="20"/>
        <v>0.32325966153233354</v>
      </c>
      <c r="G36" s="2"/>
      <c r="H36" s="6">
        <v>14182.1</v>
      </c>
      <c r="I36" s="2"/>
      <c r="J36" s="7">
        <f t="shared" si="21"/>
        <v>6.2060930871515839E-2</v>
      </c>
      <c r="K36" s="2"/>
      <c r="L36" s="6">
        <f t="shared" si="22"/>
        <v>-1765.2600000000002</v>
      </c>
      <c r="M36" s="2"/>
      <c r="N36" s="7">
        <f t="shared" si="23"/>
        <v>-0.124470988076519</v>
      </c>
      <c r="O36" s="11"/>
      <c r="P36" s="6">
        <v>109936.6</v>
      </c>
      <c r="Q36" s="2"/>
      <c r="R36" s="7">
        <f t="shared" si="24"/>
        <v>0.16884513161995637</v>
      </c>
      <c r="S36" s="2"/>
      <c r="T36" s="6">
        <v>137846.63</v>
      </c>
      <c r="U36" s="2"/>
      <c r="V36" s="7">
        <f t="shared" si="25"/>
        <v>5.4631789186287465E-2</v>
      </c>
      <c r="W36" s="2"/>
      <c r="X36" s="6">
        <f t="shared" si="26"/>
        <v>-27910.03</v>
      </c>
      <c r="Y36" s="2"/>
      <c r="Z36" s="7">
        <f t="shared" si="27"/>
        <v>-0.20247161646244088</v>
      </c>
    </row>
    <row r="37" spans="1:26" s="24" customFormat="1" hidden="1" outlineLevel="2" x14ac:dyDescent="0.25">
      <c r="A37" s="25"/>
      <c r="B37" s="11" t="str">
        <f>CONCATENATE("          ", "6005", " - ", "TEMPORARY WAGES-HOURLY")</f>
        <v xml:space="preserve">          6005 - TEMPORARY WAGES-HOURLY</v>
      </c>
      <c r="C37" s="11"/>
      <c r="D37" s="6">
        <v>8579.9500000000007</v>
      </c>
      <c r="E37" s="2"/>
      <c r="F37" s="7">
        <f t="shared" si="20"/>
        <v>0.22337017574232618</v>
      </c>
      <c r="G37" s="2"/>
      <c r="H37" s="6">
        <v>6400.5</v>
      </c>
      <c r="I37" s="2"/>
      <c r="J37" s="7">
        <f t="shared" si="21"/>
        <v>2.8008615652346063E-2</v>
      </c>
      <c r="K37" s="2"/>
      <c r="L37" s="6">
        <f t="shared" si="22"/>
        <v>2179.4500000000007</v>
      </c>
      <c r="M37" s="2"/>
      <c r="N37" s="7">
        <f t="shared" si="23"/>
        <v>0.34051245996406543</v>
      </c>
      <c r="O37" s="11"/>
      <c r="P37" s="6">
        <v>70743.679999999993</v>
      </c>
      <c r="Q37" s="2"/>
      <c r="R37" s="7">
        <f t="shared" si="24"/>
        <v>0.10865104033488458</v>
      </c>
      <c r="S37" s="2"/>
      <c r="T37" s="6">
        <v>113905.02</v>
      </c>
      <c r="U37" s="2"/>
      <c r="V37" s="7">
        <f t="shared" si="25"/>
        <v>4.5143178617423271E-2</v>
      </c>
      <c r="W37" s="2"/>
      <c r="X37" s="6">
        <f t="shared" si="26"/>
        <v>-43161.340000000011</v>
      </c>
      <c r="Y37" s="2"/>
      <c r="Z37" s="7">
        <f t="shared" si="27"/>
        <v>-0.37892394909372745</v>
      </c>
    </row>
    <row r="38" spans="1:26" s="24" customFormat="1" hidden="1" outlineLevel="2" x14ac:dyDescent="0.25">
      <c r="A38" s="25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0"/>
        <v>0</v>
      </c>
      <c r="G38" s="2"/>
      <c r="H38" s="6">
        <v>325</v>
      </c>
      <c r="I38" s="2"/>
      <c r="J38" s="7">
        <f t="shared" si="21"/>
        <v>1.4222014041110024E-3</v>
      </c>
      <c r="K38" s="2"/>
      <c r="L38" s="6">
        <f t="shared" si="22"/>
        <v>-325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9286</v>
      </c>
      <c r="U38" s="2"/>
      <c r="V38" s="7">
        <f t="shared" si="25"/>
        <v>3.6802553271259907E-3</v>
      </c>
      <c r="W38" s="2"/>
      <c r="X38" s="6">
        <f t="shared" si="26"/>
        <v>-9286</v>
      </c>
      <c r="Y38" s="2"/>
      <c r="Z38" s="7">
        <f t="shared" si="27"/>
        <v>-1</v>
      </c>
    </row>
    <row r="39" spans="1:26" s="24" customFormat="1" hidden="1" outlineLevel="2" x14ac:dyDescent="0.25">
      <c r="A39" s="25"/>
      <c r="B39" s="11" t="str">
        <f>CONCATENATE("          ", "6007", " - ", "STUDENT HOURLY")</f>
        <v xml:space="preserve">          6007 - STUDENT HOURLY</v>
      </c>
      <c r="C39" s="11"/>
      <c r="D39" s="6">
        <v>12029.58</v>
      </c>
      <c r="E39" s="2"/>
      <c r="F39" s="7">
        <f t="shared" si="20"/>
        <v>0.313177745640286</v>
      </c>
      <c r="G39" s="2"/>
      <c r="H39" s="6">
        <v>35460.559999999998</v>
      </c>
      <c r="I39" s="2"/>
      <c r="J39" s="7">
        <f t="shared" si="21"/>
        <v>0.15517556376173061</v>
      </c>
      <c r="K39" s="2"/>
      <c r="L39" s="6">
        <f t="shared" si="22"/>
        <v>-23430.979999999996</v>
      </c>
      <c r="M39" s="2"/>
      <c r="N39" s="7">
        <f t="shared" si="23"/>
        <v>-0.66076170257886502</v>
      </c>
      <c r="O39" s="11"/>
      <c r="P39" s="6">
        <v>81167.010000000009</v>
      </c>
      <c r="Q39" s="2"/>
      <c r="R39" s="7">
        <f t="shared" si="24"/>
        <v>0.1246596173307917</v>
      </c>
      <c r="S39" s="2"/>
      <c r="T39" s="6">
        <v>205502.03</v>
      </c>
      <c r="U39" s="2"/>
      <c r="V39" s="7">
        <f t="shared" si="25"/>
        <v>8.1445179909832549E-2</v>
      </c>
      <c r="W39" s="2"/>
      <c r="X39" s="6">
        <f t="shared" si="26"/>
        <v>-124335.01999999999</v>
      </c>
      <c r="Y39" s="2"/>
      <c r="Z39" s="7">
        <f t="shared" si="27"/>
        <v>-0.60503061697249405</v>
      </c>
    </row>
    <row r="40" spans="1:26" s="24" customFormat="1" hidden="1" outlineLevel="2" x14ac:dyDescent="0.25">
      <c r="A40" s="25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0"/>
        <v>0</v>
      </c>
      <c r="G40" s="2"/>
      <c r="H40" s="6">
        <v>2203.5</v>
      </c>
      <c r="I40" s="2"/>
      <c r="J40" s="7">
        <f t="shared" si="21"/>
        <v>9.6425255198725971E-3</v>
      </c>
      <c r="K40" s="2"/>
      <c r="L40" s="6">
        <f t="shared" si="22"/>
        <v>-2203.5</v>
      </c>
      <c r="M40" s="2"/>
      <c r="N40" s="7">
        <f t="shared" si="23"/>
        <v>-1</v>
      </c>
      <c r="O40" s="11"/>
      <c r="P40" s="6">
        <v>10630.88</v>
      </c>
      <c r="Q40" s="2"/>
      <c r="R40" s="7">
        <f t="shared" si="24"/>
        <v>1.6327340784015165E-2</v>
      </c>
      <c r="S40" s="2"/>
      <c r="T40" s="6">
        <v>59560.5</v>
      </c>
      <c r="U40" s="2"/>
      <c r="V40" s="7">
        <f t="shared" si="25"/>
        <v>2.3605195715193577E-2</v>
      </c>
      <c r="W40" s="2"/>
      <c r="X40" s="6">
        <f t="shared" si="26"/>
        <v>-48929.62</v>
      </c>
      <c r="Y40" s="2"/>
      <c r="Z40" s="7">
        <f t="shared" si="27"/>
        <v>-0.82151123647383761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16.170000000000002</v>
      </c>
      <c r="E41" s="1"/>
      <c r="F41" s="5">
        <f t="shared" ref="F41:F62" si="28">IF(D$12=0,0,D41/D$12)</f>
        <v>4.2096932286941235E-4</v>
      </c>
      <c r="G41" s="1"/>
      <c r="H41" s="1">
        <f>SUM(OSRRefH22_2x_0)</f>
        <v>95.5</v>
      </c>
      <c r="I41" s="1"/>
      <c r="J41" s="5">
        <f t="shared" ref="J41:J62" si="29">IF(H$12=0,0,H41/H$12)</f>
        <v>4.1790841259261766E-4</v>
      </c>
      <c r="K41" s="1"/>
      <c r="L41" s="1">
        <f t="shared" ref="L41:L62" si="30">+D41-H41</f>
        <v>-79.33</v>
      </c>
      <c r="M41" s="1"/>
      <c r="N41" s="5">
        <f t="shared" ref="N41:N62" si="31">IF(H41=0,0,L41/H41)</f>
        <v>-0.83068062827225131</v>
      </c>
      <c r="O41" s="13"/>
      <c r="P41" s="1">
        <f>SUM(OSRRefP22_2x_0)</f>
        <v>1240.42</v>
      </c>
      <c r="Q41" s="1"/>
      <c r="R41" s="5">
        <f t="shared" ref="R41:R62" si="32">IF(P$12=0,0,P41/P$12)</f>
        <v>1.9050878248374633E-3</v>
      </c>
      <c r="S41" s="1"/>
      <c r="T41" s="1">
        <f>SUM(OSRRefT22_2x_0)</f>
        <v>2531.4499999999998</v>
      </c>
      <c r="U41" s="1"/>
      <c r="V41" s="5">
        <f t="shared" ref="V41:V62" si="33">IF(T$12=0,0,T41/T$12)</f>
        <v>1.0032718444812716E-3</v>
      </c>
      <c r="W41" s="1"/>
      <c r="X41" s="1">
        <f t="shared" ref="X41:X62" si="34">+P41-T41</f>
        <v>-1291.0299999999997</v>
      </c>
      <c r="Y41" s="1"/>
      <c r="Z41" s="5">
        <f t="shared" ref="Z41:Z62" si="35">IF(T41=0,0,X41/T41)</f>
        <v>-0.50999624721009695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>
        <v>16.170000000000002</v>
      </c>
      <c r="E42" s="2"/>
      <c r="F42" s="7">
        <f t="shared" si="28"/>
        <v>4.2096932286941235E-4</v>
      </c>
      <c r="G42" s="2"/>
      <c r="H42" s="6">
        <v>95.5</v>
      </c>
      <c r="I42" s="2"/>
      <c r="J42" s="7">
        <f t="shared" si="29"/>
        <v>4.1790841259261766E-4</v>
      </c>
      <c r="K42" s="2"/>
      <c r="L42" s="6">
        <f t="shared" si="30"/>
        <v>-79.33</v>
      </c>
      <c r="M42" s="2"/>
      <c r="N42" s="7">
        <f t="shared" si="31"/>
        <v>-0.83068062827225131</v>
      </c>
      <c r="O42" s="11"/>
      <c r="P42" s="6">
        <v>1240.42</v>
      </c>
      <c r="Q42" s="2"/>
      <c r="R42" s="7">
        <f t="shared" si="32"/>
        <v>1.9050878248374633E-3</v>
      </c>
      <c r="S42" s="2"/>
      <c r="T42" s="6">
        <v>2531.4499999999998</v>
      </c>
      <c r="U42" s="2"/>
      <c r="V42" s="7">
        <f t="shared" si="33"/>
        <v>1.0032718444812716E-3</v>
      </c>
      <c r="W42" s="2"/>
      <c r="X42" s="6">
        <f t="shared" si="34"/>
        <v>-1291.0299999999997</v>
      </c>
      <c r="Y42" s="2"/>
      <c r="Z42" s="7">
        <f t="shared" si="35"/>
        <v>-0.50999624721009695</v>
      </c>
    </row>
    <row r="43" spans="1:26" s="26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SUM(OSRRefP22_3x_0)</f>
        <v>40</v>
      </c>
      <c r="Q43" s="1"/>
      <c r="R43" s="5">
        <f t="shared" si="32"/>
        <v>6.1433637794858613E-5</v>
      </c>
      <c r="S43" s="1"/>
      <c r="T43" s="1">
        <f>SUM(OSRRefT22_3x_0)</f>
        <v>16.239999999999998</v>
      </c>
      <c r="U43" s="1"/>
      <c r="V43" s="5">
        <f t="shared" si="33"/>
        <v>6.4362854310280079E-6</v>
      </c>
      <c r="W43" s="1"/>
      <c r="X43" s="1">
        <f t="shared" si="34"/>
        <v>23.76</v>
      </c>
      <c r="Y43" s="1"/>
      <c r="Z43" s="5">
        <f t="shared" si="35"/>
        <v>1.4630541871921185</v>
      </c>
    </row>
    <row r="44" spans="1:26" s="24" customFormat="1" hidden="1" outlineLevel="2" x14ac:dyDescent="0.25">
      <c r="A44" s="25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8"/>
        <v>0</v>
      </c>
      <c r="G44" s="2"/>
      <c r="H44" s="6"/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>
        <v>40</v>
      </c>
      <c r="Q44" s="2"/>
      <c r="R44" s="7">
        <f t="shared" si="32"/>
        <v>6.1433637794858613E-5</v>
      </c>
      <c r="S44" s="2"/>
      <c r="T44" s="6">
        <v>16.239999999999998</v>
      </c>
      <c r="U44" s="2"/>
      <c r="V44" s="7">
        <f t="shared" si="33"/>
        <v>6.4362854310280079E-6</v>
      </c>
      <c r="W44" s="2"/>
      <c r="X44" s="6">
        <f t="shared" si="34"/>
        <v>23.76</v>
      </c>
      <c r="Y44" s="2"/>
      <c r="Z44" s="7">
        <f t="shared" si="35"/>
        <v>1.4630541871921185</v>
      </c>
    </row>
    <row r="45" spans="1:26" s="26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76.12</v>
      </c>
      <c r="E45" s="1"/>
      <c r="F45" s="5">
        <f t="shared" si="28"/>
        <v>1.9817059280655331E-3</v>
      </c>
      <c r="G45" s="1"/>
      <c r="H45" s="1">
        <f>SUM(OSRRefH22_4x_0)</f>
        <v>34.85</v>
      </c>
      <c r="I45" s="1"/>
      <c r="J45" s="5">
        <f t="shared" si="29"/>
        <v>1.5250375056390287E-4</v>
      </c>
      <c r="K45" s="1"/>
      <c r="L45" s="1">
        <f t="shared" si="30"/>
        <v>41.27</v>
      </c>
      <c r="M45" s="1"/>
      <c r="N45" s="5">
        <f t="shared" si="31"/>
        <v>1.1842180774748925</v>
      </c>
      <c r="O45" s="13"/>
      <c r="P45" s="1">
        <f>SUM(OSRRefP22_4x_0)</f>
        <v>111.32</v>
      </c>
      <c r="Q45" s="1"/>
      <c r="R45" s="5">
        <f t="shared" si="32"/>
        <v>1.7096981398309152E-4</v>
      </c>
      <c r="S45" s="1"/>
      <c r="T45" s="1">
        <f>SUM(OSRRefT22_4x_0)</f>
        <v>956.8</v>
      </c>
      <c r="U45" s="1"/>
      <c r="V45" s="5">
        <f t="shared" si="33"/>
        <v>3.7920184115810331E-4</v>
      </c>
      <c r="W45" s="1"/>
      <c r="X45" s="1">
        <f t="shared" si="34"/>
        <v>-845.48</v>
      </c>
      <c r="Y45" s="1"/>
      <c r="Z45" s="5">
        <f t="shared" si="35"/>
        <v>-0.88365384615384623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6">
        <v>76.12</v>
      </c>
      <c r="E46" s="2"/>
      <c r="F46" s="7">
        <f t="shared" si="28"/>
        <v>1.9817059280655331E-3</v>
      </c>
      <c r="G46" s="2"/>
      <c r="H46" s="6">
        <v>34.85</v>
      </c>
      <c r="I46" s="2"/>
      <c r="J46" s="7">
        <f t="shared" si="29"/>
        <v>1.5250375056390287E-4</v>
      </c>
      <c r="K46" s="2"/>
      <c r="L46" s="6">
        <f t="shared" si="30"/>
        <v>41.27</v>
      </c>
      <c r="M46" s="2"/>
      <c r="N46" s="7">
        <f t="shared" si="31"/>
        <v>1.1842180774748925</v>
      </c>
      <c r="O46" s="11"/>
      <c r="P46" s="6">
        <v>111.32</v>
      </c>
      <c r="Q46" s="2"/>
      <c r="R46" s="7">
        <f t="shared" si="32"/>
        <v>1.7096981398309152E-4</v>
      </c>
      <c r="S46" s="2"/>
      <c r="T46" s="6">
        <v>956.8</v>
      </c>
      <c r="U46" s="2"/>
      <c r="V46" s="7">
        <f t="shared" si="33"/>
        <v>3.7920184115810331E-4</v>
      </c>
      <c r="W46" s="2"/>
      <c r="X46" s="6">
        <f t="shared" si="34"/>
        <v>-845.48</v>
      </c>
      <c r="Y46" s="2"/>
      <c r="Z46" s="7">
        <f t="shared" si="35"/>
        <v>-0.88365384615384623</v>
      </c>
    </row>
    <row r="47" spans="1:26" s="26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272.74</v>
      </c>
      <c r="E47" s="1"/>
      <c r="F47" s="5">
        <f t="shared" si="28"/>
        <v>7.1005054495611331E-3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272.74</v>
      </c>
      <c r="M47" s="1"/>
      <c r="N47" s="5">
        <f t="shared" si="31"/>
        <v>0</v>
      </c>
      <c r="O47" s="13"/>
      <c r="P47" s="1">
        <f>SUM(OSRRefP22_5x_0)</f>
        <v>1644.96</v>
      </c>
      <c r="Q47" s="1"/>
      <c r="R47" s="5">
        <f t="shared" si="32"/>
        <v>2.5263969206757659E-3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1644.96</v>
      </c>
      <c r="Y47" s="1"/>
      <c r="Z47" s="5">
        <f t="shared" si="35"/>
        <v>0</v>
      </c>
    </row>
    <row r="48" spans="1:26" s="24" customFormat="1" hidden="1" outlineLevel="2" x14ac:dyDescent="0.25">
      <c r="A48" s="25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272.74</v>
      </c>
      <c r="E48" s="2"/>
      <c r="F48" s="7">
        <f t="shared" si="28"/>
        <v>7.1005054495611331E-3</v>
      </c>
      <c r="G48" s="2"/>
      <c r="H48" s="6"/>
      <c r="I48" s="2"/>
      <c r="J48" s="7">
        <f t="shared" si="29"/>
        <v>0</v>
      </c>
      <c r="K48" s="2"/>
      <c r="L48" s="6">
        <f t="shared" si="30"/>
        <v>272.74</v>
      </c>
      <c r="M48" s="2"/>
      <c r="N48" s="7">
        <f t="shared" si="31"/>
        <v>0</v>
      </c>
      <c r="O48" s="11"/>
      <c r="P48" s="6">
        <v>1644.96</v>
      </c>
      <c r="Q48" s="2"/>
      <c r="R48" s="7">
        <f t="shared" si="32"/>
        <v>2.5263969206757659E-3</v>
      </c>
      <c r="S48" s="2"/>
      <c r="T48" s="6"/>
      <c r="U48" s="2"/>
      <c r="V48" s="7">
        <f t="shared" si="33"/>
        <v>0</v>
      </c>
      <c r="W48" s="2"/>
      <c r="X48" s="6">
        <f t="shared" si="34"/>
        <v>1644.96</v>
      </c>
      <c r="Y48" s="2"/>
      <c r="Z48" s="7">
        <f t="shared" si="35"/>
        <v>0</v>
      </c>
    </row>
    <row r="49" spans="1:26" s="26" customFormat="1" outlineLevel="1" collapsed="1" x14ac:dyDescent="0.25">
      <c r="A49" s="27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SUM(OSRRefD22_6x_0)</f>
        <v>1459.14</v>
      </c>
      <c r="E49" s="1"/>
      <c r="F49" s="5">
        <f t="shared" si="28"/>
        <v>3.7987209509689195E-2</v>
      </c>
      <c r="G49" s="1"/>
      <c r="H49" s="1">
        <f>SUM(OSRRefH22_6x_0)</f>
        <v>2177.48</v>
      </c>
      <c r="I49" s="1"/>
      <c r="J49" s="5">
        <f t="shared" si="29"/>
        <v>9.5286618874573098E-3</v>
      </c>
      <c r="K49" s="1"/>
      <c r="L49" s="1">
        <f t="shared" si="30"/>
        <v>-718.33999999999992</v>
      </c>
      <c r="M49" s="1"/>
      <c r="N49" s="5">
        <f t="shared" si="31"/>
        <v>-0.3298951081066186</v>
      </c>
      <c r="O49" s="13"/>
      <c r="P49" s="1">
        <f>SUM(OSRRefP22_6x_0)</f>
        <v>38281.15</v>
      </c>
      <c r="Q49" s="1"/>
      <c r="R49" s="5">
        <f t="shared" si="32"/>
        <v>5.8793757586766304E-2</v>
      </c>
      <c r="S49" s="1"/>
      <c r="T49" s="1">
        <f>SUM(OSRRefT22_6x_0)</f>
        <v>19569.05</v>
      </c>
      <c r="U49" s="1"/>
      <c r="V49" s="5">
        <f t="shared" si="33"/>
        <v>7.7556644959395713E-3</v>
      </c>
      <c r="W49" s="1"/>
      <c r="X49" s="1">
        <f t="shared" si="34"/>
        <v>18712.100000000002</v>
      </c>
      <c r="Y49" s="1"/>
      <c r="Z49" s="5">
        <f t="shared" si="35"/>
        <v>0.95620891152099885</v>
      </c>
    </row>
    <row r="50" spans="1:26" s="24" customFormat="1" hidden="1" outlineLevel="2" x14ac:dyDescent="0.25">
      <c r="A50" s="25"/>
      <c r="B50" s="11" t="str">
        <f>CONCATENATE("          ", "6399", " - ", "DONATION-ON CAMPUS")</f>
        <v xml:space="preserve">          6399 - DONATION-ON CAMPUS</v>
      </c>
      <c r="C50" s="11"/>
      <c r="D50" s="6">
        <v>1459.14</v>
      </c>
      <c r="E50" s="2"/>
      <c r="F50" s="7">
        <f t="shared" si="28"/>
        <v>3.7987209509689195E-2</v>
      </c>
      <c r="G50" s="2"/>
      <c r="H50" s="6">
        <v>2177.48</v>
      </c>
      <c r="I50" s="2"/>
      <c r="J50" s="7">
        <f t="shared" si="29"/>
        <v>9.5286618874573098E-3</v>
      </c>
      <c r="K50" s="2"/>
      <c r="L50" s="6">
        <f t="shared" si="30"/>
        <v>-718.33999999999992</v>
      </c>
      <c r="M50" s="2"/>
      <c r="N50" s="7">
        <f t="shared" si="31"/>
        <v>-0.3298951081066186</v>
      </c>
      <c r="O50" s="11"/>
      <c r="P50" s="6">
        <v>38281.15</v>
      </c>
      <c r="Q50" s="2"/>
      <c r="R50" s="7">
        <f t="shared" si="32"/>
        <v>5.8793757586766304E-2</v>
      </c>
      <c r="S50" s="2"/>
      <c r="T50" s="6">
        <v>19569.05</v>
      </c>
      <c r="U50" s="2"/>
      <c r="V50" s="7">
        <f t="shared" si="33"/>
        <v>7.7556644959395713E-3</v>
      </c>
      <c r="W50" s="2"/>
      <c r="X50" s="6">
        <f t="shared" si="34"/>
        <v>18712.100000000002</v>
      </c>
      <c r="Y50" s="2"/>
      <c r="Z50" s="7">
        <f t="shared" si="35"/>
        <v>0.95620891152099885</v>
      </c>
    </row>
    <row r="51" spans="1:26" s="26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488.02</v>
      </c>
      <c r="I51" s="1"/>
      <c r="J51" s="5">
        <f t="shared" si="29"/>
        <v>2.1355776284130812E-3</v>
      </c>
      <c r="K51" s="1"/>
      <c r="L51" s="1">
        <f t="shared" si="30"/>
        <v>-488.02</v>
      </c>
      <c r="M51" s="1"/>
      <c r="N51" s="5">
        <f t="shared" si="31"/>
        <v>-1</v>
      </c>
      <c r="O51" s="13"/>
      <c r="P51" s="1">
        <f>SUM(OSRRefP22_7x_0)</f>
        <v>0</v>
      </c>
      <c r="Q51" s="1"/>
      <c r="R51" s="5">
        <f t="shared" si="32"/>
        <v>0</v>
      </c>
      <c r="S51" s="1"/>
      <c r="T51" s="1">
        <f>SUM(OSRRefT22_7x_0)</f>
        <v>1564</v>
      </c>
      <c r="U51" s="1"/>
      <c r="V51" s="5">
        <f t="shared" si="33"/>
        <v>6.1984916343151507E-4</v>
      </c>
      <c r="W51" s="1"/>
      <c r="X51" s="1">
        <f t="shared" si="34"/>
        <v>-1564</v>
      </c>
      <c r="Y51" s="1"/>
      <c r="Z51" s="5">
        <f t="shared" si="35"/>
        <v>-1</v>
      </c>
    </row>
    <row r="52" spans="1:26" s="24" customFormat="1" hidden="1" outlineLevel="2" x14ac:dyDescent="0.25">
      <c r="A52" s="25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8"/>
        <v>0</v>
      </c>
      <c r="G52" s="2"/>
      <c r="H52" s="6">
        <v>488.02</v>
      </c>
      <c r="I52" s="2"/>
      <c r="J52" s="7">
        <f t="shared" si="29"/>
        <v>2.1355776284130812E-3</v>
      </c>
      <c r="K52" s="2"/>
      <c r="L52" s="6">
        <f t="shared" si="30"/>
        <v>-488.02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1564</v>
      </c>
      <c r="U52" s="2"/>
      <c r="V52" s="7">
        <f t="shared" si="33"/>
        <v>6.1984916343151507E-4</v>
      </c>
      <c r="W52" s="2"/>
      <c r="X52" s="6">
        <f t="shared" si="34"/>
        <v>-1564</v>
      </c>
      <c r="Y52" s="2"/>
      <c r="Z52" s="7">
        <f t="shared" si="35"/>
        <v>-1</v>
      </c>
    </row>
    <row r="53" spans="1:26" s="26" customFormat="1" outlineLevel="1" collapsed="1" x14ac:dyDescent="0.25">
      <c r="A53" s="27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SUM(OSRRefD22_8x_0)</f>
        <v>245.6</v>
      </c>
      <c r="E53" s="1"/>
      <c r="F53" s="5">
        <f t="shared" si="28"/>
        <v>6.3939434568168006E-3</v>
      </c>
      <c r="G53" s="1"/>
      <c r="H53" s="1">
        <f>SUM(OSRRefH22_8x_0)</f>
        <v>525.41999999999996</v>
      </c>
      <c r="I53" s="1"/>
      <c r="J53" s="5">
        <f t="shared" si="29"/>
        <v>2.299240189993855E-3</v>
      </c>
      <c r="K53" s="1"/>
      <c r="L53" s="1">
        <f t="shared" si="30"/>
        <v>-279.81999999999994</v>
      </c>
      <c r="M53" s="1"/>
      <c r="N53" s="5">
        <f t="shared" si="31"/>
        <v>-0.53256442465075549</v>
      </c>
      <c r="O53" s="13"/>
      <c r="P53" s="1">
        <f>SUM(OSRRefP22_8x_0)</f>
        <v>1766.46</v>
      </c>
      <c r="Q53" s="1"/>
      <c r="R53" s="5">
        <f t="shared" si="32"/>
        <v>2.713001595477649E-3</v>
      </c>
      <c r="S53" s="1"/>
      <c r="T53" s="1">
        <f>SUM(OSRRefT22_8x_0)</f>
        <v>2027.97</v>
      </c>
      <c r="U53" s="1"/>
      <c r="V53" s="5">
        <f t="shared" si="33"/>
        <v>8.0373114319962254E-4</v>
      </c>
      <c r="W53" s="1"/>
      <c r="X53" s="1">
        <f t="shared" si="34"/>
        <v>-261.51</v>
      </c>
      <c r="Y53" s="1"/>
      <c r="Z53" s="5">
        <f t="shared" si="35"/>
        <v>-0.12895161171023239</v>
      </c>
    </row>
    <row r="54" spans="1:26" s="24" customFormat="1" hidden="1" outlineLevel="2" x14ac:dyDescent="0.25">
      <c r="A54" s="25"/>
      <c r="B54" s="11" t="str">
        <f>CONCATENATE("          ", "6351", " - ", "EQUIPMENT RENTAL")</f>
        <v xml:space="preserve">          6351 - EQUIPMENT RENTAL</v>
      </c>
      <c r="C54" s="11"/>
      <c r="D54" s="6">
        <v>245.6</v>
      </c>
      <c r="E54" s="2"/>
      <c r="F54" s="7">
        <f t="shared" si="28"/>
        <v>6.3939434568168006E-3</v>
      </c>
      <c r="G54" s="2"/>
      <c r="H54" s="6">
        <v>525.41999999999996</v>
      </c>
      <c r="I54" s="2"/>
      <c r="J54" s="7">
        <f t="shared" si="29"/>
        <v>2.299240189993855E-3</v>
      </c>
      <c r="K54" s="2"/>
      <c r="L54" s="6">
        <f t="shared" si="30"/>
        <v>-279.81999999999994</v>
      </c>
      <c r="M54" s="2"/>
      <c r="N54" s="7">
        <f t="shared" si="31"/>
        <v>-0.53256442465075549</v>
      </c>
      <c r="O54" s="11"/>
      <c r="P54" s="6">
        <v>1766.46</v>
      </c>
      <c r="Q54" s="2"/>
      <c r="R54" s="7">
        <f t="shared" si="32"/>
        <v>2.713001595477649E-3</v>
      </c>
      <c r="S54" s="2"/>
      <c r="T54" s="6">
        <v>2027.97</v>
      </c>
      <c r="U54" s="2"/>
      <c r="V54" s="7">
        <f t="shared" si="33"/>
        <v>8.0373114319962254E-4</v>
      </c>
      <c r="W54" s="2"/>
      <c r="X54" s="6">
        <f t="shared" si="34"/>
        <v>-261.51</v>
      </c>
      <c r="Y54" s="2"/>
      <c r="Z54" s="7">
        <f t="shared" si="35"/>
        <v>-0.12895161171023239</v>
      </c>
    </row>
    <row r="55" spans="1:26" s="26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0</v>
      </c>
      <c r="E55" s="1"/>
      <c r="F55" s="5">
        <f t="shared" si="28"/>
        <v>0</v>
      </c>
      <c r="G55" s="1"/>
      <c r="H55" s="1">
        <f>SUM(OSRRefH22_9x_0)</f>
        <v>305.45999999999998</v>
      </c>
      <c r="I55" s="1"/>
      <c r="J55" s="5">
        <f t="shared" si="29"/>
        <v>1.3366942796915284E-3</v>
      </c>
      <c r="K55" s="1"/>
      <c r="L55" s="1">
        <f t="shared" si="30"/>
        <v>-305.45999999999998</v>
      </c>
      <c r="M55" s="1"/>
      <c r="N55" s="5">
        <f t="shared" si="31"/>
        <v>-1</v>
      </c>
      <c r="O55" s="13"/>
      <c r="P55" s="1">
        <f>SUM(OSRRefP22_9x_0)</f>
        <v>1888.78</v>
      </c>
      <c r="Q55" s="1"/>
      <c r="R55" s="5">
        <f t="shared" si="32"/>
        <v>2.9008656598543264E-3</v>
      </c>
      <c r="S55" s="1"/>
      <c r="T55" s="1">
        <f>SUM(OSRRefT22_9x_0)</f>
        <v>2974.62</v>
      </c>
      <c r="U55" s="1"/>
      <c r="V55" s="5">
        <f t="shared" si="33"/>
        <v>1.1789103059633333E-3</v>
      </c>
      <c r="W55" s="1"/>
      <c r="X55" s="1">
        <f t="shared" si="34"/>
        <v>-1085.8399999999999</v>
      </c>
      <c r="Y55" s="1"/>
      <c r="Z55" s="5">
        <f t="shared" si="35"/>
        <v>-0.36503486159576681</v>
      </c>
    </row>
    <row r="56" spans="1:26" s="24" customFormat="1" hidden="1" outlineLevel="2" x14ac:dyDescent="0.25">
      <c r="A56" s="25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8"/>
        <v>0</v>
      </c>
      <c r="G56" s="2"/>
      <c r="H56" s="6">
        <v>305.45999999999998</v>
      </c>
      <c r="I56" s="2"/>
      <c r="J56" s="7">
        <f t="shared" si="29"/>
        <v>1.3366942796915284E-3</v>
      </c>
      <c r="K56" s="2"/>
      <c r="L56" s="6">
        <f t="shared" si="30"/>
        <v>-305.45999999999998</v>
      </c>
      <c r="M56" s="2"/>
      <c r="N56" s="7">
        <f t="shared" si="31"/>
        <v>-1</v>
      </c>
      <c r="O56" s="11"/>
      <c r="P56" s="6">
        <v>1888.78</v>
      </c>
      <c r="Q56" s="2"/>
      <c r="R56" s="7">
        <f t="shared" si="32"/>
        <v>2.9008656598543264E-3</v>
      </c>
      <c r="S56" s="2"/>
      <c r="T56" s="6">
        <v>2974.62</v>
      </c>
      <c r="U56" s="2"/>
      <c r="V56" s="7">
        <f t="shared" si="33"/>
        <v>1.1789103059633333E-3</v>
      </c>
      <c r="W56" s="2"/>
      <c r="X56" s="6">
        <f t="shared" si="34"/>
        <v>-1085.8399999999999</v>
      </c>
      <c r="Y56" s="2"/>
      <c r="Z56" s="7">
        <f t="shared" si="35"/>
        <v>-0.36503486159576681</v>
      </c>
    </row>
    <row r="57" spans="1:26" s="26" customFormat="1" outlineLevel="1" collapsed="1" x14ac:dyDescent="0.25">
      <c r="A57" s="27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-29090.31</v>
      </c>
      <c r="E57" s="1"/>
      <c r="F57" s="5">
        <f t="shared" si="28"/>
        <v>-0.75733630814850306</v>
      </c>
      <c r="G57" s="1"/>
      <c r="H57" s="1">
        <f>SUM(OSRRefH22_10x_0)</f>
        <v>18355.560000000001</v>
      </c>
      <c r="I57" s="1"/>
      <c r="J57" s="5">
        <f t="shared" si="29"/>
        <v>8.0324009862288479E-2</v>
      </c>
      <c r="K57" s="1"/>
      <c r="L57" s="1">
        <f t="shared" si="30"/>
        <v>-47445.87</v>
      </c>
      <c r="M57" s="1"/>
      <c r="N57" s="5">
        <f t="shared" si="31"/>
        <v>-2.5848228002850364</v>
      </c>
      <c r="O57" s="13"/>
      <c r="P57" s="1">
        <f>SUM(OSRRefP22_10x_0)</f>
        <v>44014.009999999995</v>
      </c>
      <c r="Q57" s="1"/>
      <c r="R57" s="5">
        <f t="shared" si="32"/>
        <v>6.7598518705982116E-2</v>
      </c>
      <c r="S57" s="1"/>
      <c r="T57" s="1">
        <f>SUM(OSRRefT22_10x_0)</f>
        <v>197004.46</v>
      </c>
      <c r="U57" s="1"/>
      <c r="V57" s="5">
        <f t="shared" si="33"/>
        <v>7.8077397521277098E-2</v>
      </c>
      <c r="W57" s="1"/>
      <c r="X57" s="1">
        <f t="shared" si="34"/>
        <v>-152990.45000000001</v>
      </c>
      <c r="Y57" s="1"/>
      <c r="Z57" s="5">
        <f t="shared" si="35"/>
        <v>-0.77658368749621209</v>
      </c>
    </row>
    <row r="58" spans="1:26" s="24" customFormat="1" hidden="1" outlineLevel="2" x14ac:dyDescent="0.25">
      <c r="A58" s="25"/>
      <c r="B58" s="11" t="str">
        <f>CONCATENATE("          ", "6387", " - ", "COMMISSION DUE HOUSING")</f>
        <v xml:space="preserve">          6387 - COMMISSION DUE HOUSING</v>
      </c>
      <c r="C58" s="11"/>
      <c r="D58" s="6">
        <v>-29090.31</v>
      </c>
      <c r="E58" s="2"/>
      <c r="F58" s="7">
        <f t="shared" si="28"/>
        <v>-0.75733630814850306</v>
      </c>
      <c r="G58" s="2"/>
      <c r="H58" s="6">
        <v>18355.560000000001</v>
      </c>
      <c r="I58" s="2"/>
      <c r="J58" s="7">
        <f t="shared" si="29"/>
        <v>8.0324009862288479E-2</v>
      </c>
      <c r="K58" s="2"/>
      <c r="L58" s="6">
        <f t="shared" si="30"/>
        <v>-47445.87</v>
      </c>
      <c r="M58" s="2"/>
      <c r="N58" s="7">
        <f t="shared" si="31"/>
        <v>-2.5848228002850364</v>
      </c>
      <c r="O58" s="11"/>
      <c r="P58" s="6">
        <v>44014.009999999995</v>
      </c>
      <c r="Q58" s="2"/>
      <c r="R58" s="7">
        <f t="shared" si="32"/>
        <v>6.7598518705982116E-2</v>
      </c>
      <c r="S58" s="2"/>
      <c r="T58" s="6">
        <v>197004.46</v>
      </c>
      <c r="U58" s="2"/>
      <c r="V58" s="7">
        <f t="shared" si="33"/>
        <v>7.8077397521277098E-2</v>
      </c>
      <c r="W58" s="2"/>
      <c r="X58" s="6">
        <f t="shared" si="34"/>
        <v>-152990.45000000001</v>
      </c>
      <c r="Y58" s="2"/>
      <c r="Z58" s="7">
        <f t="shared" si="35"/>
        <v>-0.77658368749621209</v>
      </c>
    </row>
    <row r="59" spans="1:26" s="26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5.94</v>
      </c>
      <c r="E59" s="1"/>
      <c r="F59" s="5">
        <f t="shared" si="28"/>
        <v>1.5464179207447801E-4</v>
      </c>
      <c r="G59" s="1"/>
      <c r="H59" s="1">
        <f>SUM(OSRRefH22_11x_0)</f>
        <v>0</v>
      </c>
      <c r="I59" s="1"/>
      <c r="J59" s="5">
        <f t="shared" si="29"/>
        <v>0</v>
      </c>
      <c r="K59" s="1"/>
      <c r="L59" s="1">
        <f t="shared" si="30"/>
        <v>5.94</v>
      </c>
      <c r="M59" s="1"/>
      <c r="N59" s="5">
        <f t="shared" si="31"/>
        <v>0</v>
      </c>
      <c r="O59" s="13"/>
      <c r="P59" s="1">
        <f>SUM(OSRRefP22_11x_0)</f>
        <v>3266.21</v>
      </c>
      <c r="Q59" s="1"/>
      <c r="R59" s="5">
        <f t="shared" si="32"/>
        <v>5.0163790525486291E-3</v>
      </c>
      <c r="S59" s="1"/>
      <c r="T59" s="1">
        <f>SUM(OSRRefT22_11x_0)</f>
        <v>8798.31</v>
      </c>
      <c r="U59" s="1"/>
      <c r="V59" s="5">
        <f t="shared" si="33"/>
        <v>3.4869725659278346E-3</v>
      </c>
      <c r="W59" s="1"/>
      <c r="X59" s="1">
        <f t="shared" si="34"/>
        <v>-5532.0999999999995</v>
      </c>
      <c r="Y59" s="1"/>
      <c r="Z59" s="5">
        <f t="shared" si="35"/>
        <v>-0.62876847940115765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/>
      <c r="Q60" s="2"/>
      <c r="R60" s="7">
        <f t="shared" si="32"/>
        <v>0</v>
      </c>
      <c r="S60" s="2"/>
      <c r="T60" s="6">
        <v>8238.75</v>
      </c>
      <c r="U60" s="2"/>
      <c r="V60" s="7">
        <f t="shared" si="33"/>
        <v>3.2652060711134238E-3</v>
      </c>
      <c r="W60" s="2"/>
      <c r="X60" s="6">
        <f t="shared" si="34"/>
        <v>-8238.75</v>
      </c>
      <c r="Y60" s="2"/>
      <c r="Z60" s="7">
        <f t="shared" si="35"/>
        <v>-1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6">
        <v>5.94</v>
      </c>
      <c r="E61" s="2"/>
      <c r="F61" s="7">
        <f t="shared" si="28"/>
        <v>1.5464179207447801E-4</v>
      </c>
      <c r="G61" s="2"/>
      <c r="H61" s="6"/>
      <c r="I61" s="2"/>
      <c r="J61" s="7">
        <f t="shared" si="29"/>
        <v>0</v>
      </c>
      <c r="K61" s="2"/>
      <c r="L61" s="6">
        <f t="shared" si="30"/>
        <v>5.94</v>
      </c>
      <c r="M61" s="2"/>
      <c r="N61" s="7">
        <f t="shared" si="31"/>
        <v>0</v>
      </c>
      <c r="O61" s="11"/>
      <c r="P61" s="6">
        <v>1589.39</v>
      </c>
      <c r="Q61" s="2"/>
      <c r="R61" s="7">
        <f t="shared" si="32"/>
        <v>2.4410502393692585E-3</v>
      </c>
      <c r="S61" s="2"/>
      <c r="T61" s="6">
        <v>202.15</v>
      </c>
      <c r="U61" s="2"/>
      <c r="V61" s="7">
        <f t="shared" si="33"/>
        <v>8.0116693342506892E-5</v>
      </c>
      <c r="W61" s="2"/>
      <c r="X61" s="6">
        <f t="shared" si="34"/>
        <v>1387.24</v>
      </c>
      <c r="Y61" s="2"/>
      <c r="Z61" s="7">
        <f t="shared" si="35"/>
        <v>6.8624288894385357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8"/>
        <v>0</v>
      </c>
      <c r="G62" s="2"/>
      <c r="H62" s="6"/>
      <c r="I62" s="2"/>
      <c r="J62" s="7">
        <f t="shared" si="29"/>
        <v>0</v>
      </c>
      <c r="K62" s="2"/>
      <c r="L62" s="6">
        <f t="shared" si="30"/>
        <v>0</v>
      </c>
      <c r="M62" s="2"/>
      <c r="N62" s="7">
        <f t="shared" si="31"/>
        <v>0</v>
      </c>
      <c r="O62" s="11"/>
      <c r="P62" s="6">
        <v>1676.82</v>
      </c>
      <c r="Q62" s="2"/>
      <c r="R62" s="7">
        <f t="shared" si="32"/>
        <v>2.5753288131793706E-3</v>
      </c>
      <c r="S62" s="2"/>
      <c r="T62" s="6">
        <v>357.41</v>
      </c>
      <c r="U62" s="2"/>
      <c r="V62" s="7">
        <f t="shared" si="33"/>
        <v>1.4164980147190399E-4</v>
      </c>
      <c r="W62" s="2"/>
      <c r="X62" s="6">
        <f t="shared" si="34"/>
        <v>1319.4099999999999</v>
      </c>
      <c r="Y62" s="2"/>
      <c r="Z62" s="7">
        <f t="shared" si="35"/>
        <v>3.6915866931535204</v>
      </c>
    </row>
    <row r="63" spans="1:26" s="26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5443.74</v>
      </c>
      <c r="E63" s="1"/>
      <c r="F63" s="5">
        <f t="shared" ref="F63:F67" si="36">IF(D$12=0,0,D63/D$12)</f>
        <v>0.14172217326389205</v>
      </c>
      <c r="G63" s="1"/>
      <c r="H63" s="1">
        <f>SUM(OSRRefH22_12x_0)</f>
        <v>5354.22</v>
      </c>
      <c r="I63" s="1"/>
      <c r="J63" s="5">
        <f t="shared" ref="J63:J67" si="37">IF(H$12=0,0,H63/H$12)</f>
        <v>2.3430089852059112E-2</v>
      </c>
      <c r="K63" s="1"/>
      <c r="L63" s="1">
        <f t="shared" ref="L63:L67" si="38">+D63-H63</f>
        <v>89.519999999999527</v>
      </c>
      <c r="M63" s="1"/>
      <c r="N63" s="5">
        <f t="shared" ref="N63:N67" si="39">IF(H63=0,0,L63/H63)</f>
        <v>1.6719522171296571E-2</v>
      </c>
      <c r="O63" s="13"/>
      <c r="P63" s="1">
        <f>SUM(OSRRefP22_12x_0)</f>
        <v>32711.82</v>
      </c>
      <c r="Q63" s="1"/>
      <c r="R63" s="5">
        <f t="shared" ref="R63:R67" si="40">IF(P$12=0,0,P63/P$12)</f>
        <v>5.0240152537265298E-2</v>
      </c>
      <c r="S63" s="1"/>
      <c r="T63" s="1">
        <f>SUM(OSRRefT22_12x_0)</f>
        <v>42531.8</v>
      </c>
      <c r="U63" s="1"/>
      <c r="V63" s="5">
        <f t="shared" ref="V63:V67" si="41">IF(T$12=0,0,T63/T$12)</f>
        <v>1.6856330338386519E-2</v>
      </c>
      <c r="W63" s="1"/>
      <c r="X63" s="1">
        <f t="shared" ref="X63:X67" si="42">+P63-T63</f>
        <v>-9819.9800000000032</v>
      </c>
      <c r="Y63" s="1"/>
      <c r="Z63" s="5">
        <f t="shared" ref="Z63:Z67" si="43">IF(T63=0,0,X63/T63)</f>
        <v>-0.23088559618920437</v>
      </c>
    </row>
    <row r="64" spans="1:26" s="24" customFormat="1" hidden="1" outlineLevel="2" x14ac:dyDescent="0.25">
      <c r="A64" s="25"/>
      <c r="B64" s="11" t="str">
        <f>CONCATENATE("          ", "6282", " - ", "JANITORIAL/EXTERMINATOR EXPENS")</f>
        <v xml:space="preserve">          6282 - JANITORIAL/EXTERMINATOR EXPENS</v>
      </c>
      <c r="C64" s="11"/>
      <c r="D64" s="6">
        <v>421.34</v>
      </c>
      <c r="E64" s="2"/>
      <c r="F64" s="7">
        <f t="shared" si="36"/>
        <v>1.0969153648596052E-2</v>
      </c>
      <c r="G64" s="2"/>
      <c r="H64" s="6"/>
      <c r="I64" s="2"/>
      <c r="J64" s="7">
        <f t="shared" si="37"/>
        <v>0</v>
      </c>
      <c r="K64" s="2"/>
      <c r="L64" s="6">
        <f t="shared" si="38"/>
        <v>421.34</v>
      </c>
      <c r="M64" s="2"/>
      <c r="N64" s="7">
        <f t="shared" si="39"/>
        <v>0</v>
      </c>
      <c r="O64" s="11"/>
      <c r="P64" s="6">
        <v>2396.08</v>
      </c>
      <c r="Q64" s="2"/>
      <c r="R64" s="7">
        <f t="shared" si="40"/>
        <v>3.6799977711876207E-3</v>
      </c>
      <c r="S64" s="2"/>
      <c r="T64" s="6">
        <v>2949.38</v>
      </c>
      <c r="U64" s="2"/>
      <c r="V64" s="7">
        <f t="shared" si="41"/>
        <v>1.1689071135816125E-3</v>
      </c>
      <c r="W64" s="2"/>
      <c r="X64" s="6">
        <f t="shared" si="42"/>
        <v>-553.30000000000018</v>
      </c>
      <c r="Y64" s="2"/>
      <c r="Z64" s="7">
        <f t="shared" si="43"/>
        <v>-0.18759874956770581</v>
      </c>
    </row>
    <row r="65" spans="1:26" s="24" customFormat="1" hidden="1" outlineLevel="2" x14ac:dyDescent="0.25">
      <c r="A65" s="25"/>
      <c r="B65" s="11" t="str">
        <f>CONCATENATE("          ", "6284", " - ", "TRASH REMOVAL EXPENSE")</f>
        <v xml:space="preserve">          6284 - TRASH REMOVAL EXPENSE</v>
      </c>
      <c r="C65" s="11"/>
      <c r="D65" s="6"/>
      <c r="E65" s="2"/>
      <c r="F65" s="7">
        <f t="shared" si="36"/>
        <v>0</v>
      </c>
      <c r="G65" s="2"/>
      <c r="H65" s="6"/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282.75</v>
      </c>
      <c r="Q65" s="2"/>
      <c r="R65" s="7">
        <f t="shared" si="40"/>
        <v>4.3425902716240686E-4</v>
      </c>
      <c r="S65" s="2"/>
      <c r="T65" s="6"/>
      <c r="U65" s="2"/>
      <c r="V65" s="7">
        <f t="shared" si="41"/>
        <v>0</v>
      </c>
      <c r="W65" s="2"/>
      <c r="X65" s="6">
        <f t="shared" si="42"/>
        <v>282.75</v>
      </c>
      <c r="Y65" s="2"/>
      <c r="Z65" s="7">
        <f t="shared" si="43"/>
        <v>0</v>
      </c>
    </row>
    <row r="66" spans="1:26" s="24" customFormat="1" hidden="1" outlineLevel="2" x14ac:dyDescent="0.25">
      <c r="A66" s="25"/>
      <c r="B66" s="11" t="str">
        <f>CONCATENATE("          ", "6285", " - ", "JANITORIAL SERVICES")</f>
        <v xml:space="preserve">          6285 - JANITORIAL SERVICES</v>
      </c>
      <c r="C66" s="11"/>
      <c r="D66" s="6">
        <v>4468.33</v>
      </c>
      <c r="E66" s="2"/>
      <c r="F66" s="7">
        <f t="shared" si="36"/>
        <v>0.11632837689901553</v>
      </c>
      <c r="G66" s="2"/>
      <c r="H66" s="6">
        <v>4194.1000000000004</v>
      </c>
      <c r="I66" s="2"/>
      <c r="J66" s="7">
        <f t="shared" si="37"/>
        <v>1.8353399719944478E-2</v>
      </c>
      <c r="K66" s="2"/>
      <c r="L66" s="6">
        <f t="shared" si="38"/>
        <v>274.22999999999956</v>
      </c>
      <c r="M66" s="2"/>
      <c r="N66" s="7">
        <f t="shared" si="39"/>
        <v>6.5384707088529018E-2</v>
      </c>
      <c r="O66" s="11"/>
      <c r="P66" s="6">
        <v>24670.959999999999</v>
      </c>
      <c r="Q66" s="2"/>
      <c r="R66" s="7">
        <f t="shared" si="40"/>
        <v>3.7890670517286132E-2</v>
      </c>
      <c r="S66" s="2"/>
      <c r="T66" s="6">
        <v>30348.620000000003</v>
      </c>
      <c r="U66" s="2"/>
      <c r="V66" s="7">
        <f t="shared" si="41"/>
        <v>1.2027855957992934E-2</v>
      </c>
      <c r="W66" s="2"/>
      <c r="X66" s="6">
        <f t="shared" si="42"/>
        <v>-5677.6600000000035</v>
      </c>
      <c r="Y66" s="2"/>
      <c r="Z66" s="7">
        <f t="shared" si="43"/>
        <v>-0.18708132363184893</v>
      </c>
    </row>
    <row r="67" spans="1:26" s="24" customFormat="1" hidden="1" outlineLevel="2" x14ac:dyDescent="0.25">
      <c r="A67" s="25"/>
      <c r="B67" s="11" t="str">
        <f>CONCATENATE("          ", "6286", " - ", "LAUNDRY EXPENSE")</f>
        <v xml:space="preserve">          6286 - LAUNDRY EXPENSE</v>
      </c>
      <c r="C67" s="11"/>
      <c r="D67" s="6">
        <v>554.07000000000005</v>
      </c>
      <c r="E67" s="2"/>
      <c r="F67" s="7">
        <f t="shared" si="36"/>
        <v>1.4424642716280476E-2</v>
      </c>
      <c r="G67" s="2"/>
      <c r="H67" s="6">
        <v>1160.1199999999999</v>
      </c>
      <c r="I67" s="2"/>
      <c r="J67" s="7">
        <f t="shared" si="37"/>
        <v>5.0766901321146335E-3</v>
      </c>
      <c r="K67" s="2"/>
      <c r="L67" s="6">
        <f t="shared" si="38"/>
        <v>-606.04999999999984</v>
      </c>
      <c r="M67" s="2"/>
      <c r="N67" s="7">
        <f t="shared" si="39"/>
        <v>-0.5224028548770816</v>
      </c>
      <c r="O67" s="11"/>
      <c r="P67" s="6">
        <v>5362.03</v>
      </c>
      <c r="Q67" s="2"/>
      <c r="R67" s="7">
        <f t="shared" si="40"/>
        <v>8.2352252216291444E-3</v>
      </c>
      <c r="S67" s="2"/>
      <c r="T67" s="6">
        <v>9233.7999999999993</v>
      </c>
      <c r="U67" s="2"/>
      <c r="V67" s="7">
        <f t="shared" si="41"/>
        <v>3.6595672668119717E-3</v>
      </c>
      <c r="W67" s="2"/>
      <c r="X67" s="6">
        <f t="shared" si="42"/>
        <v>-3871.7699999999995</v>
      </c>
      <c r="Y67" s="2"/>
      <c r="Z67" s="7">
        <f t="shared" si="43"/>
        <v>-0.41930407849422768</v>
      </c>
    </row>
    <row r="68" spans="1:26" s="26" customFormat="1" outlineLevel="1" collapsed="1" x14ac:dyDescent="0.25">
      <c r="A68" s="27"/>
      <c r="B68" s="13" t="str">
        <f>CONCATENATE("     ","Subscriptions &amp; Dues                              ")</f>
        <v xml:space="preserve">     Subscriptions &amp; Dues                              </v>
      </c>
      <c r="C68" s="13"/>
      <c r="D68" s="1">
        <f>SUM(OSRRefD22_13x_0)</f>
        <v>0</v>
      </c>
      <c r="E68" s="1"/>
      <c r="F68" s="5">
        <f t="shared" ref="F68:F79" si="44">IF(D$12=0,0,D68/D$12)</f>
        <v>0</v>
      </c>
      <c r="G68" s="1"/>
      <c r="H68" s="1">
        <f>SUM(OSRRefH22_13x_0)</f>
        <v>0</v>
      </c>
      <c r="I68" s="1"/>
      <c r="J68" s="5">
        <f t="shared" ref="J68:J79" si="45">IF(H$12=0,0,H68/H$12)</f>
        <v>0</v>
      </c>
      <c r="K68" s="1"/>
      <c r="L68" s="1">
        <f t="shared" ref="L68:L79" si="46">+D68-H68</f>
        <v>0</v>
      </c>
      <c r="M68" s="1"/>
      <c r="N68" s="5">
        <f t="shared" ref="N68:N79" si="47">IF(H68=0,0,L68/H68)</f>
        <v>0</v>
      </c>
      <c r="O68" s="13"/>
      <c r="P68" s="1">
        <f>SUM(OSRRefP22_13x_0)</f>
        <v>795</v>
      </c>
      <c r="Q68" s="1"/>
      <c r="R68" s="5">
        <f t="shared" ref="R68:R79" si="48">IF(P$12=0,0,P68/P$12)</f>
        <v>1.2209935511728151E-3</v>
      </c>
      <c r="S68" s="1"/>
      <c r="T68" s="1">
        <f>SUM(OSRRefT22_13x_0)</f>
        <v>0</v>
      </c>
      <c r="U68" s="1"/>
      <c r="V68" s="5">
        <f t="shared" ref="V68:V79" si="49">IF(T$12=0,0,T68/T$12)</f>
        <v>0</v>
      </c>
      <c r="W68" s="1"/>
      <c r="X68" s="1">
        <f t="shared" ref="X68:X79" si="50">+P68-T68</f>
        <v>795</v>
      </c>
      <c r="Y68" s="1"/>
      <c r="Z68" s="5">
        <f t="shared" ref="Z68:Z79" si="51">IF(T68=0,0,X68/T68)</f>
        <v>0</v>
      </c>
    </row>
    <row r="69" spans="1:26" s="24" customFormat="1" hidden="1" outlineLevel="2" x14ac:dyDescent="0.25">
      <c r="A69" s="25"/>
      <c r="B69" s="11" t="str">
        <f>CONCATENATE("          ", "6258", " - ", "MEMBERSHIP DUES")</f>
        <v xml:space="preserve">          6258 - MEMBERSHIP DUES</v>
      </c>
      <c r="C69" s="11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1"/>
      <c r="P69" s="6">
        <v>795</v>
      </c>
      <c r="Q69" s="2"/>
      <c r="R69" s="7">
        <f t="shared" si="48"/>
        <v>1.2209935511728151E-3</v>
      </c>
      <c r="S69" s="2"/>
      <c r="T69" s="6"/>
      <c r="U69" s="2"/>
      <c r="V69" s="7">
        <f t="shared" si="49"/>
        <v>0</v>
      </c>
      <c r="W69" s="2"/>
      <c r="X69" s="6">
        <f t="shared" si="50"/>
        <v>795</v>
      </c>
      <c r="Y69" s="2"/>
      <c r="Z69" s="7">
        <f t="shared" si="51"/>
        <v>0</v>
      </c>
    </row>
    <row r="70" spans="1:26" s="26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9954.59</v>
      </c>
      <c r="E70" s="1"/>
      <c r="F70" s="5">
        <f t="shared" si="44"/>
        <v>0.25915751464085485</v>
      </c>
      <c r="G70" s="1"/>
      <c r="H70" s="1">
        <f>SUM(OSRRefH22_14x_0)</f>
        <v>5722.34</v>
      </c>
      <c r="I70" s="1"/>
      <c r="J70" s="5">
        <f t="shared" si="45"/>
        <v>2.5040984562463241E-2</v>
      </c>
      <c r="K70" s="1"/>
      <c r="L70" s="1">
        <f t="shared" si="46"/>
        <v>4232.25</v>
      </c>
      <c r="M70" s="1"/>
      <c r="N70" s="5">
        <f t="shared" si="47"/>
        <v>0.73960128199303077</v>
      </c>
      <c r="O70" s="13"/>
      <c r="P70" s="1">
        <f>SUM(OSRRefP22_14x_0)</f>
        <v>85377.329999999987</v>
      </c>
      <c r="Q70" s="1"/>
      <c r="R70" s="5">
        <f t="shared" si="48"/>
        <v>0.1311259991778029</v>
      </c>
      <c r="S70" s="1"/>
      <c r="T70" s="1">
        <f>SUM(OSRRefT22_14x_0)</f>
        <v>63615.87</v>
      </c>
      <c r="U70" s="1"/>
      <c r="V70" s="5">
        <f t="shared" si="49"/>
        <v>2.5212432097485946E-2</v>
      </c>
      <c r="W70" s="1"/>
      <c r="X70" s="1">
        <f t="shared" si="50"/>
        <v>21761.459999999985</v>
      </c>
      <c r="Y70" s="1"/>
      <c r="Z70" s="5">
        <f t="shared" si="51"/>
        <v>0.34207596312052296</v>
      </c>
    </row>
    <row r="71" spans="1:26" s="24" customFormat="1" hidden="1" outlineLevel="2" x14ac:dyDescent="0.25">
      <c r="A71" s="25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/>
      <c r="Q71" s="2"/>
      <c r="R71" s="7">
        <f t="shared" si="48"/>
        <v>0</v>
      </c>
      <c r="S71" s="2"/>
      <c r="T71" s="6">
        <v>100</v>
      </c>
      <c r="U71" s="2"/>
      <c r="V71" s="7">
        <f t="shared" si="49"/>
        <v>3.9632299452142908E-5</v>
      </c>
      <c r="W71" s="2"/>
      <c r="X71" s="6">
        <f t="shared" si="50"/>
        <v>-100</v>
      </c>
      <c r="Y71" s="2"/>
      <c r="Z71" s="7">
        <f t="shared" si="51"/>
        <v>-1</v>
      </c>
    </row>
    <row r="72" spans="1:26" s="24" customFormat="1" hidden="1" outlineLevel="2" x14ac:dyDescent="0.25">
      <c r="A72" s="25"/>
      <c r="B72" s="11" t="str">
        <f>CONCATENATE("          ", "6235", " - ", "COVID-19 EXPENSES")</f>
        <v xml:space="preserve">          6235 - COVID-19 EXPENSES</v>
      </c>
      <c r="C72" s="11"/>
      <c r="D72" s="6">
        <v>2921.2</v>
      </c>
      <c r="E72" s="2"/>
      <c r="F72" s="7">
        <f t="shared" si="44"/>
        <v>7.6050438216829136E-2</v>
      </c>
      <c r="G72" s="2"/>
      <c r="H72" s="6"/>
      <c r="I72" s="2"/>
      <c r="J72" s="7">
        <f t="shared" si="45"/>
        <v>0</v>
      </c>
      <c r="K72" s="2"/>
      <c r="L72" s="6">
        <f t="shared" si="46"/>
        <v>2921.2</v>
      </c>
      <c r="M72" s="2"/>
      <c r="N72" s="7">
        <f t="shared" si="47"/>
        <v>0</v>
      </c>
      <c r="O72" s="11"/>
      <c r="P72" s="6">
        <v>44334.07</v>
      </c>
      <c r="Q72" s="2"/>
      <c r="R72" s="7">
        <f t="shared" si="48"/>
        <v>6.8090079958797692E-2</v>
      </c>
      <c r="S72" s="2"/>
      <c r="T72" s="6"/>
      <c r="U72" s="2"/>
      <c r="V72" s="7">
        <f t="shared" si="49"/>
        <v>0</v>
      </c>
      <c r="W72" s="2"/>
      <c r="X72" s="6">
        <f t="shared" si="50"/>
        <v>44334.07</v>
      </c>
      <c r="Y72" s="2"/>
      <c r="Z72" s="7">
        <f t="shared" si="51"/>
        <v>0</v>
      </c>
    </row>
    <row r="73" spans="1:26" s="24" customFormat="1" hidden="1" outlineLevel="2" x14ac:dyDescent="0.25">
      <c r="A73" s="25"/>
      <c r="B73" s="11" t="str">
        <f>CONCATENATE("          ", "6237", " - ", "JANITORIAL SUPPLIES")</f>
        <v xml:space="preserve">          6237 - JANITORIAL SUPPLIES</v>
      </c>
      <c r="C73" s="11"/>
      <c r="D73" s="6">
        <v>3367.71</v>
      </c>
      <c r="E73" s="2"/>
      <c r="F73" s="7">
        <f t="shared" si="44"/>
        <v>8.7674866933862006E-2</v>
      </c>
      <c r="G73" s="2"/>
      <c r="H73" s="6">
        <v>3525.68</v>
      </c>
      <c r="I73" s="2"/>
      <c r="J73" s="7">
        <f t="shared" si="45"/>
        <v>1.5428390912141781E-2</v>
      </c>
      <c r="K73" s="2"/>
      <c r="L73" s="6">
        <f t="shared" si="46"/>
        <v>-157.9699999999998</v>
      </c>
      <c r="M73" s="2"/>
      <c r="N73" s="7">
        <f t="shared" si="47"/>
        <v>-4.4805541058746061E-2</v>
      </c>
      <c r="O73" s="11"/>
      <c r="P73" s="6">
        <v>12545.88</v>
      </c>
      <c r="Q73" s="2"/>
      <c r="R73" s="7">
        <f t="shared" si="48"/>
        <v>1.9268476193444021E-2</v>
      </c>
      <c r="S73" s="2"/>
      <c r="T73" s="6">
        <v>26622.769999999997</v>
      </c>
      <c r="U73" s="2"/>
      <c r="V73" s="7">
        <f t="shared" si="49"/>
        <v>1.0551215928855264E-2</v>
      </c>
      <c r="W73" s="2"/>
      <c r="X73" s="6">
        <f t="shared" si="50"/>
        <v>-14076.889999999998</v>
      </c>
      <c r="Y73" s="2"/>
      <c r="Z73" s="7">
        <f t="shared" si="51"/>
        <v>-0.52875376979931088</v>
      </c>
    </row>
    <row r="74" spans="1:26" s="24" customFormat="1" hidden="1" outlineLevel="2" x14ac:dyDescent="0.25">
      <c r="A74" s="25"/>
      <c r="B74" s="11" t="str">
        <f>CONCATENATE("          ", "6239", " - ", "KITCHEN SUPPLIES")</f>
        <v xml:space="preserve">          6239 - KITCHEN SUPPLIES</v>
      </c>
      <c r="C74" s="11"/>
      <c r="D74" s="6">
        <v>979.48</v>
      </c>
      <c r="E74" s="2"/>
      <c r="F74" s="7">
        <f t="shared" si="44"/>
        <v>2.5499754629816448E-2</v>
      </c>
      <c r="G74" s="2"/>
      <c r="H74" s="6">
        <v>156.97999999999999</v>
      </c>
      <c r="I74" s="2"/>
      <c r="J74" s="7">
        <f t="shared" si="45"/>
        <v>6.8694515820721589E-4</v>
      </c>
      <c r="K74" s="2"/>
      <c r="L74" s="6">
        <f t="shared" si="46"/>
        <v>822.5</v>
      </c>
      <c r="M74" s="2"/>
      <c r="N74" s="7">
        <f t="shared" si="47"/>
        <v>5.2395209580838324</v>
      </c>
      <c r="O74" s="11"/>
      <c r="P74" s="6">
        <v>5762.96</v>
      </c>
      <c r="Q74" s="2"/>
      <c r="R74" s="7">
        <f t="shared" si="48"/>
        <v>8.8509899316564604E-3</v>
      </c>
      <c r="S74" s="2"/>
      <c r="T74" s="6">
        <v>16070.7</v>
      </c>
      <c r="U74" s="2"/>
      <c r="V74" s="7">
        <f t="shared" si="49"/>
        <v>6.3691879480555309E-3</v>
      </c>
      <c r="W74" s="2"/>
      <c r="X74" s="6">
        <f t="shared" si="50"/>
        <v>-10307.740000000002</v>
      </c>
      <c r="Y74" s="2"/>
      <c r="Z74" s="7">
        <f t="shared" si="51"/>
        <v>-0.64139956566919931</v>
      </c>
    </row>
    <row r="75" spans="1:26" s="24" customFormat="1" hidden="1" outlineLevel="2" x14ac:dyDescent="0.25">
      <c r="A75" s="25"/>
      <c r="B75" s="11" t="str">
        <f>CONCATENATE("          ", "6241", " - ", "OFFICE EXPENSE")</f>
        <v xml:space="preserve">          6241 - OFFICE EXPENSE</v>
      </c>
      <c r="C75" s="11"/>
      <c r="D75" s="6">
        <v>979.61</v>
      </c>
      <c r="E75" s="2"/>
      <c r="F75" s="7">
        <f t="shared" si="44"/>
        <v>2.5503139046141311E-2</v>
      </c>
      <c r="G75" s="2"/>
      <c r="H75" s="6">
        <v>65.83</v>
      </c>
      <c r="I75" s="2"/>
      <c r="J75" s="7">
        <f t="shared" si="45"/>
        <v>2.8807236440808395E-4</v>
      </c>
      <c r="K75" s="2"/>
      <c r="L75" s="6">
        <f t="shared" si="46"/>
        <v>913.78</v>
      </c>
      <c r="M75" s="2"/>
      <c r="N75" s="7">
        <f t="shared" si="47"/>
        <v>13.880905362296826</v>
      </c>
      <c r="O75" s="11"/>
      <c r="P75" s="6">
        <v>4190.63</v>
      </c>
      <c r="Q75" s="2"/>
      <c r="R75" s="7">
        <f t="shared" si="48"/>
        <v>6.4361411388067094E-3</v>
      </c>
      <c r="S75" s="2"/>
      <c r="T75" s="6">
        <v>2821.85</v>
      </c>
      <c r="U75" s="2"/>
      <c r="V75" s="7">
        <f t="shared" si="49"/>
        <v>1.1183640420902945E-3</v>
      </c>
      <c r="W75" s="2"/>
      <c r="X75" s="6">
        <f t="shared" si="50"/>
        <v>1368.7800000000002</v>
      </c>
      <c r="Y75" s="2"/>
      <c r="Z75" s="7">
        <f t="shared" si="51"/>
        <v>0.48506476247851593</v>
      </c>
    </row>
    <row r="76" spans="1:26" s="24" customFormat="1" hidden="1" outlineLevel="2" x14ac:dyDescent="0.25">
      <c r="A76" s="25"/>
      <c r="B76" s="11" t="str">
        <f>CONCATENATE("          ", "6243", " - ", "PAPER SUPPLIES")</f>
        <v xml:space="preserve">          6243 - PAPER SUPPLIES</v>
      </c>
      <c r="C76" s="11"/>
      <c r="D76" s="6">
        <v>1706.59</v>
      </c>
      <c r="E76" s="2"/>
      <c r="F76" s="7">
        <f t="shared" si="44"/>
        <v>4.4429315814205957E-2</v>
      </c>
      <c r="G76" s="2"/>
      <c r="H76" s="6">
        <v>1244.18</v>
      </c>
      <c r="I76" s="2"/>
      <c r="J76" s="7">
        <f t="shared" si="45"/>
        <v>5.4445370552825452E-3</v>
      </c>
      <c r="K76" s="2"/>
      <c r="L76" s="6">
        <f t="shared" si="46"/>
        <v>462.40999999999985</v>
      </c>
      <c r="M76" s="2"/>
      <c r="N76" s="7">
        <f t="shared" si="47"/>
        <v>0.37165844170457635</v>
      </c>
      <c r="O76" s="11"/>
      <c r="P76" s="6">
        <v>14043.2</v>
      </c>
      <c r="Q76" s="2"/>
      <c r="R76" s="7">
        <f t="shared" si="48"/>
        <v>2.1568121557018965E-2</v>
      </c>
      <c r="S76" s="2"/>
      <c r="T76" s="6">
        <v>14837.76</v>
      </c>
      <c r="U76" s="2"/>
      <c r="V76" s="7">
        <f t="shared" si="49"/>
        <v>5.8805454751902795E-3</v>
      </c>
      <c r="W76" s="2"/>
      <c r="X76" s="6">
        <f t="shared" si="50"/>
        <v>-794.55999999999949</v>
      </c>
      <c r="Y76" s="2"/>
      <c r="Z76" s="7">
        <f t="shared" si="51"/>
        <v>-5.3549861973774981E-2</v>
      </c>
    </row>
    <row r="77" spans="1:26" s="24" customFormat="1" hidden="1" outlineLevel="2" x14ac:dyDescent="0.25">
      <c r="A77" s="25"/>
      <c r="B77" s="11" t="str">
        <f>CONCATENATE("          ", "6245", " - ", "PRINTING")</f>
        <v xml:space="preserve">          6245 - PRINTING</v>
      </c>
      <c r="C77" s="11"/>
      <c r="D77" s="6"/>
      <c r="E77" s="2"/>
      <c r="F77" s="7">
        <f t="shared" si="44"/>
        <v>0</v>
      </c>
      <c r="G77" s="2"/>
      <c r="H77" s="6"/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1"/>
      <c r="P77" s="6"/>
      <c r="Q77" s="2"/>
      <c r="R77" s="7">
        <f t="shared" si="48"/>
        <v>0</v>
      </c>
      <c r="S77" s="2"/>
      <c r="T77" s="6">
        <v>441</v>
      </c>
      <c r="U77" s="2"/>
      <c r="V77" s="7">
        <f t="shared" si="49"/>
        <v>1.7477844058395024E-4</v>
      </c>
      <c r="W77" s="2"/>
      <c r="X77" s="6">
        <f t="shared" si="50"/>
        <v>-441</v>
      </c>
      <c r="Y77" s="2"/>
      <c r="Z77" s="7">
        <f t="shared" si="51"/>
        <v>-1</v>
      </c>
    </row>
    <row r="78" spans="1:26" s="24" customFormat="1" hidden="1" outlineLevel="2" x14ac:dyDescent="0.25">
      <c r="A78" s="25"/>
      <c r="B78" s="11" t="str">
        <f>CONCATENATE("          ", "6247", " - ", "STORE SUPPLIES")</f>
        <v xml:space="preserve">          6247 - STORE SUPPLIES</v>
      </c>
      <c r="C78" s="11"/>
      <c r="D78" s="6"/>
      <c r="E78" s="2"/>
      <c r="F78" s="7">
        <f t="shared" si="44"/>
        <v>0</v>
      </c>
      <c r="G78" s="2"/>
      <c r="H78" s="6"/>
      <c r="I78" s="2"/>
      <c r="J78" s="7">
        <f t="shared" si="45"/>
        <v>0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/>
      <c r="Q78" s="2"/>
      <c r="R78" s="7">
        <f t="shared" si="48"/>
        <v>0</v>
      </c>
      <c r="S78" s="2"/>
      <c r="T78" s="6">
        <v>153.87</v>
      </c>
      <c r="U78" s="2"/>
      <c r="V78" s="7">
        <f t="shared" si="49"/>
        <v>6.0982219167012297E-5</v>
      </c>
      <c r="W78" s="2"/>
      <c r="X78" s="6">
        <f t="shared" si="50"/>
        <v>-153.87</v>
      </c>
      <c r="Y78" s="2"/>
      <c r="Z78" s="7">
        <f t="shared" si="51"/>
        <v>-1</v>
      </c>
    </row>
    <row r="79" spans="1:26" s="24" customFormat="1" hidden="1" outlineLevel="2" x14ac:dyDescent="0.25">
      <c r="A79" s="25"/>
      <c r="B79" s="11" t="str">
        <f>CONCATENATE("          ", "6248", " - ", "UNIFORMS")</f>
        <v xml:space="preserve">          6248 - UNIFORMS</v>
      </c>
      <c r="C79" s="11"/>
      <c r="D79" s="6"/>
      <c r="E79" s="2"/>
      <c r="F79" s="7">
        <f t="shared" si="44"/>
        <v>0</v>
      </c>
      <c r="G79" s="2"/>
      <c r="H79" s="6">
        <v>729.67</v>
      </c>
      <c r="I79" s="2"/>
      <c r="J79" s="7">
        <f t="shared" si="45"/>
        <v>3.1930390724236157E-3</v>
      </c>
      <c r="K79" s="2"/>
      <c r="L79" s="6">
        <f t="shared" si="46"/>
        <v>-729.67</v>
      </c>
      <c r="M79" s="2"/>
      <c r="N79" s="7">
        <f t="shared" si="47"/>
        <v>-1</v>
      </c>
      <c r="O79" s="11"/>
      <c r="P79" s="6">
        <v>4500.59</v>
      </c>
      <c r="Q79" s="2"/>
      <c r="R79" s="7">
        <f t="shared" si="48"/>
        <v>6.9121903980790692E-3</v>
      </c>
      <c r="S79" s="2"/>
      <c r="T79" s="6">
        <v>2567.92</v>
      </c>
      <c r="U79" s="2"/>
      <c r="V79" s="7">
        <f t="shared" si="49"/>
        <v>1.0177257440914683E-3</v>
      </c>
      <c r="W79" s="2"/>
      <c r="X79" s="6">
        <f t="shared" si="50"/>
        <v>1932.67</v>
      </c>
      <c r="Y79" s="2"/>
      <c r="Z79" s="7">
        <f t="shared" si="51"/>
        <v>0.75262079815570582</v>
      </c>
    </row>
    <row r="80" spans="1:26" s="26" customFormat="1" outlineLevel="1" collapsed="1" x14ac:dyDescent="0.25">
      <c r="A80" s="27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SUM(OSRRefD22_15x_0)</f>
        <v>159</v>
      </c>
      <c r="E80" s="1"/>
      <c r="F80" s="5">
        <f t="shared" ref="F80:F85" si="52">IF(D$12=0,0,D80/D$12)</f>
        <v>4.1394015050239055E-3</v>
      </c>
      <c r="G80" s="1"/>
      <c r="H80" s="1">
        <f>SUM(OSRRefH22_15x_0)</f>
        <v>261.25</v>
      </c>
      <c r="I80" s="1"/>
      <c r="J80" s="5">
        <f t="shared" ref="J80:J85" si="53">IF(H$12=0,0,H80/H$12)</f>
        <v>1.143231128689229E-3</v>
      </c>
      <c r="K80" s="1"/>
      <c r="L80" s="1">
        <f t="shared" ref="L80:L85" si="54">+D80-H80</f>
        <v>-102.25</v>
      </c>
      <c r="M80" s="1"/>
      <c r="N80" s="5">
        <f t="shared" ref="N80:N85" si="55">IF(H80=0,0,L80/H80)</f>
        <v>-0.39138755980861245</v>
      </c>
      <c r="O80" s="13"/>
      <c r="P80" s="1">
        <f>SUM(OSRRefP22_15x_0)</f>
        <v>1864</v>
      </c>
      <c r="Q80" s="1"/>
      <c r="R80" s="5">
        <f t="shared" ref="R80:R85" si="56">IF(P$12=0,0,P80/P$12)</f>
        <v>2.8628075212404117E-3</v>
      </c>
      <c r="S80" s="1"/>
      <c r="T80" s="1">
        <f>SUM(OSRRefT22_15x_0)</f>
        <v>2228.3000000000002</v>
      </c>
      <c r="U80" s="1"/>
      <c r="V80" s="5">
        <f t="shared" ref="V80:V85" si="57">IF(T$12=0,0,T80/T$12)</f>
        <v>8.8312652869210054E-4</v>
      </c>
      <c r="W80" s="1"/>
      <c r="X80" s="1">
        <f t="shared" ref="X80:X85" si="58">+P80-T80</f>
        <v>-364.30000000000018</v>
      </c>
      <c r="Y80" s="1"/>
      <c r="Z80" s="5">
        <f t="shared" ref="Z80:Z85" si="59">IF(T80=0,0,X80/T80)</f>
        <v>-0.16348786070098287</v>
      </c>
    </row>
    <row r="81" spans="1:26" s="24" customFormat="1" hidden="1" outlineLevel="2" x14ac:dyDescent="0.25">
      <c r="A81" s="25"/>
      <c r="B81" s="11" t="str">
        <f>CONCATENATE("          ", "6309", " - ", "TELEPHONE")</f>
        <v xml:space="preserve">          6309 - TELEPHONE</v>
      </c>
      <c r="C81" s="11"/>
      <c r="D81" s="6">
        <v>159</v>
      </c>
      <c r="E81" s="2"/>
      <c r="F81" s="7">
        <f t="shared" si="52"/>
        <v>4.1394015050239055E-3</v>
      </c>
      <c r="G81" s="2"/>
      <c r="H81" s="6">
        <v>261.25</v>
      </c>
      <c r="I81" s="2"/>
      <c r="J81" s="7">
        <f t="shared" si="53"/>
        <v>1.143231128689229E-3</v>
      </c>
      <c r="K81" s="2"/>
      <c r="L81" s="6">
        <f t="shared" si="54"/>
        <v>-102.25</v>
      </c>
      <c r="M81" s="2"/>
      <c r="N81" s="7">
        <f t="shared" si="55"/>
        <v>-0.39138755980861245</v>
      </c>
      <c r="O81" s="11"/>
      <c r="P81" s="6">
        <v>1864</v>
      </c>
      <c r="Q81" s="2"/>
      <c r="R81" s="7">
        <f t="shared" si="56"/>
        <v>2.8628075212404117E-3</v>
      </c>
      <c r="S81" s="2"/>
      <c r="T81" s="6">
        <v>2228.3000000000002</v>
      </c>
      <c r="U81" s="2"/>
      <c r="V81" s="7">
        <f t="shared" si="57"/>
        <v>8.8312652869210054E-4</v>
      </c>
      <c r="W81" s="2"/>
      <c r="X81" s="6">
        <f t="shared" si="58"/>
        <v>-364.30000000000018</v>
      </c>
      <c r="Y81" s="2"/>
      <c r="Z81" s="7">
        <f t="shared" si="59"/>
        <v>-0.16348786070098287</v>
      </c>
    </row>
    <row r="82" spans="1:26" s="26" customFormat="1" outlineLevel="1" collapsed="1" x14ac:dyDescent="0.25">
      <c r="A82" s="27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SUM(OSRRefD22_16x_0)</f>
        <v>0</v>
      </c>
      <c r="E82" s="1"/>
      <c r="F82" s="5">
        <f t="shared" si="52"/>
        <v>0</v>
      </c>
      <c r="G82" s="1"/>
      <c r="H82" s="1">
        <f>SUM(OSRRefH22_16x_0)</f>
        <v>273.32</v>
      </c>
      <c r="I82" s="1"/>
      <c r="J82" s="5">
        <f t="shared" si="53"/>
        <v>1.1960495008357514E-3</v>
      </c>
      <c r="K82" s="1"/>
      <c r="L82" s="1">
        <f t="shared" si="54"/>
        <v>-273.32</v>
      </c>
      <c r="M82" s="1"/>
      <c r="N82" s="5">
        <f t="shared" si="55"/>
        <v>-1</v>
      </c>
      <c r="O82" s="13"/>
      <c r="P82" s="1">
        <f>SUM(OSRRefP22_16x_0)</f>
        <v>735</v>
      </c>
      <c r="Q82" s="1"/>
      <c r="R82" s="5">
        <f t="shared" si="56"/>
        <v>1.1288430944805272E-3</v>
      </c>
      <c r="S82" s="1"/>
      <c r="T82" s="1">
        <f>SUM(OSRRefT22_16x_0)</f>
        <v>911.32</v>
      </c>
      <c r="U82" s="1"/>
      <c r="V82" s="5">
        <f t="shared" si="57"/>
        <v>3.6117707136726877E-4</v>
      </c>
      <c r="W82" s="1"/>
      <c r="X82" s="1">
        <f t="shared" si="58"/>
        <v>-176.32000000000005</v>
      </c>
      <c r="Y82" s="1"/>
      <c r="Z82" s="5">
        <f t="shared" si="59"/>
        <v>-0.19347759294210601</v>
      </c>
    </row>
    <row r="83" spans="1:26" s="24" customFormat="1" hidden="1" outlineLevel="2" x14ac:dyDescent="0.25">
      <c r="A83" s="25"/>
      <c r="B83" s="11" t="str">
        <f>CONCATENATE("          ", "6376", " - ", "TRAINING")</f>
        <v xml:space="preserve">          6376 - TRAINING</v>
      </c>
      <c r="C83" s="11"/>
      <c r="D83" s="6"/>
      <c r="E83" s="2"/>
      <c r="F83" s="7">
        <f t="shared" si="52"/>
        <v>0</v>
      </c>
      <c r="G83" s="2"/>
      <c r="H83" s="6">
        <v>273.32</v>
      </c>
      <c r="I83" s="2"/>
      <c r="J83" s="7">
        <f t="shared" si="53"/>
        <v>1.1960495008357514E-3</v>
      </c>
      <c r="K83" s="2"/>
      <c r="L83" s="6">
        <f t="shared" si="54"/>
        <v>-273.32</v>
      </c>
      <c r="M83" s="2"/>
      <c r="N83" s="7">
        <f t="shared" si="55"/>
        <v>-1</v>
      </c>
      <c r="O83" s="11"/>
      <c r="P83" s="6">
        <v>735</v>
      </c>
      <c r="Q83" s="2"/>
      <c r="R83" s="7">
        <f t="shared" si="56"/>
        <v>1.1288430944805272E-3</v>
      </c>
      <c r="S83" s="2"/>
      <c r="T83" s="6">
        <v>911.32</v>
      </c>
      <c r="U83" s="2"/>
      <c r="V83" s="7">
        <f t="shared" si="57"/>
        <v>3.6117707136726877E-4</v>
      </c>
      <c r="W83" s="2"/>
      <c r="X83" s="6">
        <f t="shared" si="58"/>
        <v>-176.32000000000005</v>
      </c>
      <c r="Y83" s="2"/>
      <c r="Z83" s="7">
        <f t="shared" si="59"/>
        <v>-0.19347759294210601</v>
      </c>
    </row>
    <row r="84" spans="1:26" s="26" customFormat="1" outlineLevel="1" collapsed="1" x14ac:dyDescent="0.25">
      <c r="A84" s="27"/>
      <c r="B84" s="13" t="str">
        <f>CONCATENATE("     ","Travel                                            ")</f>
        <v xml:space="preserve">     Travel                                            </v>
      </c>
      <c r="C84" s="13"/>
      <c r="D84" s="1">
        <f>SUM(OSRRefD22_17x_0)</f>
        <v>0</v>
      </c>
      <c r="E84" s="1"/>
      <c r="F84" s="5">
        <f t="shared" si="52"/>
        <v>0</v>
      </c>
      <c r="G84" s="1"/>
      <c r="H84" s="1">
        <f>SUM(OSRRefH22_17x_0)</f>
        <v>0</v>
      </c>
      <c r="I84" s="1"/>
      <c r="J84" s="5">
        <f t="shared" si="53"/>
        <v>0</v>
      </c>
      <c r="K84" s="1"/>
      <c r="L84" s="1">
        <f t="shared" si="54"/>
        <v>0</v>
      </c>
      <c r="M84" s="1"/>
      <c r="N84" s="5">
        <f t="shared" si="55"/>
        <v>0</v>
      </c>
      <c r="O84" s="13"/>
      <c r="P84" s="1">
        <f>SUM(OSRRefP22_17x_0)</f>
        <v>0</v>
      </c>
      <c r="Q84" s="1"/>
      <c r="R84" s="5">
        <f t="shared" si="56"/>
        <v>0</v>
      </c>
      <c r="S84" s="1"/>
      <c r="T84" s="1">
        <f>SUM(OSRRefT22_17x_0)</f>
        <v>59.14</v>
      </c>
      <c r="U84" s="1"/>
      <c r="V84" s="5">
        <f t="shared" si="57"/>
        <v>2.3438541895997318E-5</v>
      </c>
      <c r="W84" s="1"/>
      <c r="X84" s="1">
        <f t="shared" si="58"/>
        <v>-59.14</v>
      </c>
      <c r="Y84" s="1"/>
      <c r="Z84" s="5">
        <f t="shared" si="59"/>
        <v>-1</v>
      </c>
    </row>
    <row r="85" spans="1:26" s="24" customFormat="1" hidden="1" outlineLevel="2" x14ac:dyDescent="0.25">
      <c r="A85" s="25"/>
      <c r="B85" s="11" t="str">
        <f>CONCATENATE("          ", "6292", " - ", "TRAVEL/CONFERENCE")</f>
        <v xml:space="preserve">          6292 - TRAVEL/CONFERENCE</v>
      </c>
      <c r="C85" s="11"/>
      <c r="D85" s="6"/>
      <c r="E85" s="2"/>
      <c r="F85" s="7">
        <f t="shared" si="52"/>
        <v>0</v>
      </c>
      <c r="G85" s="2"/>
      <c r="H85" s="6"/>
      <c r="I85" s="2"/>
      <c r="J85" s="7">
        <f t="shared" si="53"/>
        <v>0</v>
      </c>
      <c r="K85" s="2"/>
      <c r="L85" s="6">
        <f t="shared" si="54"/>
        <v>0</v>
      </c>
      <c r="M85" s="2"/>
      <c r="N85" s="7">
        <f t="shared" si="55"/>
        <v>0</v>
      </c>
      <c r="O85" s="11"/>
      <c r="P85" s="6"/>
      <c r="Q85" s="2"/>
      <c r="R85" s="7">
        <f t="shared" si="56"/>
        <v>0</v>
      </c>
      <c r="S85" s="2"/>
      <c r="T85" s="6">
        <v>59.14</v>
      </c>
      <c r="U85" s="2"/>
      <c r="V85" s="7">
        <f t="shared" si="57"/>
        <v>2.3438541895997318E-5</v>
      </c>
      <c r="W85" s="2"/>
      <c r="X85" s="6">
        <f t="shared" si="58"/>
        <v>-59.14</v>
      </c>
      <c r="Y85" s="2"/>
      <c r="Z85" s="7">
        <f t="shared" si="59"/>
        <v>-1</v>
      </c>
    </row>
    <row r="86" spans="1:26" s="61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25">
      <c r="A87" s="10"/>
      <c r="B87" s="29" t="s">
        <v>0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8" t="s">
        <v>3</v>
      </c>
      <c r="C89" s="28"/>
      <c r="D89" s="20">
        <f>+D21-D23+D87</f>
        <v>-62988.929999999993</v>
      </c>
      <c r="E89" s="14"/>
      <c r="F89" s="22">
        <f>IF(D$12=0,0,D89/D$12)</f>
        <v>-1.6398520229046882</v>
      </c>
      <c r="G89" s="14"/>
      <c r="H89" s="20">
        <f>+H21-H23+H87</f>
        <v>22891.109999999957</v>
      </c>
      <c r="I89" s="14"/>
      <c r="J89" s="22">
        <f>IF(H$12=0,0,H89/H$12)</f>
        <v>0.10017159625741337</v>
      </c>
      <c r="K89" s="15"/>
      <c r="L89" s="20">
        <f>+D89-H89</f>
        <v>-85880.03999999995</v>
      </c>
      <c r="M89" s="15"/>
      <c r="N89" s="22">
        <f>IF(H89=0,0,L89/H89)</f>
        <v>-3.7516765242052532</v>
      </c>
      <c r="O89" s="29"/>
      <c r="P89" s="20">
        <f>+P21-P23+P87</f>
        <v>-415338.4299999997</v>
      </c>
      <c r="Q89" s="14"/>
      <c r="R89" s="22">
        <f>IF(P$12=0,0,P89/P$12)</f>
        <v>-0.63789376677263054</v>
      </c>
      <c r="S89" s="14"/>
      <c r="T89" s="20">
        <f>+T21-T23+T87</f>
        <v>674914.69</v>
      </c>
      <c r="U89" s="14"/>
      <c r="V89" s="22">
        <f>IF(T$12=0,0,T89/T$12)</f>
        <v>0.26748421098730196</v>
      </c>
      <c r="W89" s="15"/>
      <c r="X89" s="20">
        <f>+P89-T89</f>
        <v>-1090253.1199999996</v>
      </c>
      <c r="Y89" s="15"/>
      <c r="Z89" s="22">
        <f>IF(T89=0,0,X89/T89)</f>
        <v>-1.6153939692733608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1"/>
      <c r="B91" s="10" t="s">
        <v>13</v>
      </c>
      <c r="C91" s="10"/>
      <c r="D91" s="4">
        <v>4831.49</v>
      </c>
      <c r="E91" s="4"/>
      <c r="F91" s="12">
        <f>IF(D$12=0,0,D91/D$12)</f>
        <v>0.12578287407237704</v>
      </c>
      <c r="G91" s="4"/>
      <c r="H91" s="4">
        <v>15290.82</v>
      </c>
      <c r="I91" s="4"/>
      <c r="J91" s="12">
        <f>IF(H$12=0,0,H91/H$12)</f>
        <v>6.6912694381564913E-2</v>
      </c>
      <c r="K91" s="4"/>
      <c r="L91" s="4">
        <f>+D91-H91</f>
        <v>-10459.33</v>
      </c>
      <c r="M91" s="4"/>
      <c r="N91" s="12">
        <f>IF(H91=0,0,L91/H91)</f>
        <v>-0.68402675592283479</v>
      </c>
      <c r="O91" s="10"/>
      <c r="P91" s="4">
        <v>118193.53</v>
      </c>
      <c r="Q91" s="4"/>
      <c r="R91" s="12">
        <f>IF(P$12=0,0,P91/P$12)</f>
        <v>0.18152646279289389</v>
      </c>
      <c r="S91" s="4"/>
      <c r="T91" s="4">
        <v>263133.45</v>
      </c>
      <c r="U91" s="4"/>
      <c r="V91" s="12">
        <f>IF(T$12=0,0,T91/T$12)</f>
        <v>0.10428583686275474</v>
      </c>
      <c r="W91" s="4"/>
      <c r="X91" s="4">
        <f>+P91-T91</f>
        <v>-144939.92000000001</v>
      </c>
      <c r="Y91" s="4"/>
      <c r="Z91" s="12">
        <f>IF(T91=0,0,X91/T91)</f>
        <v>-0.55082286193564522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4</v>
      </c>
      <c r="C93" s="28"/>
      <c r="D93" s="30">
        <f>+D89-D91</f>
        <v>-67820.42</v>
      </c>
      <c r="E93" s="14"/>
      <c r="F93" s="36">
        <f>IF(D$12=0,0,D93/D$12)</f>
        <v>-1.7656348969770654</v>
      </c>
      <c r="G93" s="14"/>
      <c r="H93" s="30">
        <f>+H89-H91</f>
        <v>7600.2899999999572</v>
      </c>
      <c r="I93" s="14"/>
      <c r="J93" s="36">
        <f>IF(H$12=0,0,H93/H$12)</f>
        <v>3.3258901875848464E-2</v>
      </c>
      <c r="K93" s="15"/>
      <c r="L93" s="30">
        <f>D93-H93</f>
        <v>-75420.709999999963</v>
      </c>
      <c r="M93" s="15"/>
      <c r="N93" s="36">
        <f>IF(H93=0,0,L93/H93)</f>
        <v>-9.9233989755654566</v>
      </c>
      <c r="O93" s="29"/>
      <c r="P93" s="30">
        <f>+P89-P91</f>
        <v>-533531.95999999973</v>
      </c>
      <c r="Q93" s="14"/>
      <c r="R93" s="36">
        <f>IF(P$12=0,0,P93/P$12)</f>
        <v>-0.81942022956552452</v>
      </c>
      <c r="S93" s="14"/>
      <c r="T93" s="30">
        <f>+T89-T91</f>
        <v>411781.23999999993</v>
      </c>
      <c r="U93" s="14"/>
      <c r="V93" s="36">
        <f>IF(T$12=0,0,T93/T$12)</f>
        <v>0.16319837412454724</v>
      </c>
      <c r="W93" s="15"/>
      <c r="X93" s="30">
        <f>P93-T93</f>
        <v>-945313.19999999972</v>
      </c>
      <c r="Y93" s="15"/>
      <c r="Z93" s="36">
        <f>IF(T93=0,0,X93/T93)</f>
        <v>-2.2956684476446765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5</v>
      </c>
      <c r="C96" s="28"/>
      <c r="D96" s="32">
        <f>SUM(D93:D95)</f>
        <v>-67820.42</v>
      </c>
      <c r="E96" s="14"/>
      <c r="F96" s="31">
        <f>IF(D$12=0,0,D96/D$12)</f>
        <v>-1.7656348969770654</v>
      </c>
      <c r="G96" s="14"/>
      <c r="H96" s="32">
        <f>SUM(H93:H95)</f>
        <v>7600.2899999999572</v>
      </c>
      <c r="I96" s="14"/>
      <c r="J96" s="31">
        <f>IF(H$12=0,0,H96/H$12)</f>
        <v>3.3258901875848464E-2</v>
      </c>
      <c r="K96" s="15"/>
      <c r="L96" s="32">
        <f>+D96-H96</f>
        <v>-75420.709999999963</v>
      </c>
      <c r="M96" s="15"/>
      <c r="N96" s="31">
        <f>IF(H96=0,0,L96/H96)</f>
        <v>-9.9233989755654566</v>
      </c>
      <c r="O96" s="29"/>
      <c r="P96" s="32">
        <f>SUM(P93:P95)</f>
        <v>-533531.95999999973</v>
      </c>
      <c r="Q96" s="14"/>
      <c r="R96" s="31">
        <f>IF(P$12=0,0,P96/P$12)</f>
        <v>-0.81942022956552452</v>
      </c>
      <c r="S96" s="14"/>
      <c r="T96" s="32">
        <f>SUM(T93:T95)</f>
        <v>411781.23999999993</v>
      </c>
      <c r="U96" s="14"/>
      <c r="V96" s="31">
        <f>IF(T$12=0,0,T96/T$12)</f>
        <v>0.16319837412454724</v>
      </c>
      <c r="W96" s="15"/>
      <c r="X96" s="32">
        <f>+P96-T96</f>
        <v>-945313.19999999972</v>
      </c>
      <c r="Y96" s="15"/>
      <c r="Z96" s="31">
        <f>IF(T96=0,0,X96/T96)</f>
        <v>-2.2956684476446765</v>
      </c>
    </row>
    <row r="97" spans="1:24" ht="15.75" thickTop="1" x14ac:dyDescent="0.25">
      <c r="A97" s="9"/>
      <c r="C97" s="9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62">
        <v>44238.496658067132</v>
      </c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A99" s="9"/>
      <c r="B99" s="59" t="s">
        <v>313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4" x14ac:dyDescent="0.25">
      <c r="A100" s="9"/>
      <c r="B100" s="56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4" x14ac:dyDescent="0.25"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","450", " - ", "Beachside Dining Hall")</f>
        <v>Department 450 - Beachside Dining Hall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146467.37</v>
      </c>
      <c r="I12" s="4"/>
      <c r="J12" s="12"/>
      <c r="K12" s="4"/>
      <c r="L12" s="4">
        <f t="shared" ref="L12:L15" si="0">+D12-H12</f>
        <v>-146467.37</v>
      </c>
      <c r="M12" s="4"/>
      <c r="N12" s="12">
        <f t="shared" ref="N12:N15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1445345.27</v>
      </c>
      <c r="U12" s="4"/>
      <c r="V12" s="12"/>
      <c r="W12" s="4"/>
      <c r="X12" s="4">
        <f t="shared" ref="X12:X15" si="2">+P12-T12</f>
        <v>-1445345.27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5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5" si="5">0</f>
        <v>0</v>
      </c>
      <c r="Q13" s="2"/>
      <c r="R13" s="19"/>
      <c r="S13" s="2"/>
      <c r="T13" s="2">
        <f>--135.72</f>
        <v>135.72</v>
      </c>
      <c r="U13" s="2"/>
      <c r="V13" s="19"/>
      <c r="W13" s="2"/>
      <c r="X13" s="2">
        <f t="shared" si="2"/>
        <v>-135.72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--145969.43</f>
        <v>145969.43</v>
      </c>
      <c r="I14" s="2"/>
      <c r="J14" s="19"/>
      <c r="K14" s="2"/>
      <c r="L14" s="2">
        <f t="shared" si="0"/>
        <v>-145969.43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--1438419.05</f>
        <v>1438419.05</v>
      </c>
      <c r="U14" s="2"/>
      <c r="V14" s="19"/>
      <c r="W14" s="2"/>
      <c r="X14" s="2">
        <f t="shared" si="2"/>
        <v>-1438419.05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>
        <f>--497.94</f>
        <v>497.94</v>
      </c>
      <c r="I15" s="2"/>
      <c r="J15" s="19"/>
      <c r="K15" s="2"/>
      <c r="L15" s="2">
        <f t="shared" si="0"/>
        <v>-497.94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--6790.5</f>
        <v>6790.5</v>
      </c>
      <c r="U15" s="2"/>
      <c r="V15" s="19"/>
      <c r="W15" s="2"/>
      <c r="X15" s="2">
        <f t="shared" si="2"/>
        <v>-6790.5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0</v>
      </c>
      <c r="E17" s="4"/>
      <c r="F17" s="12">
        <f t="shared" ref="F17:F19" si="6">IF(D$12=0,0,D17/D$12)</f>
        <v>0</v>
      </c>
      <c r="G17" s="4"/>
      <c r="H17" s="4">
        <f>SUM(OSRRefH16x_0)</f>
        <v>32394.21</v>
      </c>
      <c r="I17" s="4"/>
      <c r="J17" s="12">
        <f t="shared" ref="J17:J19" si="7">IF(H$12=0,0,H17/H$12)</f>
        <v>0.22117014868226281</v>
      </c>
      <c r="K17" s="4"/>
      <c r="L17" s="4">
        <f t="shared" ref="L17:L19" si="8">+D17-H17</f>
        <v>-32394.21</v>
      </c>
      <c r="M17" s="4"/>
      <c r="N17" s="12">
        <f t="shared" ref="N17:N19" si="9">IF(H17=0,0,L17/H17)</f>
        <v>-1</v>
      </c>
      <c r="O17" s="10"/>
      <c r="P17" s="4">
        <f>SUM(OSRRefP16x_0)</f>
        <v>0</v>
      </c>
      <c r="Q17" s="4"/>
      <c r="R17" s="12">
        <f t="shared" ref="R17:R19" si="10">IF(P$12=0,0,P17/P$12)</f>
        <v>0</v>
      </c>
      <c r="S17" s="4"/>
      <c r="T17" s="4">
        <f>SUM(OSRRefT16x_0)</f>
        <v>330064.09000000003</v>
      </c>
      <c r="U17" s="4"/>
      <c r="V17" s="12">
        <f t="shared" ref="V17:V19" si="11">IF(T$12=0,0,T17/T$12)</f>
        <v>0.22836348992237684</v>
      </c>
      <c r="W17" s="4"/>
      <c r="X17" s="4">
        <f t="shared" ref="X17:X19" si="12">+P17-T17</f>
        <v>-330064.09000000003</v>
      </c>
      <c r="Y17" s="4"/>
      <c r="Z17" s="12">
        <f t="shared" ref="Z17:Z19" si="13">IF(T17=0,0,X17/T17)</f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>
        <v>34409.21</v>
      </c>
      <c r="I18" s="2"/>
      <c r="J18" s="19">
        <f t="shared" si="7"/>
        <v>0.23492747906922887</v>
      </c>
      <c r="K18" s="2"/>
      <c r="L18" s="2">
        <f t="shared" si="8"/>
        <v>-34409.21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332961.09000000003</v>
      </c>
      <c r="U18" s="2"/>
      <c r="V18" s="19">
        <f t="shared" si="11"/>
        <v>0.23036785528761583</v>
      </c>
      <c r="W18" s="2"/>
      <c r="X18" s="2">
        <f t="shared" si="12"/>
        <v>-332961.09000000003</v>
      </c>
      <c r="Y18" s="2"/>
      <c r="Z18" s="19">
        <f t="shared" si="13"/>
        <v>-1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6"/>
        <v>0</v>
      </c>
      <c r="G19" s="2"/>
      <c r="H19" s="2">
        <v>-2015</v>
      </c>
      <c r="I19" s="2"/>
      <c r="J19" s="19">
        <f t="shared" si="7"/>
        <v>-1.3757330386966053E-2</v>
      </c>
      <c r="K19" s="2"/>
      <c r="L19" s="2">
        <f t="shared" si="8"/>
        <v>2015</v>
      </c>
      <c r="M19" s="2"/>
      <c r="N19" s="19">
        <f t="shared" si="9"/>
        <v>-1</v>
      </c>
      <c r="O19" s="11"/>
      <c r="P19" s="2"/>
      <c r="Q19" s="2"/>
      <c r="R19" s="19">
        <f t="shared" si="10"/>
        <v>0</v>
      </c>
      <c r="S19" s="2"/>
      <c r="T19" s="2">
        <v>-2897</v>
      </c>
      <c r="U19" s="2"/>
      <c r="V19" s="19">
        <f t="shared" si="11"/>
        <v>-2.0043653652389924E-3</v>
      </c>
      <c r="W19" s="2"/>
      <c r="X19" s="2">
        <f t="shared" si="12"/>
        <v>2897</v>
      </c>
      <c r="Y19" s="2"/>
      <c r="Z19" s="19">
        <f t="shared" si="13"/>
        <v>-1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0</v>
      </c>
      <c r="E21" s="14"/>
      <c r="F21" s="22">
        <f>IF(D$12=0,0,D21/D$12)</f>
        <v>0</v>
      </c>
      <c r="G21" s="14"/>
      <c r="H21" s="20">
        <f>H12-H17</f>
        <v>114073.16</v>
      </c>
      <c r="I21" s="14"/>
      <c r="J21" s="22">
        <f>IF(H$12=0,0,H21/H$12)</f>
        <v>0.77882985131773719</v>
      </c>
      <c r="K21" s="15"/>
      <c r="L21" s="20">
        <f>+D21-H21</f>
        <v>-114073.16</v>
      </c>
      <c r="M21" s="15"/>
      <c r="N21" s="22">
        <f>IF(H21=0,0,L21/H21)</f>
        <v>-1</v>
      </c>
      <c r="O21" s="29"/>
      <c r="P21" s="20">
        <f>P12-P17</f>
        <v>0</v>
      </c>
      <c r="Q21" s="14"/>
      <c r="R21" s="22">
        <f>IF(P$12=0,0,P21/P$12)</f>
        <v>0</v>
      </c>
      <c r="S21" s="14"/>
      <c r="T21" s="20">
        <f>T12-T17</f>
        <v>1115281.18</v>
      </c>
      <c r="U21" s="14"/>
      <c r="V21" s="22">
        <f>IF(T$12=0,0,T21/T$12)</f>
        <v>0.77163651007762313</v>
      </c>
      <c r="W21" s="15"/>
      <c r="X21" s="20">
        <f>+P21-T21</f>
        <v>-1115281.18</v>
      </c>
      <c r="Y21" s="15"/>
      <c r="Z21" s="22">
        <f>IF(T21=0,0,X21/T21)</f>
        <v>-1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1">
        <f>SUM(OSRRefD22x_0)</f>
        <v>41216.369999999995</v>
      </c>
      <c r="E23" s="21"/>
      <c r="F23" s="35">
        <f t="shared" ref="F23:F33" si="14">IF(D$12=0,0,D23/D$12)</f>
        <v>0</v>
      </c>
      <c r="G23" s="21"/>
      <c r="H23" s="21">
        <f>SUM(OSRRefH22x_0)</f>
        <v>107473.15</v>
      </c>
      <c r="I23" s="21"/>
      <c r="J23" s="35">
        <f t="shared" ref="J23:J33" si="15">IF(H$12=0,0,H23/H$12)</f>
        <v>0.73376855199898783</v>
      </c>
      <c r="K23" s="4"/>
      <c r="L23" s="21">
        <f t="shared" ref="L23:L33" si="16">+D23-H23</f>
        <v>-66256.78</v>
      </c>
      <c r="M23" s="4"/>
      <c r="N23" s="35">
        <f t="shared" ref="N23:N33" si="17">IF(H23=0,0,L23/H23)</f>
        <v>-0.61649612019374145</v>
      </c>
      <c r="O23" s="10"/>
      <c r="P23" s="21">
        <f>SUM(OSRRefP22x_0)</f>
        <v>290086.99999999988</v>
      </c>
      <c r="Q23" s="21"/>
      <c r="R23" s="35">
        <f t="shared" ref="R23:R33" si="18">IF(P$12=0,0,P23/P$12)</f>
        <v>0</v>
      </c>
      <c r="S23" s="21"/>
      <c r="T23" s="21">
        <f>SUM(OSRRefT22x_0)</f>
        <v>853968.87</v>
      </c>
      <c r="U23" s="21"/>
      <c r="V23" s="35">
        <f t="shared" ref="V23:V33" si="19">IF(T$12=0,0,T23/T$12)</f>
        <v>0.59084074077331017</v>
      </c>
      <c r="W23" s="4"/>
      <c r="X23" s="21">
        <f t="shared" ref="X23:X33" si="20">+P23-T23</f>
        <v>-563881.87000000011</v>
      </c>
      <c r="Y23" s="4"/>
      <c r="Z23" s="35">
        <f t="shared" ref="Z23:Z33" si="21">IF(T23=0,0,X23/T23)</f>
        <v>-0.66030728965565233</v>
      </c>
    </row>
    <row r="24" spans="1:26" s="26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18049.039999999997</v>
      </c>
      <c r="E24" s="1"/>
      <c r="F24" s="5">
        <f t="shared" si="14"/>
        <v>0</v>
      </c>
      <c r="G24" s="1"/>
      <c r="H24" s="1">
        <f>SUM(OSRRefH22_0x_0)</f>
        <v>28210.030000000006</v>
      </c>
      <c r="I24" s="1"/>
      <c r="J24" s="5">
        <f t="shared" si="15"/>
        <v>0.19260283024130226</v>
      </c>
      <c r="K24" s="1"/>
      <c r="L24" s="1">
        <f t="shared" si="16"/>
        <v>-10160.990000000009</v>
      </c>
      <c r="M24" s="1"/>
      <c r="N24" s="5">
        <f t="shared" si="17"/>
        <v>-0.36019068395177201</v>
      </c>
      <c r="O24" s="13"/>
      <c r="P24" s="1">
        <f>SUM(OSRRefP22_0x_0)</f>
        <v>136445.60999999999</v>
      </c>
      <c r="Q24" s="1"/>
      <c r="R24" s="5">
        <f t="shared" si="18"/>
        <v>0</v>
      </c>
      <c r="S24" s="1"/>
      <c r="T24" s="1">
        <f>SUM(OSRRefT22_0x_0)</f>
        <v>188830.52000000002</v>
      </c>
      <c r="U24" s="1"/>
      <c r="V24" s="5">
        <f t="shared" si="19"/>
        <v>0.13064734352366891</v>
      </c>
      <c r="W24" s="1"/>
      <c r="X24" s="1">
        <f t="shared" si="20"/>
        <v>-52384.910000000033</v>
      </c>
      <c r="Y24" s="1"/>
      <c r="Z24" s="5">
        <f t="shared" si="21"/>
        <v>-0.27741760177327279</v>
      </c>
    </row>
    <row r="25" spans="1:26" s="24" customFormat="1" hidden="1" outlineLevel="2" x14ac:dyDescent="0.25">
      <c r="A25" s="25"/>
      <c r="B25" s="11" t="str">
        <f>CONCATENATE("          ", "6111", " - ", "F.I.C.A.")</f>
        <v xml:space="preserve">          6111 - F.I.C.A.</v>
      </c>
      <c r="C25" s="11"/>
      <c r="D25" s="6">
        <v>1610.27</v>
      </c>
      <c r="E25" s="2"/>
      <c r="F25" s="7">
        <f t="shared" si="14"/>
        <v>0</v>
      </c>
      <c r="G25" s="2"/>
      <c r="H25" s="6">
        <v>2874.92</v>
      </c>
      <c r="I25" s="2"/>
      <c r="J25" s="7">
        <f t="shared" si="15"/>
        <v>1.9628399144464737E-2</v>
      </c>
      <c r="K25" s="2"/>
      <c r="L25" s="6">
        <f t="shared" si="16"/>
        <v>-1264.6500000000001</v>
      </c>
      <c r="M25" s="2"/>
      <c r="N25" s="7">
        <f t="shared" si="17"/>
        <v>-0.43989050130090579</v>
      </c>
      <c r="O25" s="11"/>
      <c r="P25" s="6">
        <v>11864.9</v>
      </c>
      <c r="Q25" s="2"/>
      <c r="R25" s="7">
        <f t="shared" si="18"/>
        <v>0</v>
      </c>
      <c r="S25" s="2"/>
      <c r="T25" s="6">
        <v>25894.91</v>
      </c>
      <c r="U25" s="2"/>
      <c r="V25" s="7">
        <f t="shared" si="19"/>
        <v>1.7916072053842193E-2</v>
      </c>
      <c r="W25" s="2"/>
      <c r="X25" s="6">
        <f t="shared" si="20"/>
        <v>-14030.01</v>
      </c>
      <c r="Y25" s="2"/>
      <c r="Z25" s="7">
        <f t="shared" si="21"/>
        <v>-0.54180570621794011</v>
      </c>
    </row>
    <row r="26" spans="1:26" s="24" customFormat="1" hidden="1" outlineLevel="2" x14ac:dyDescent="0.25">
      <c r="A26" s="25"/>
      <c r="B26" s="11" t="str">
        <f>CONCATENATE("          ", "6112", " - ", "COMPENSATION INSURANCE")</f>
        <v xml:space="preserve">          6112 - COMPENSATION INSURANCE</v>
      </c>
      <c r="C26" s="11"/>
      <c r="D26" s="6">
        <v>365.63</v>
      </c>
      <c r="E26" s="2"/>
      <c r="F26" s="7">
        <f t="shared" si="14"/>
        <v>0</v>
      </c>
      <c r="G26" s="2"/>
      <c r="H26" s="6">
        <v>1746.89</v>
      </c>
      <c r="I26" s="2"/>
      <c r="J26" s="7">
        <f t="shared" si="15"/>
        <v>1.192682028768592E-2</v>
      </c>
      <c r="K26" s="2"/>
      <c r="L26" s="6">
        <f t="shared" si="16"/>
        <v>-1381.2600000000002</v>
      </c>
      <c r="M26" s="2"/>
      <c r="N26" s="7">
        <f t="shared" si="17"/>
        <v>-0.79069660940299624</v>
      </c>
      <c r="O26" s="11"/>
      <c r="P26" s="6">
        <v>6557.72</v>
      </c>
      <c r="Q26" s="2"/>
      <c r="R26" s="7">
        <f t="shared" si="18"/>
        <v>0</v>
      </c>
      <c r="S26" s="2"/>
      <c r="T26" s="6">
        <v>14538.86</v>
      </c>
      <c r="U26" s="2"/>
      <c r="V26" s="7">
        <f t="shared" si="19"/>
        <v>1.0059091278584252E-2</v>
      </c>
      <c r="W26" s="2"/>
      <c r="X26" s="6">
        <f t="shared" si="20"/>
        <v>-7981.14</v>
      </c>
      <c r="Y26" s="2"/>
      <c r="Z26" s="7">
        <f t="shared" si="21"/>
        <v>-0.54895225622916788</v>
      </c>
    </row>
    <row r="27" spans="1:26" s="24" customFormat="1" hidden="1" outlineLevel="2" x14ac:dyDescent="0.25">
      <c r="A27" s="25"/>
      <c r="B27" s="11" t="str">
        <f>CONCATENATE("          ", "6113", " - ", "GROUP INSURANCE")</f>
        <v xml:space="preserve">          6113 - GROUP INSURANCE</v>
      </c>
      <c r="C27" s="11"/>
      <c r="D27" s="6">
        <v>12477.9</v>
      </c>
      <c r="E27" s="2"/>
      <c r="F27" s="7">
        <f t="shared" si="14"/>
        <v>0</v>
      </c>
      <c r="G27" s="2"/>
      <c r="H27" s="6">
        <v>15945.350000000002</v>
      </c>
      <c r="I27" s="2"/>
      <c r="J27" s="7">
        <f t="shared" si="15"/>
        <v>0.10886622733787056</v>
      </c>
      <c r="K27" s="2"/>
      <c r="L27" s="6">
        <f t="shared" si="16"/>
        <v>-3467.4500000000025</v>
      </c>
      <c r="M27" s="2"/>
      <c r="N27" s="7">
        <f t="shared" si="17"/>
        <v>-0.21745838128357184</v>
      </c>
      <c r="O27" s="11"/>
      <c r="P27" s="6">
        <v>88179.5</v>
      </c>
      <c r="Q27" s="2"/>
      <c r="R27" s="7">
        <f t="shared" si="18"/>
        <v>0</v>
      </c>
      <c r="S27" s="2"/>
      <c r="T27" s="6">
        <v>97924.44</v>
      </c>
      <c r="U27" s="2"/>
      <c r="V27" s="7">
        <f t="shared" si="19"/>
        <v>6.7751589902113843E-2</v>
      </c>
      <c r="W27" s="2"/>
      <c r="X27" s="6">
        <f t="shared" si="20"/>
        <v>-9744.9400000000023</v>
      </c>
      <c r="Y27" s="2"/>
      <c r="Z27" s="7">
        <f t="shared" si="21"/>
        <v>-9.9514891277397169E-2</v>
      </c>
    </row>
    <row r="28" spans="1:26" s="24" customFormat="1" hidden="1" outlineLevel="2" x14ac:dyDescent="0.25">
      <c r="A28" s="25"/>
      <c r="B28" s="11" t="str">
        <f>CONCATENATE("          ", "6114", " - ", "STATE UNEMPLOYMENT INSURANCE")</f>
        <v xml:space="preserve">          6114 - STATE UNEMPLOYMENT INSURANCE</v>
      </c>
      <c r="C28" s="11"/>
      <c r="D28" s="6">
        <v>108.72</v>
      </c>
      <c r="E28" s="2"/>
      <c r="F28" s="7">
        <f t="shared" si="14"/>
        <v>0</v>
      </c>
      <c r="G28" s="2"/>
      <c r="H28" s="6">
        <v>121.4</v>
      </c>
      <c r="I28" s="2"/>
      <c r="J28" s="7">
        <f t="shared" si="15"/>
        <v>8.2885355284252052E-4</v>
      </c>
      <c r="K28" s="2"/>
      <c r="L28" s="6">
        <f t="shared" si="16"/>
        <v>-12.680000000000007</v>
      </c>
      <c r="M28" s="2"/>
      <c r="N28" s="7">
        <f t="shared" si="17"/>
        <v>-0.10444810543657336</v>
      </c>
      <c r="O28" s="11"/>
      <c r="P28" s="6">
        <v>406.1</v>
      </c>
      <c r="Q28" s="2"/>
      <c r="R28" s="7">
        <f t="shared" si="18"/>
        <v>0</v>
      </c>
      <c r="S28" s="2"/>
      <c r="T28" s="6">
        <v>1221.78</v>
      </c>
      <c r="U28" s="2"/>
      <c r="V28" s="7">
        <f t="shared" si="19"/>
        <v>8.4532050947245282E-4</v>
      </c>
      <c r="W28" s="2"/>
      <c r="X28" s="6">
        <f t="shared" si="20"/>
        <v>-815.68</v>
      </c>
      <c r="Y28" s="2"/>
      <c r="Z28" s="7">
        <f t="shared" si="21"/>
        <v>-0.66761610109839742</v>
      </c>
    </row>
    <row r="29" spans="1:26" s="24" customFormat="1" hidden="1" outlineLevel="2" x14ac:dyDescent="0.25">
      <c r="A29" s="25"/>
      <c r="B29" s="11" t="str">
        <f>CONCATENATE("          ", "6115", " - ", "P.E.R.S.")</f>
        <v xml:space="preserve">          6115 - P.E.R.S.</v>
      </c>
      <c r="C29" s="11"/>
      <c r="D29" s="6">
        <v>736.72</v>
      </c>
      <c r="E29" s="2"/>
      <c r="F29" s="7">
        <f t="shared" si="14"/>
        <v>0</v>
      </c>
      <c r="G29" s="2"/>
      <c r="H29" s="6">
        <v>1439.45</v>
      </c>
      <c r="I29" s="2"/>
      <c r="J29" s="7">
        <f t="shared" si="15"/>
        <v>9.8277862161381072E-3</v>
      </c>
      <c r="K29" s="2"/>
      <c r="L29" s="6">
        <f t="shared" si="16"/>
        <v>-702.73</v>
      </c>
      <c r="M29" s="2"/>
      <c r="N29" s="7">
        <f t="shared" si="17"/>
        <v>-0.48819340720414045</v>
      </c>
      <c r="O29" s="11"/>
      <c r="P29" s="6">
        <v>4007.9</v>
      </c>
      <c r="Q29" s="2"/>
      <c r="R29" s="7">
        <f t="shared" si="18"/>
        <v>0</v>
      </c>
      <c r="S29" s="2"/>
      <c r="T29" s="6">
        <v>8323.33</v>
      </c>
      <c r="U29" s="2"/>
      <c r="V29" s="7">
        <f t="shared" si="19"/>
        <v>5.7587139715066142E-3</v>
      </c>
      <c r="W29" s="2"/>
      <c r="X29" s="6">
        <f t="shared" si="20"/>
        <v>-4315.43</v>
      </c>
      <c r="Y29" s="2"/>
      <c r="Z29" s="7">
        <f t="shared" si="21"/>
        <v>-0.51847397616098367</v>
      </c>
    </row>
    <row r="30" spans="1:26" s="24" customFormat="1" hidden="1" outlineLevel="2" x14ac:dyDescent="0.25">
      <c r="A30" s="25"/>
      <c r="B30" s="11" t="str">
        <f>CONCATENATE("          ", "6117", " - ", "RETIREMENT STAFF HOURLY")</f>
        <v xml:space="preserve">          6117 - RETIREMENT STAFF HOURLY</v>
      </c>
      <c r="C30" s="11"/>
      <c r="D30" s="6">
        <v>551.29999999999995</v>
      </c>
      <c r="E30" s="2"/>
      <c r="F30" s="7">
        <f t="shared" si="14"/>
        <v>0</v>
      </c>
      <c r="G30" s="2"/>
      <c r="H30" s="6">
        <v>803.11</v>
      </c>
      <c r="I30" s="2"/>
      <c r="J30" s="7">
        <f t="shared" si="15"/>
        <v>5.4832007975564798E-3</v>
      </c>
      <c r="K30" s="2"/>
      <c r="L30" s="6">
        <f t="shared" si="16"/>
        <v>-251.81000000000006</v>
      </c>
      <c r="M30" s="2"/>
      <c r="N30" s="7">
        <f t="shared" si="17"/>
        <v>-0.31354359925788505</v>
      </c>
      <c r="O30" s="11"/>
      <c r="P30" s="6">
        <v>3999.79</v>
      </c>
      <c r="Q30" s="2"/>
      <c r="R30" s="7">
        <f t="shared" si="18"/>
        <v>0</v>
      </c>
      <c r="S30" s="2"/>
      <c r="T30" s="6">
        <v>3710.48</v>
      </c>
      <c r="U30" s="2"/>
      <c r="V30" s="7">
        <f t="shared" si="19"/>
        <v>2.5671928203009928E-3</v>
      </c>
      <c r="W30" s="2"/>
      <c r="X30" s="6">
        <f t="shared" si="20"/>
        <v>289.30999999999995</v>
      </c>
      <c r="Y30" s="2"/>
      <c r="Z30" s="7">
        <f t="shared" si="21"/>
        <v>7.7971044177572696E-2</v>
      </c>
    </row>
    <row r="31" spans="1:26" s="24" customFormat="1" hidden="1" outlineLevel="2" x14ac:dyDescent="0.25">
      <c r="A31" s="25"/>
      <c r="B31" s="11" t="str">
        <f>CONCATENATE("          ", "6118", " - ", "VACATION")</f>
        <v xml:space="preserve">          6118 - VACATION</v>
      </c>
      <c r="C31" s="11"/>
      <c r="D31" s="6">
        <v>1248.1600000000001</v>
      </c>
      <c r="E31" s="2"/>
      <c r="F31" s="7">
        <f t="shared" si="14"/>
        <v>0</v>
      </c>
      <c r="G31" s="2"/>
      <c r="H31" s="6">
        <v>2156.5700000000002</v>
      </c>
      <c r="I31" s="2"/>
      <c r="J31" s="7">
        <f t="shared" si="15"/>
        <v>1.4723893792863218E-2</v>
      </c>
      <c r="K31" s="2"/>
      <c r="L31" s="6">
        <f t="shared" si="16"/>
        <v>-908.41000000000008</v>
      </c>
      <c r="M31" s="2"/>
      <c r="N31" s="7">
        <f t="shared" si="17"/>
        <v>-0.42122908136531623</v>
      </c>
      <c r="O31" s="11"/>
      <c r="P31" s="6">
        <v>9258.2099999999991</v>
      </c>
      <c r="Q31" s="2"/>
      <c r="R31" s="7">
        <f t="shared" si="18"/>
        <v>0</v>
      </c>
      <c r="S31" s="2"/>
      <c r="T31" s="6">
        <v>16360.96</v>
      </c>
      <c r="U31" s="2"/>
      <c r="V31" s="7">
        <f t="shared" si="19"/>
        <v>1.1319758911308438E-2</v>
      </c>
      <c r="W31" s="2"/>
      <c r="X31" s="6">
        <f t="shared" si="20"/>
        <v>-7102.75</v>
      </c>
      <c r="Y31" s="2"/>
      <c r="Z31" s="7">
        <f t="shared" si="21"/>
        <v>-0.43412794848224068</v>
      </c>
    </row>
    <row r="32" spans="1:26" s="24" customFormat="1" hidden="1" outlineLevel="2" x14ac:dyDescent="0.25">
      <c r="A32" s="25"/>
      <c r="B32" s="11" t="str">
        <f>CONCATENATE("          ", "6119", " - ", "SICK LEAVE")</f>
        <v xml:space="preserve">          6119 - SICK LEAVE</v>
      </c>
      <c r="C32" s="11"/>
      <c r="D32" s="6">
        <v>950.34</v>
      </c>
      <c r="E32" s="2"/>
      <c r="F32" s="7">
        <f t="shared" si="14"/>
        <v>0</v>
      </c>
      <c r="G32" s="2"/>
      <c r="H32" s="6">
        <v>1515.87</v>
      </c>
      <c r="I32" s="2"/>
      <c r="J32" s="7">
        <f t="shared" si="15"/>
        <v>1.0349540651955449E-2</v>
      </c>
      <c r="K32" s="2"/>
      <c r="L32" s="6">
        <f t="shared" si="16"/>
        <v>-565.52999999999986</v>
      </c>
      <c r="M32" s="2"/>
      <c r="N32" s="7">
        <f t="shared" si="17"/>
        <v>-0.37307288883611384</v>
      </c>
      <c r="O32" s="11"/>
      <c r="P32" s="6">
        <v>7102.71</v>
      </c>
      <c r="Q32" s="2"/>
      <c r="R32" s="7">
        <f t="shared" si="18"/>
        <v>0</v>
      </c>
      <c r="S32" s="2"/>
      <c r="T32" s="6">
        <v>12654.25</v>
      </c>
      <c r="U32" s="2"/>
      <c r="V32" s="7">
        <f t="shared" si="19"/>
        <v>8.755174464299454E-3</v>
      </c>
      <c r="W32" s="2"/>
      <c r="X32" s="6">
        <f t="shared" si="20"/>
        <v>-5551.54</v>
      </c>
      <c r="Y32" s="2"/>
      <c r="Z32" s="7">
        <f t="shared" si="21"/>
        <v>-0.4387095244680641</v>
      </c>
    </row>
    <row r="33" spans="1:26" s="24" customFormat="1" hidden="1" outlineLevel="2" x14ac:dyDescent="0.25">
      <c r="A33" s="25"/>
      <c r="B33" s="11" t="str">
        <f>CONCATENATE("          ", "6156", " - ", "EMPLOYEE MEALS")</f>
        <v xml:space="preserve">          6156 - EMPLOYEE MEALS</v>
      </c>
      <c r="C33" s="11"/>
      <c r="D33" s="6"/>
      <c r="E33" s="2"/>
      <c r="F33" s="7">
        <f t="shared" si="14"/>
        <v>0</v>
      </c>
      <c r="G33" s="2"/>
      <c r="H33" s="6">
        <v>1606.47</v>
      </c>
      <c r="I33" s="2"/>
      <c r="J33" s="7">
        <f t="shared" si="15"/>
        <v>1.0968108459925239E-2</v>
      </c>
      <c r="K33" s="2"/>
      <c r="L33" s="6">
        <f t="shared" si="16"/>
        <v>-1606.47</v>
      </c>
      <c r="M33" s="2"/>
      <c r="N33" s="7">
        <f t="shared" si="17"/>
        <v>-1</v>
      </c>
      <c r="O33" s="11"/>
      <c r="P33" s="6">
        <v>5068.78</v>
      </c>
      <c r="Q33" s="2"/>
      <c r="R33" s="7">
        <f t="shared" si="18"/>
        <v>0</v>
      </c>
      <c r="S33" s="2"/>
      <c r="T33" s="6">
        <v>8201.51</v>
      </c>
      <c r="U33" s="2"/>
      <c r="V33" s="7">
        <f t="shared" si="19"/>
        <v>5.6744296122406791E-3</v>
      </c>
      <c r="W33" s="2"/>
      <c r="X33" s="6">
        <f t="shared" si="20"/>
        <v>-3132.7300000000005</v>
      </c>
      <c r="Y33" s="2"/>
      <c r="Z33" s="7">
        <f t="shared" si="21"/>
        <v>-0.38196990554178445</v>
      </c>
    </row>
    <row r="34" spans="1:26" s="26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21011.260000000002</v>
      </c>
      <c r="E34" s="1"/>
      <c r="F34" s="5">
        <f t="shared" ref="F34:F40" si="22">IF(D$12=0,0,D34/D$12)</f>
        <v>0</v>
      </c>
      <c r="G34" s="1"/>
      <c r="H34" s="1">
        <f>SUM(OSRRefH22_1x_0)</f>
        <v>58845.439999999988</v>
      </c>
      <c r="I34" s="1"/>
      <c r="J34" s="5">
        <f t="shared" ref="J34:J40" si="23">IF(H$12=0,0,H34/H$12)</f>
        <v>0.40176484359622205</v>
      </c>
      <c r="K34" s="1"/>
      <c r="L34" s="1">
        <f t="shared" ref="L34:L40" si="24">+D34-H34</f>
        <v>-37834.179999999986</v>
      </c>
      <c r="M34" s="1"/>
      <c r="N34" s="5">
        <f t="shared" ref="N34:N40" si="25">IF(H34=0,0,L34/H34)</f>
        <v>-0.64294157712135369</v>
      </c>
      <c r="O34" s="13"/>
      <c r="P34" s="1">
        <f>SUM(OSRRefP22_1x_0)</f>
        <v>145150.72</v>
      </c>
      <c r="Q34" s="1"/>
      <c r="R34" s="5">
        <f t="shared" ref="R34:R40" si="26">IF(P$12=0,0,P34/P$12)</f>
        <v>0</v>
      </c>
      <c r="S34" s="1"/>
      <c r="T34" s="1">
        <f>SUM(OSRRefT22_1x_0)</f>
        <v>452190.17</v>
      </c>
      <c r="U34" s="1"/>
      <c r="V34" s="5">
        <f t="shared" ref="V34:V40" si="27">IF(T$12=0,0,T34/T$12)</f>
        <v>0.31285961865707007</v>
      </c>
      <c r="W34" s="1"/>
      <c r="X34" s="1">
        <f t="shared" ref="X34:X40" si="28">+P34-T34</f>
        <v>-307039.44999999995</v>
      </c>
      <c r="Y34" s="1"/>
      <c r="Z34" s="5">
        <f t="shared" ref="Z34:Z40" si="29">IF(T34=0,0,X34/T34)</f>
        <v>-0.67900514069113882</v>
      </c>
    </row>
    <row r="35" spans="1:26" s="24" customFormat="1" hidden="1" outlineLevel="2" x14ac:dyDescent="0.25">
      <c r="A35" s="25"/>
      <c r="B35" s="11" t="str">
        <f>CONCATENATE("          ", "6002", " - ", "STAFF SALARIES")</f>
        <v xml:space="preserve">          6002 - STAFF SALARIES</v>
      </c>
      <c r="C35" s="11"/>
      <c r="D35" s="6">
        <v>3883</v>
      </c>
      <c r="E35" s="2"/>
      <c r="F35" s="7">
        <f t="shared" si="22"/>
        <v>0</v>
      </c>
      <c r="G35" s="2"/>
      <c r="H35" s="6">
        <v>10987.13</v>
      </c>
      <c r="I35" s="2"/>
      <c r="J35" s="7">
        <f t="shared" si="23"/>
        <v>7.5014182339725219E-2</v>
      </c>
      <c r="K35" s="2"/>
      <c r="L35" s="6">
        <f t="shared" si="24"/>
        <v>-7104.1299999999992</v>
      </c>
      <c r="M35" s="2"/>
      <c r="N35" s="7">
        <f t="shared" si="25"/>
        <v>-0.64658650621226832</v>
      </c>
      <c r="O35" s="11"/>
      <c r="P35" s="6">
        <v>30594.99</v>
      </c>
      <c r="Q35" s="2"/>
      <c r="R35" s="7">
        <f t="shared" si="26"/>
        <v>0</v>
      </c>
      <c r="S35" s="2"/>
      <c r="T35" s="6">
        <v>69387.91</v>
      </c>
      <c r="U35" s="2"/>
      <c r="V35" s="7">
        <f t="shared" si="27"/>
        <v>4.8007843828208607E-2</v>
      </c>
      <c r="W35" s="2"/>
      <c r="X35" s="6">
        <f t="shared" si="28"/>
        <v>-38792.92</v>
      </c>
      <c r="Y35" s="2"/>
      <c r="Z35" s="7">
        <f t="shared" si="29"/>
        <v>-0.55907318724544375</v>
      </c>
    </row>
    <row r="36" spans="1:26" s="24" customFormat="1" hidden="1" outlineLevel="2" x14ac:dyDescent="0.25">
      <c r="A36" s="25"/>
      <c r="B36" s="11" t="str">
        <f>CONCATENATE("          ", "6004", " - ", "STAFF HOURLY")</f>
        <v xml:space="preserve">          6004 - STAFF HOURLY</v>
      </c>
      <c r="C36" s="11"/>
      <c r="D36" s="6">
        <v>13660.26</v>
      </c>
      <c r="E36" s="2"/>
      <c r="F36" s="7">
        <f t="shared" si="22"/>
        <v>0</v>
      </c>
      <c r="G36" s="2"/>
      <c r="H36" s="6">
        <v>19298.809999999998</v>
      </c>
      <c r="I36" s="2"/>
      <c r="J36" s="7">
        <f t="shared" si="23"/>
        <v>0.1317618388314066</v>
      </c>
      <c r="K36" s="2"/>
      <c r="L36" s="6">
        <f t="shared" si="24"/>
        <v>-5638.5499999999975</v>
      </c>
      <c r="M36" s="2"/>
      <c r="N36" s="7">
        <f t="shared" si="25"/>
        <v>-0.29217086442117407</v>
      </c>
      <c r="O36" s="11"/>
      <c r="P36" s="6">
        <v>111087.73000000001</v>
      </c>
      <c r="Q36" s="2"/>
      <c r="R36" s="7">
        <f t="shared" si="26"/>
        <v>0</v>
      </c>
      <c r="S36" s="2"/>
      <c r="T36" s="6">
        <v>147983.13</v>
      </c>
      <c r="U36" s="2"/>
      <c r="V36" s="7">
        <f t="shared" si="27"/>
        <v>0.10238600635542261</v>
      </c>
      <c r="W36" s="2"/>
      <c r="X36" s="6">
        <f t="shared" si="28"/>
        <v>-36895.399999999994</v>
      </c>
      <c r="Y36" s="2"/>
      <c r="Z36" s="7">
        <f t="shared" si="29"/>
        <v>-0.2493216625435615</v>
      </c>
    </row>
    <row r="37" spans="1:26" s="24" customFormat="1" hidden="1" outlineLevel="2" x14ac:dyDescent="0.25">
      <c r="A37" s="25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2"/>
        <v>0</v>
      </c>
      <c r="G37" s="2"/>
      <c r="H37" s="6">
        <v>3829.74</v>
      </c>
      <c r="I37" s="2"/>
      <c r="J37" s="7">
        <f t="shared" si="23"/>
        <v>2.61473937847044E-2</v>
      </c>
      <c r="K37" s="2"/>
      <c r="L37" s="6">
        <f t="shared" si="24"/>
        <v>-3829.74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74960.460000000006</v>
      </c>
      <c r="U37" s="2"/>
      <c r="V37" s="7">
        <f t="shared" si="27"/>
        <v>5.1863358573138722E-2</v>
      </c>
      <c r="W37" s="2"/>
      <c r="X37" s="6">
        <f t="shared" si="28"/>
        <v>-74960.460000000006</v>
      </c>
      <c r="Y37" s="2"/>
      <c r="Z37" s="7">
        <f t="shared" si="29"/>
        <v>-1</v>
      </c>
    </row>
    <row r="38" spans="1:26" s="24" customFormat="1" hidden="1" outlineLevel="2" x14ac:dyDescent="0.25">
      <c r="A38" s="25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10378.219999999999</v>
      </c>
      <c r="U38" s="2"/>
      <c r="V38" s="7">
        <f t="shared" si="27"/>
        <v>7.1804434659408396E-3</v>
      </c>
      <c r="W38" s="2"/>
      <c r="X38" s="6">
        <f t="shared" si="28"/>
        <v>-10378.219999999999</v>
      </c>
      <c r="Y38" s="2"/>
      <c r="Z38" s="7">
        <f t="shared" si="29"/>
        <v>-1</v>
      </c>
    </row>
    <row r="39" spans="1:26" s="24" customFormat="1" hidden="1" outlineLevel="2" x14ac:dyDescent="0.25">
      <c r="A39" s="25"/>
      <c r="B39" s="11" t="str">
        <f>CONCATENATE("          ", "6007", " - ", "STUDENT HOURLY")</f>
        <v xml:space="preserve">          6007 - STUDENT HOURLY</v>
      </c>
      <c r="C39" s="11"/>
      <c r="D39" s="6">
        <v>3468</v>
      </c>
      <c r="E39" s="2"/>
      <c r="F39" s="7">
        <f t="shared" si="22"/>
        <v>0</v>
      </c>
      <c r="G39" s="2"/>
      <c r="H39" s="6">
        <v>23329.01</v>
      </c>
      <c r="I39" s="2"/>
      <c r="J39" s="7">
        <f t="shared" si="23"/>
        <v>0.15927786509718853</v>
      </c>
      <c r="K39" s="2"/>
      <c r="L39" s="6">
        <f t="shared" si="24"/>
        <v>-19861.009999999998</v>
      </c>
      <c r="M39" s="2"/>
      <c r="N39" s="7">
        <f t="shared" si="25"/>
        <v>-0.85134388471692535</v>
      </c>
      <c r="O39" s="11"/>
      <c r="P39" s="6">
        <v>3468</v>
      </c>
      <c r="Q39" s="2"/>
      <c r="R39" s="7">
        <f t="shared" si="26"/>
        <v>0</v>
      </c>
      <c r="S39" s="2"/>
      <c r="T39" s="6">
        <v>108392.7</v>
      </c>
      <c r="U39" s="2"/>
      <c r="V39" s="7">
        <f t="shared" si="27"/>
        <v>7.4994329901532791E-2</v>
      </c>
      <c r="W39" s="2"/>
      <c r="X39" s="6">
        <f t="shared" si="28"/>
        <v>-104924.7</v>
      </c>
      <c r="Y39" s="2"/>
      <c r="Z39" s="7">
        <f t="shared" si="29"/>
        <v>-0.96800522544414891</v>
      </c>
    </row>
    <row r="40" spans="1:26" s="24" customFormat="1" hidden="1" outlineLevel="2" x14ac:dyDescent="0.25">
      <c r="A40" s="25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2"/>
        <v>0</v>
      </c>
      <c r="G40" s="2"/>
      <c r="H40" s="6">
        <v>1400.75</v>
      </c>
      <c r="I40" s="2"/>
      <c r="J40" s="7">
        <f t="shared" si="23"/>
        <v>9.5635635431973696E-3</v>
      </c>
      <c r="K40" s="2"/>
      <c r="L40" s="6">
        <f t="shared" si="24"/>
        <v>-1400.75</v>
      </c>
      <c r="M40" s="2"/>
      <c r="N40" s="7">
        <f t="shared" si="25"/>
        <v>-1</v>
      </c>
      <c r="O40" s="11"/>
      <c r="P40" s="6"/>
      <c r="Q40" s="2"/>
      <c r="R40" s="7">
        <f t="shared" si="26"/>
        <v>0</v>
      </c>
      <c r="S40" s="2"/>
      <c r="T40" s="6">
        <v>41087.75</v>
      </c>
      <c r="U40" s="2"/>
      <c r="V40" s="7">
        <f t="shared" si="27"/>
        <v>2.8427636532826511E-2</v>
      </c>
      <c r="W40" s="2"/>
      <c r="X40" s="6">
        <f t="shared" si="28"/>
        <v>-41087.75</v>
      </c>
      <c r="Y40" s="2"/>
      <c r="Z40" s="7">
        <f t="shared" si="29"/>
        <v>-1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6" si="30">IF(D$12=0,0,D41/D$12)</f>
        <v>0</v>
      </c>
      <c r="G41" s="1"/>
      <c r="H41" s="1">
        <f>SUM(OSRRefH22_2x_0)</f>
        <v>104.5</v>
      </c>
      <c r="I41" s="1"/>
      <c r="J41" s="5">
        <f t="shared" ref="J41:J66" si="31">IF(H$12=0,0,H41/H$12)</f>
        <v>7.1346949153248268E-4</v>
      </c>
      <c r="K41" s="1"/>
      <c r="L41" s="1">
        <f t="shared" ref="L41:L66" si="32">+D41-H41</f>
        <v>-104.5</v>
      </c>
      <c r="M41" s="1"/>
      <c r="N41" s="5">
        <f t="shared" ref="N41:N66" si="33">IF(H41=0,0,L41/H41)</f>
        <v>-1</v>
      </c>
      <c r="O41" s="13"/>
      <c r="P41" s="1">
        <f>SUM(OSRRefP22_2x_0)</f>
        <v>0</v>
      </c>
      <c r="Q41" s="1"/>
      <c r="R41" s="5">
        <f t="shared" ref="R41:R66" si="34">IF(P$12=0,0,P41/P$12)</f>
        <v>0</v>
      </c>
      <c r="S41" s="1"/>
      <c r="T41" s="1">
        <f>SUM(OSRRefT22_2x_0)</f>
        <v>2914.17</v>
      </c>
      <c r="U41" s="1"/>
      <c r="V41" s="5">
        <f t="shared" ref="V41:V66" si="35">IF(T$12=0,0,T41/T$12)</f>
        <v>2.0162448796750138E-3</v>
      </c>
      <c r="W41" s="1"/>
      <c r="X41" s="1">
        <f t="shared" ref="X41:X66" si="36">+P41-T41</f>
        <v>-2914.17</v>
      </c>
      <c r="Y41" s="1"/>
      <c r="Z41" s="5">
        <f t="shared" ref="Z41:Z66" si="37">IF(T41=0,0,X41/T41)</f>
        <v>-1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30"/>
        <v>0</v>
      </c>
      <c r="G42" s="2"/>
      <c r="H42" s="6">
        <v>104.5</v>
      </c>
      <c r="I42" s="2"/>
      <c r="J42" s="7">
        <f t="shared" si="31"/>
        <v>7.1346949153248268E-4</v>
      </c>
      <c r="K42" s="2"/>
      <c r="L42" s="6">
        <f t="shared" si="32"/>
        <v>-104.5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2914.17</v>
      </c>
      <c r="U42" s="2"/>
      <c r="V42" s="7">
        <f t="shared" si="35"/>
        <v>2.0162448796750138E-3</v>
      </c>
      <c r="W42" s="2"/>
      <c r="X42" s="6">
        <f t="shared" si="36"/>
        <v>-2914.17</v>
      </c>
      <c r="Y42" s="2"/>
      <c r="Z42" s="7">
        <f t="shared" si="37"/>
        <v>-1</v>
      </c>
    </row>
    <row r="43" spans="1:26" s="26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30"/>
        <v>0</v>
      </c>
      <c r="G43" s="1"/>
      <c r="H43" s="1">
        <f>SUM(OSRRefH22_3x_0)</f>
        <v>0</v>
      </c>
      <c r="I43" s="1"/>
      <c r="J43" s="5">
        <f t="shared" si="31"/>
        <v>0</v>
      </c>
      <c r="K43" s="1"/>
      <c r="L43" s="1">
        <f t="shared" si="32"/>
        <v>0</v>
      </c>
      <c r="M43" s="1"/>
      <c r="N43" s="5">
        <f t="shared" si="33"/>
        <v>0</v>
      </c>
      <c r="O43" s="13"/>
      <c r="P43" s="1">
        <f>SUM(OSRRefP22_3x_0)</f>
        <v>29.74</v>
      </c>
      <c r="Q43" s="1"/>
      <c r="R43" s="5">
        <f t="shared" si="34"/>
        <v>0</v>
      </c>
      <c r="S43" s="1"/>
      <c r="T43" s="1">
        <f>SUM(OSRRefT22_3x_0)</f>
        <v>13.18</v>
      </c>
      <c r="U43" s="1"/>
      <c r="V43" s="5">
        <f t="shared" si="35"/>
        <v>9.1189283789609651E-6</v>
      </c>
      <c r="W43" s="1"/>
      <c r="X43" s="1">
        <f t="shared" si="36"/>
        <v>16.559999999999999</v>
      </c>
      <c r="Y43" s="1"/>
      <c r="Z43" s="5">
        <f t="shared" si="37"/>
        <v>1.2564491654021244</v>
      </c>
    </row>
    <row r="44" spans="1:26" s="24" customFormat="1" hidden="1" outlineLevel="2" x14ac:dyDescent="0.25">
      <c r="A44" s="25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30"/>
        <v>0</v>
      </c>
      <c r="G44" s="2"/>
      <c r="H44" s="6"/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>
        <v>29.74</v>
      </c>
      <c r="Q44" s="2"/>
      <c r="R44" s="7">
        <f t="shared" si="34"/>
        <v>0</v>
      </c>
      <c r="S44" s="2"/>
      <c r="T44" s="6">
        <v>13.18</v>
      </c>
      <c r="U44" s="2"/>
      <c r="V44" s="7">
        <f t="shared" si="35"/>
        <v>9.1189283789609651E-6</v>
      </c>
      <c r="W44" s="2"/>
      <c r="X44" s="6">
        <f t="shared" si="36"/>
        <v>16.559999999999999</v>
      </c>
      <c r="Y44" s="2"/>
      <c r="Z44" s="7">
        <f t="shared" si="37"/>
        <v>1.2564491654021244</v>
      </c>
    </row>
    <row r="45" spans="1:26" s="26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0</v>
      </c>
      <c r="E45" s="1"/>
      <c r="F45" s="5">
        <f t="shared" si="30"/>
        <v>0</v>
      </c>
      <c r="G45" s="1"/>
      <c r="H45" s="1">
        <f>SUM(OSRRefH22_4x_0)</f>
        <v>3.9</v>
      </c>
      <c r="I45" s="1"/>
      <c r="J45" s="5">
        <f t="shared" si="31"/>
        <v>2.6627091071547199E-5</v>
      </c>
      <c r="K45" s="1"/>
      <c r="L45" s="1">
        <f t="shared" si="32"/>
        <v>-3.9</v>
      </c>
      <c r="M45" s="1"/>
      <c r="N45" s="5">
        <f t="shared" si="33"/>
        <v>-1</v>
      </c>
      <c r="O45" s="13"/>
      <c r="P45" s="1">
        <f>SUM(OSRRefP22_4x_0)</f>
        <v>0</v>
      </c>
      <c r="Q45" s="1"/>
      <c r="R45" s="5">
        <f t="shared" si="34"/>
        <v>0</v>
      </c>
      <c r="S45" s="1"/>
      <c r="T45" s="1">
        <f>SUM(OSRRefT22_4x_0)</f>
        <v>54.7</v>
      </c>
      <c r="U45" s="1"/>
      <c r="V45" s="5">
        <f t="shared" si="35"/>
        <v>3.7845628401302342E-5</v>
      </c>
      <c r="W45" s="1"/>
      <c r="X45" s="1">
        <f t="shared" si="36"/>
        <v>-54.7</v>
      </c>
      <c r="Y45" s="1"/>
      <c r="Z45" s="5">
        <f t="shared" si="37"/>
        <v>-1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30"/>
        <v>0</v>
      </c>
      <c r="G46" s="2"/>
      <c r="H46" s="6">
        <v>3.9</v>
      </c>
      <c r="I46" s="2"/>
      <c r="J46" s="7">
        <f t="shared" si="31"/>
        <v>2.6627091071547199E-5</v>
      </c>
      <c r="K46" s="2"/>
      <c r="L46" s="6">
        <f t="shared" si="32"/>
        <v>-3.9</v>
      </c>
      <c r="M46" s="2"/>
      <c r="N46" s="7">
        <f t="shared" si="33"/>
        <v>-1</v>
      </c>
      <c r="O46" s="11"/>
      <c r="P46" s="6"/>
      <c r="Q46" s="2"/>
      <c r="R46" s="7">
        <f t="shared" si="34"/>
        <v>0</v>
      </c>
      <c r="S46" s="2"/>
      <c r="T46" s="6">
        <v>54.7</v>
      </c>
      <c r="U46" s="2"/>
      <c r="V46" s="7">
        <f t="shared" si="35"/>
        <v>3.7845628401302342E-5</v>
      </c>
      <c r="W46" s="2"/>
      <c r="X46" s="6">
        <f t="shared" si="36"/>
        <v>-54.7</v>
      </c>
      <c r="Y46" s="2"/>
      <c r="Z46" s="7">
        <f t="shared" si="37"/>
        <v>-1</v>
      </c>
    </row>
    <row r="47" spans="1:26" s="26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213.02</v>
      </c>
      <c r="E47" s="1"/>
      <c r="F47" s="5">
        <f t="shared" si="30"/>
        <v>0</v>
      </c>
      <c r="G47" s="1"/>
      <c r="H47" s="1">
        <f>SUM(OSRRefH22_5x_0)</f>
        <v>0</v>
      </c>
      <c r="I47" s="1"/>
      <c r="J47" s="5">
        <f t="shared" si="31"/>
        <v>0</v>
      </c>
      <c r="K47" s="1"/>
      <c r="L47" s="1">
        <f t="shared" si="32"/>
        <v>213.02</v>
      </c>
      <c r="M47" s="1"/>
      <c r="N47" s="5">
        <f t="shared" si="33"/>
        <v>0</v>
      </c>
      <c r="O47" s="13"/>
      <c r="P47" s="1">
        <f>SUM(OSRRefP22_5x_0)</f>
        <v>1491.14</v>
      </c>
      <c r="Q47" s="1"/>
      <c r="R47" s="5">
        <f t="shared" si="34"/>
        <v>0</v>
      </c>
      <c r="S47" s="1"/>
      <c r="T47" s="1">
        <f>SUM(OSRRefT22_5x_0)</f>
        <v>0</v>
      </c>
      <c r="U47" s="1"/>
      <c r="V47" s="5">
        <f t="shared" si="35"/>
        <v>0</v>
      </c>
      <c r="W47" s="1"/>
      <c r="X47" s="1">
        <f t="shared" si="36"/>
        <v>1491.14</v>
      </c>
      <c r="Y47" s="1"/>
      <c r="Z47" s="5">
        <f t="shared" si="37"/>
        <v>0</v>
      </c>
    </row>
    <row r="48" spans="1:26" s="24" customFormat="1" hidden="1" outlineLevel="2" x14ac:dyDescent="0.25">
      <c r="A48" s="25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213.02</v>
      </c>
      <c r="E48" s="2"/>
      <c r="F48" s="7">
        <f t="shared" si="30"/>
        <v>0</v>
      </c>
      <c r="G48" s="2"/>
      <c r="H48" s="6"/>
      <c r="I48" s="2"/>
      <c r="J48" s="7">
        <f t="shared" si="31"/>
        <v>0</v>
      </c>
      <c r="K48" s="2"/>
      <c r="L48" s="6">
        <f t="shared" si="32"/>
        <v>213.02</v>
      </c>
      <c r="M48" s="2"/>
      <c r="N48" s="7">
        <f t="shared" si="33"/>
        <v>0</v>
      </c>
      <c r="O48" s="11"/>
      <c r="P48" s="6">
        <v>1491.14</v>
      </c>
      <c r="Q48" s="2"/>
      <c r="R48" s="7">
        <f t="shared" si="34"/>
        <v>0</v>
      </c>
      <c r="S48" s="2"/>
      <c r="T48" s="6"/>
      <c r="U48" s="2"/>
      <c r="V48" s="7">
        <f t="shared" si="35"/>
        <v>0</v>
      </c>
      <c r="W48" s="2"/>
      <c r="X48" s="6">
        <f t="shared" si="36"/>
        <v>1491.14</v>
      </c>
      <c r="Y48" s="2"/>
      <c r="Z48" s="7">
        <f t="shared" si="37"/>
        <v>0</v>
      </c>
    </row>
    <row r="49" spans="1:26" s="26" customFormat="1" outlineLevel="1" collapsed="1" x14ac:dyDescent="0.25">
      <c r="A49" s="27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SUM(OSRRefD22_6x_0)</f>
        <v>0</v>
      </c>
      <c r="E49" s="1"/>
      <c r="F49" s="5">
        <f t="shared" si="30"/>
        <v>0</v>
      </c>
      <c r="G49" s="1"/>
      <c r="H49" s="1">
        <f>SUM(OSRRefH22_6x_0)</f>
        <v>1745.3</v>
      </c>
      <c r="I49" s="1"/>
      <c r="J49" s="5">
        <f t="shared" si="31"/>
        <v>1.1915964627479828E-2</v>
      </c>
      <c r="K49" s="1"/>
      <c r="L49" s="1">
        <f t="shared" si="32"/>
        <v>-1745.3</v>
      </c>
      <c r="M49" s="1"/>
      <c r="N49" s="5">
        <f t="shared" si="33"/>
        <v>-1</v>
      </c>
      <c r="O49" s="13"/>
      <c r="P49" s="1">
        <f>SUM(OSRRefP22_6x_0)</f>
        <v>0</v>
      </c>
      <c r="Q49" s="1"/>
      <c r="R49" s="5">
        <f t="shared" si="34"/>
        <v>0</v>
      </c>
      <c r="S49" s="1"/>
      <c r="T49" s="1">
        <f>SUM(OSRRefT22_6x_0)</f>
        <v>15479.88</v>
      </c>
      <c r="U49" s="1"/>
      <c r="V49" s="5">
        <f t="shared" si="35"/>
        <v>1.0710160624803511E-2</v>
      </c>
      <c r="W49" s="1"/>
      <c r="X49" s="1">
        <f t="shared" si="36"/>
        <v>-15479.88</v>
      </c>
      <c r="Y49" s="1"/>
      <c r="Z49" s="5">
        <f t="shared" si="37"/>
        <v>-1</v>
      </c>
    </row>
    <row r="50" spans="1:26" s="24" customFormat="1" hidden="1" outlineLevel="2" x14ac:dyDescent="0.25">
      <c r="A50" s="25"/>
      <c r="B50" s="11" t="str">
        <f>CONCATENATE("          ", "6399", " - ", "DONATION-ON CAMPUS")</f>
        <v xml:space="preserve">          6399 - DONATION-ON CAMPUS</v>
      </c>
      <c r="C50" s="11"/>
      <c r="D50" s="6"/>
      <c r="E50" s="2"/>
      <c r="F50" s="7">
        <f t="shared" si="30"/>
        <v>0</v>
      </c>
      <c r="G50" s="2"/>
      <c r="H50" s="6">
        <v>1745.3</v>
      </c>
      <c r="I50" s="2"/>
      <c r="J50" s="7">
        <f t="shared" si="31"/>
        <v>1.1915964627479828E-2</v>
      </c>
      <c r="K50" s="2"/>
      <c r="L50" s="6">
        <f t="shared" si="32"/>
        <v>-1745.3</v>
      </c>
      <c r="M50" s="2"/>
      <c r="N50" s="7">
        <f t="shared" si="33"/>
        <v>-1</v>
      </c>
      <c r="O50" s="11"/>
      <c r="P50" s="6"/>
      <c r="Q50" s="2"/>
      <c r="R50" s="7">
        <f t="shared" si="34"/>
        <v>0</v>
      </c>
      <c r="S50" s="2"/>
      <c r="T50" s="6">
        <v>15479.88</v>
      </c>
      <c r="U50" s="2"/>
      <c r="V50" s="7">
        <f t="shared" si="35"/>
        <v>1.0710160624803511E-2</v>
      </c>
      <c r="W50" s="2"/>
      <c r="X50" s="6">
        <f t="shared" si="36"/>
        <v>-15479.88</v>
      </c>
      <c r="Y50" s="2"/>
      <c r="Z50" s="7">
        <f t="shared" si="37"/>
        <v>-1</v>
      </c>
    </row>
    <row r="51" spans="1:26" s="26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SUM(OSRRefD22_7x_0)</f>
        <v>0</v>
      </c>
      <c r="E51" s="1"/>
      <c r="F51" s="5">
        <f t="shared" si="30"/>
        <v>0</v>
      </c>
      <c r="G51" s="1"/>
      <c r="H51" s="1">
        <f>SUM(OSRRefH22_7x_0)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3"/>
      <c r="P51" s="1">
        <f>SUM(OSRRefP22_7x_0)</f>
        <v>0</v>
      </c>
      <c r="Q51" s="1"/>
      <c r="R51" s="5">
        <f t="shared" si="34"/>
        <v>0</v>
      </c>
      <c r="S51" s="1"/>
      <c r="T51" s="1">
        <f>SUM(OSRRefT22_7x_0)</f>
        <v>21.34</v>
      </c>
      <c r="U51" s="1"/>
      <c r="V51" s="5">
        <f t="shared" si="35"/>
        <v>1.4764638209941351E-5</v>
      </c>
      <c r="W51" s="1"/>
      <c r="X51" s="1">
        <f t="shared" si="36"/>
        <v>-21.34</v>
      </c>
      <c r="Y51" s="1"/>
      <c r="Z51" s="5">
        <f t="shared" si="37"/>
        <v>-1</v>
      </c>
    </row>
    <row r="52" spans="1:26" s="24" customFormat="1" hidden="1" outlineLevel="2" x14ac:dyDescent="0.25">
      <c r="A52" s="25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1"/>
      <c r="P52" s="6"/>
      <c r="Q52" s="2"/>
      <c r="R52" s="7">
        <f t="shared" si="34"/>
        <v>0</v>
      </c>
      <c r="S52" s="2"/>
      <c r="T52" s="6">
        <v>21.34</v>
      </c>
      <c r="U52" s="2"/>
      <c r="V52" s="7">
        <f t="shared" si="35"/>
        <v>1.4764638209941351E-5</v>
      </c>
      <c r="W52" s="2"/>
      <c r="X52" s="6">
        <f t="shared" si="36"/>
        <v>-21.34</v>
      </c>
      <c r="Y52" s="2"/>
      <c r="Z52" s="7">
        <f t="shared" si="37"/>
        <v>-1</v>
      </c>
    </row>
    <row r="53" spans="1:26" s="26" customFormat="1" outlineLevel="1" collapsed="1" x14ac:dyDescent="0.25">
      <c r="A53" s="27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SUM(OSRRefD22_8x_0)</f>
        <v>0</v>
      </c>
      <c r="E53" s="1"/>
      <c r="F53" s="5">
        <f t="shared" si="30"/>
        <v>0</v>
      </c>
      <c r="G53" s="1"/>
      <c r="H53" s="1">
        <f>SUM(OSRRefH22_8x_0)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3"/>
      <c r="P53" s="1">
        <f>SUM(OSRRefP22_8x_0)</f>
        <v>20</v>
      </c>
      <c r="Q53" s="1"/>
      <c r="R53" s="5">
        <f t="shared" si="34"/>
        <v>0</v>
      </c>
      <c r="S53" s="1"/>
      <c r="T53" s="1">
        <f>SUM(OSRRefT22_8x_0)</f>
        <v>0.01</v>
      </c>
      <c r="U53" s="1"/>
      <c r="V53" s="5">
        <f t="shared" si="35"/>
        <v>6.9187620477700807E-9</v>
      </c>
      <c r="W53" s="1"/>
      <c r="X53" s="1">
        <f t="shared" si="36"/>
        <v>19.989999999999998</v>
      </c>
      <c r="Y53" s="1"/>
      <c r="Z53" s="5">
        <f t="shared" si="37"/>
        <v>1998.9999999999998</v>
      </c>
    </row>
    <row r="54" spans="1:26" s="24" customFormat="1" hidden="1" outlineLevel="2" x14ac:dyDescent="0.25">
      <c r="A54" s="25"/>
      <c r="B54" s="11" t="str">
        <f>CONCATENATE("          ", "6351", " - ", "EQUIPMENT RENTAL")</f>
        <v xml:space="preserve">          6351 - EQUIPMENT RENTAL</v>
      </c>
      <c r="C54" s="11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1"/>
      <c r="P54" s="6">
        <v>20</v>
      </c>
      <c r="Q54" s="2"/>
      <c r="R54" s="7">
        <f t="shared" si="34"/>
        <v>0</v>
      </c>
      <c r="S54" s="2"/>
      <c r="T54" s="6">
        <v>0.01</v>
      </c>
      <c r="U54" s="2"/>
      <c r="V54" s="7">
        <f t="shared" si="35"/>
        <v>6.9187620477700807E-9</v>
      </c>
      <c r="W54" s="2"/>
      <c r="X54" s="6">
        <f t="shared" si="36"/>
        <v>19.989999999999998</v>
      </c>
      <c r="Y54" s="2"/>
      <c r="Z54" s="7">
        <f t="shared" si="37"/>
        <v>1998.9999999999998</v>
      </c>
    </row>
    <row r="55" spans="1:26" s="26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0</v>
      </c>
      <c r="E55" s="1"/>
      <c r="F55" s="5">
        <f t="shared" si="30"/>
        <v>0</v>
      </c>
      <c r="G55" s="1"/>
      <c r="H55" s="1">
        <f>SUM(OSRRefH22_9x_0)</f>
        <v>0</v>
      </c>
      <c r="I55" s="1"/>
      <c r="J55" s="5">
        <f t="shared" si="31"/>
        <v>0</v>
      </c>
      <c r="K55" s="1"/>
      <c r="L55" s="1">
        <f t="shared" si="32"/>
        <v>0</v>
      </c>
      <c r="M55" s="1"/>
      <c r="N55" s="5">
        <f t="shared" si="33"/>
        <v>0</v>
      </c>
      <c r="O55" s="13"/>
      <c r="P55" s="1">
        <f>SUM(OSRRefP22_9x_0)</f>
        <v>1439.55</v>
      </c>
      <c r="Q55" s="1"/>
      <c r="R55" s="5">
        <f t="shared" si="34"/>
        <v>0</v>
      </c>
      <c r="S55" s="1"/>
      <c r="T55" s="1">
        <f>SUM(OSRRefT22_9x_0)</f>
        <v>1517.11</v>
      </c>
      <c r="U55" s="1"/>
      <c r="V55" s="5">
        <f t="shared" si="35"/>
        <v>1.0496523090292465E-3</v>
      </c>
      <c r="W55" s="1"/>
      <c r="X55" s="1">
        <f t="shared" si="36"/>
        <v>-77.559999999999945</v>
      </c>
      <c r="Y55" s="1"/>
      <c r="Z55" s="5">
        <f t="shared" si="37"/>
        <v>-5.1123517740967996E-2</v>
      </c>
    </row>
    <row r="56" spans="1:26" s="24" customFormat="1" hidden="1" outlineLevel="2" x14ac:dyDescent="0.25">
      <c r="A56" s="25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0</v>
      </c>
      <c r="M56" s="2"/>
      <c r="N56" s="7">
        <f t="shared" si="33"/>
        <v>0</v>
      </c>
      <c r="O56" s="11"/>
      <c r="P56" s="6">
        <v>1439.55</v>
      </c>
      <c r="Q56" s="2"/>
      <c r="R56" s="7">
        <f t="shared" si="34"/>
        <v>0</v>
      </c>
      <c r="S56" s="2"/>
      <c r="T56" s="6">
        <v>1517.11</v>
      </c>
      <c r="U56" s="2"/>
      <c r="V56" s="7">
        <f t="shared" si="35"/>
        <v>1.0496523090292465E-3</v>
      </c>
      <c r="W56" s="2"/>
      <c r="X56" s="6">
        <f t="shared" si="36"/>
        <v>-77.559999999999945</v>
      </c>
      <c r="Y56" s="2"/>
      <c r="Z56" s="7">
        <f t="shared" si="37"/>
        <v>-5.1123517740967996E-2</v>
      </c>
    </row>
    <row r="57" spans="1:26" s="26" customFormat="1" outlineLevel="1" collapsed="1" x14ac:dyDescent="0.25">
      <c r="A57" s="27"/>
      <c r="B57" s="13" t="str">
        <f>CONCATENATE("     ","Insurance                                         ")</f>
        <v xml:space="preserve">     Insurance                                         </v>
      </c>
      <c r="C57" s="13"/>
      <c r="D57" s="1">
        <f>SUM(OSRRefD22_10x_0)</f>
        <v>5.9</v>
      </c>
      <c r="E57" s="1"/>
      <c r="F57" s="5">
        <f t="shared" si="30"/>
        <v>0</v>
      </c>
      <c r="G57" s="1"/>
      <c r="H57" s="1">
        <f>SUM(OSRRefH22_10x_0)</f>
        <v>5.9</v>
      </c>
      <c r="I57" s="1"/>
      <c r="J57" s="5">
        <f t="shared" si="31"/>
        <v>4.0282009569776535E-5</v>
      </c>
      <c r="K57" s="1"/>
      <c r="L57" s="1">
        <f t="shared" si="32"/>
        <v>0</v>
      </c>
      <c r="M57" s="1"/>
      <c r="N57" s="5">
        <f t="shared" si="33"/>
        <v>0</v>
      </c>
      <c r="O57" s="13"/>
      <c r="P57" s="1">
        <f>SUM(OSRRefP22_10x_0)</f>
        <v>41.3</v>
      </c>
      <c r="Q57" s="1"/>
      <c r="R57" s="5">
        <f t="shared" si="34"/>
        <v>0</v>
      </c>
      <c r="S57" s="1"/>
      <c r="T57" s="1">
        <f>SUM(OSRRefT22_10x_0)</f>
        <v>41.3</v>
      </c>
      <c r="U57" s="1"/>
      <c r="V57" s="5">
        <f t="shared" si="35"/>
        <v>2.8574487257290432E-5</v>
      </c>
      <c r="W57" s="1"/>
      <c r="X57" s="1">
        <f t="shared" si="36"/>
        <v>0</v>
      </c>
      <c r="Y57" s="1"/>
      <c r="Z57" s="5">
        <f t="shared" si="37"/>
        <v>0</v>
      </c>
    </row>
    <row r="58" spans="1:26" s="24" customFormat="1" hidden="1" outlineLevel="2" x14ac:dyDescent="0.25">
      <c r="A58" s="25"/>
      <c r="B58" s="11" t="str">
        <f>CONCATENATE("          ", "6314", " - ", "LIABILITY INSURANCE")</f>
        <v xml:space="preserve">          6314 - LIABILITY INSURANCE</v>
      </c>
      <c r="C58" s="11"/>
      <c r="D58" s="6">
        <v>5.9</v>
      </c>
      <c r="E58" s="2"/>
      <c r="F58" s="7">
        <f t="shared" si="30"/>
        <v>0</v>
      </c>
      <c r="G58" s="2"/>
      <c r="H58" s="6">
        <v>5.9</v>
      </c>
      <c r="I58" s="2"/>
      <c r="J58" s="7">
        <f t="shared" si="31"/>
        <v>4.0282009569776535E-5</v>
      </c>
      <c r="K58" s="2"/>
      <c r="L58" s="6">
        <f t="shared" si="32"/>
        <v>0</v>
      </c>
      <c r="M58" s="2"/>
      <c r="N58" s="7">
        <f t="shared" si="33"/>
        <v>0</v>
      </c>
      <c r="O58" s="11"/>
      <c r="P58" s="6">
        <v>41.3</v>
      </c>
      <c r="Q58" s="2"/>
      <c r="R58" s="7">
        <f t="shared" si="34"/>
        <v>0</v>
      </c>
      <c r="S58" s="2"/>
      <c r="T58" s="6">
        <v>41.3</v>
      </c>
      <c r="U58" s="2"/>
      <c r="V58" s="7">
        <f t="shared" si="35"/>
        <v>2.8574487257290432E-5</v>
      </c>
      <c r="W58" s="2"/>
      <c r="X58" s="6">
        <f t="shared" si="36"/>
        <v>0</v>
      </c>
      <c r="Y58" s="2"/>
      <c r="Z58" s="7">
        <f t="shared" si="37"/>
        <v>0</v>
      </c>
    </row>
    <row r="59" spans="1:26" s="26" customFormat="1" outlineLevel="1" collapsed="1" x14ac:dyDescent="0.25">
      <c r="A59" s="27"/>
      <c r="B59" s="13" t="str">
        <f>CONCATENATE("     ","R/H Commissions                                   ")</f>
        <v xml:space="preserve">     R/H Commissions                                   </v>
      </c>
      <c r="C59" s="13"/>
      <c r="D59" s="1">
        <f>SUM(OSRRefD22_11x_0)</f>
        <v>0</v>
      </c>
      <c r="E59" s="1"/>
      <c r="F59" s="5">
        <f t="shared" si="30"/>
        <v>0</v>
      </c>
      <c r="G59" s="1"/>
      <c r="H59" s="1">
        <f>SUM(OSRRefH22_11x_0)</f>
        <v>11705.54</v>
      </c>
      <c r="I59" s="1"/>
      <c r="J59" s="5">
        <f t="shared" si="31"/>
        <v>7.9919097338881695E-2</v>
      </c>
      <c r="K59" s="1"/>
      <c r="L59" s="1">
        <f t="shared" si="32"/>
        <v>-11705.54</v>
      </c>
      <c r="M59" s="1"/>
      <c r="N59" s="5">
        <f t="shared" si="33"/>
        <v>-1</v>
      </c>
      <c r="O59" s="13"/>
      <c r="P59" s="1">
        <f>SUM(OSRRefP22_11x_0)</f>
        <v>0</v>
      </c>
      <c r="Q59" s="1"/>
      <c r="R59" s="5">
        <f t="shared" si="34"/>
        <v>0</v>
      </c>
      <c r="S59" s="1"/>
      <c r="T59" s="1">
        <f>SUM(OSRRefT22_11x_0)</f>
        <v>112797.2</v>
      </c>
      <c r="U59" s="1"/>
      <c r="V59" s="5">
        <f t="shared" si="35"/>
        <v>7.8041698645473126E-2</v>
      </c>
      <c r="W59" s="1"/>
      <c r="X59" s="1">
        <f t="shared" si="36"/>
        <v>-112797.2</v>
      </c>
      <c r="Y59" s="1"/>
      <c r="Z59" s="5">
        <f t="shared" si="37"/>
        <v>-1</v>
      </c>
    </row>
    <row r="60" spans="1:26" s="24" customFormat="1" hidden="1" outlineLevel="2" x14ac:dyDescent="0.25">
      <c r="A60" s="25"/>
      <c r="B60" s="11" t="str">
        <f>CONCATENATE("          ", "6387", " - ", "COMMISSION DUE HOUSING")</f>
        <v xml:space="preserve">          6387 - COMMISSION DUE HOUSING</v>
      </c>
      <c r="C60" s="11"/>
      <c r="D60" s="6"/>
      <c r="E60" s="2"/>
      <c r="F60" s="7">
        <f t="shared" si="30"/>
        <v>0</v>
      </c>
      <c r="G60" s="2"/>
      <c r="H60" s="6">
        <v>11705.54</v>
      </c>
      <c r="I60" s="2"/>
      <c r="J60" s="7">
        <f t="shared" si="31"/>
        <v>7.9919097338881695E-2</v>
      </c>
      <c r="K60" s="2"/>
      <c r="L60" s="6">
        <f t="shared" si="32"/>
        <v>-11705.54</v>
      </c>
      <c r="M60" s="2"/>
      <c r="N60" s="7">
        <f t="shared" si="33"/>
        <v>-1</v>
      </c>
      <c r="O60" s="11"/>
      <c r="P60" s="6"/>
      <c r="Q60" s="2"/>
      <c r="R60" s="7">
        <f t="shared" si="34"/>
        <v>0</v>
      </c>
      <c r="S60" s="2"/>
      <c r="T60" s="6">
        <v>112797.2</v>
      </c>
      <c r="U60" s="2"/>
      <c r="V60" s="7">
        <f t="shared" si="35"/>
        <v>7.8041698645473126E-2</v>
      </c>
      <c r="W60" s="2"/>
      <c r="X60" s="6">
        <f t="shared" si="36"/>
        <v>-112797.2</v>
      </c>
      <c r="Y60" s="2"/>
      <c r="Z60" s="7">
        <f t="shared" si="37"/>
        <v>-1</v>
      </c>
    </row>
    <row r="61" spans="1:26" s="26" customFormat="1" outlineLevel="1" collapsed="1" x14ac:dyDescent="0.25">
      <c r="A61" s="27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SUM(OSRRefD22_12x_0)</f>
        <v>0</v>
      </c>
      <c r="E61" s="1"/>
      <c r="F61" s="5">
        <f t="shared" si="30"/>
        <v>0</v>
      </c>
      <c r="G61" s="1"/>
      <c r="H61" s="1">
        <f>SUM(OSRRefH22_12x_0)</f>
        <v>0</v>
      </c>
      <c r="I61" s="1"/>
      <c r="J61" s="5">
        <f t="shared" si="31"/>
        <v>0</v>
      </c>
      <c r="K61" s="1"/>
      <c r="L61" s="1">
        <f t="shared" si="32"/>
        <v>0</v>
      </c>
      <c r="M61" s="1"/>
      <c r="N61" s="5">
        <f t="shared" si="33"/>
        <v>0</v>
      </c>
      <c r="O61" s="13"/>
      <c r="P61" s="1">
        <f>SUM(OSRRefP22_12x_0)</f>
        <v>144.66999999999999</v>
      </c>
      <c r="Q61" s="1"/>
      <c r="R61" s="5">
        <f t="shared" si="34"/>
        <v>0</v>
      </c>
      <c r="S61" s="1"/>
      <c r="T61" s="1">
        <f>SUM(OSRRefT22_12x_0)</f>
        <v>139.83000000000001</v>
      </c>
      <c r="U61" s="1"/>
      <c r="V61" s="5">
        <f t="shared" si="35"/>
        <v>9.6745049713969049E-5</v>
      </c>
      <c r="W61" s="1"/>
      <c r="X61" s="1">
        <f t="shared" si="36"/>
        <v>4.839999999999975</v>
      </c>
      <c r="Y61" s="1"/>
      <c r="Z61" s="5">
        <f t="shared" si="37"/>
        <v>3.4613459200457518E-2</v>
      </c>
    </row>
    <row r="62" spans="1:26" s="24" customFormat="1" hidden="1" outlineLevel="2" x14ac:dyDescent="0.25">
      <c r="A62" s="25"/>
      <c r="B62" s="11" t="str">
        <f>CONCATENATE("          ", "6373", " - ", "MAINTENANCE CONTRACTS")</f>
        <v xml:space="preserve">          6373 - MAINTENANCE CONTRACTS</v>
      </c>
      <c r="C62" s="11"/>
      <c r="D62" s="6"/>
      <c r="E62" s="2"/>
      <c r="F62" s="7">
        <f t="shared" si="30"/>
        <v>0</v>
      </c>
      <c r="G62" s="2"/>
      <c r="H62" s="6"/>
      <c r="I62" s="2"/>
      <c r="J62" s="7">
        <f t="shared" si="31"/>
        <v>0</v>
      </c>
      <c r="K62" s="2"/>
      <c r="L62" s="6">
        <f t="shared" si="32"/>
        <v>0</v>
      </c>
      <c r="M62" s="2"/>
      <c r="N62" s="7">
        <f t="shared" si="33"/>
        <v>0</v>
      </c>
      <c r="O62" s="11"/>
      <c r="P62" s="6">
        <v>144.66999999999999</v>
      </c>
      <c r="Q62" s="2"/>
      <c r="R62" s="7">
        <f t="shared" si="34"/>
        <v>0</v>
      </c>
      <c r="S62" s="2"/>
      <c r="T62" s="6">
        <v>139.83000000000001</v>
      </c>
      <c r="U62" s="2"/>
      <c r="V62" s="7">
        <f t="shared" si="35"/>
        <v>9.6745049713969049E-5</v>
      </c>
      <c r="W62" s="2"/>
      <c r="X62" s="6">
        <f t="shared" si="36"/>
        <v>4.839999999999975</v>
      </c>
      <c r="Y62" s="2"/>
      <c r="Z62" s="7">
        <f t="shared" si="37"/>
        <v>3.4613459200457518E-2</v>
      </c>
    </row>
    <row r="63" spans="1:26" s="26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SUM(OSRRefD22_13x_0)</f>
        <v>1937.15</v>
      </c>
      <c r="E63" s="1"/>
      <c r="F63" s="5">
        <f t="shared" si="30"/>
        <v>0</v>
      </c>
      <c r="G63" s="1"/>
      <c r="H63" s="1">
        <f>SUM(OSRRefH22_13x_0)</f>
        <v>4886.63</v>
      </c>
      <c r="I63" s="1"/>
      <c r="J63" s="5">
        <f t="shared" si="31"/>
        <v>3.33632671905012E-2</v>
      </c>
      <c r="K63" s="1"/>
      <c r="L63" s="1">
        <f t="shared" si="32"/>
        <v>-2949.48</v>
      </c>
      <c r="M63" s="1"/>
      <c r="N63" s="5">
        <f t="shared" si="33"/>
        <v>-0.60358160941180317</v>
      </c>
      <c r="O63" s="13"/>
      <c r="P63" s="1">
        <f>SUM(OSRRefP22_13x_0)</f>
        <v>4687.4800000000005</v>
      </c>
      <c r="Q63" s="1"/>
      <c r="R63" s="5">
        <f t="shared" si="34"/>
        <v>0</v>
      </c>
      <c r="S63" s="1"/>
      <c r="T63" s="1">
        <f>SUM(OSRRefT22_13x_0)</f>
        <v>42567.61</v>
      </c>
      <c r="U63" s="1"/>
      <c r="V63" s="5">
        <f t="shared" si="35"/>
        <v>2.9451516453227817E-2</v>
      </c>
      <c r="W63" s="1"/>
      <c r="X63" s="1">
        <f t="shared" si="36"/>
        <v>-37880.129999999997</v>
      </c>
      <c r="Y63" s="1"/>
      <c r="Z63" s="5">
        <f t="shared" si="37"/>
        <v>-0.88988153199110775</v>
      </c>
    </row>
    <row r="64" spans="1:26" s="24" customFormat="1" hidden="1" outlineLevel="2" x14ac:dyDescent="0.25">
      <c r="A64" s="25"/>
      <c r="B64" s="11" t="str">
        <f>CONCATENATE("          ", "6282", " - ", "JANITORIAL/EXTERMINATOR EXPENS")</f>
        <v xml:space="preserve">          6282 - JANITORIAL/EXTERMINATOR EXPENS</v>
      </c>
      <c r="C64" s="11"/>
      <c r="D64" s="6">
        <v>1937.15</v>
      </c>
      <c r="E64" s="2"/>
      <c r="F64" s="7">
        <f t="shared" si="30"/>
        <v>0</v>
      </c>
      <c r="G64" s="2"/>
      <c r="H64" s="6"/>
      <c r="I64" s="2"/>
      <c r="J64" s="7">
        <f t="shared" si="31"/>
        <v>0</v>
      </c>
      <c r="K64" s="2"/>
      <c r="L64" s="6">
        <f t="shared" si="32"/>
        <v>1937.15</v>
      </c>
      <c r="M64" s="2"/>
      <c r="N64" s="7">
        <f t="shared" si="33"/>
        <v>0</v>
      </c>
      <c r="O64" s="11"/>
      <c r="P64" s="6">
        <v>4089.61</v>
      </c>
      <c r="Q64" s="2"/>
      <c r="R64" s="7">
        <f t="shared" si="34"/>
        <v>0</v>
      </c>
      <c r="S64" s="2"/>
      <c r="T64" s="6">
        <v>4837.4799999999996</v>
      </c>
      <c r="U64" s="2"/>
      <c r="V64" s="7">
        <f t="shared" si="35"/>
        <v>3.3469373030846805E-3</v>
      </c>
      <c r="W64" s="2"/>
      <c r="X64" s="6">
        <f t="shared" si="36"/>
        <v>-747.86999999999944</v>
      </c>
      <c r="Y64" s="2"/>
      <c r="Z64" s="7">
        <f t="shared" si="37"/>
        <v>-0.15459908878176229</v>
      </c>
    </row>
    <row r="65" spans="1:26" s="24" customFormat="1" hidden="1" outlineLevel="2" x14ac:dyDescent="0.25">
      <c r="A65" s="25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30"/>
        <v>0</v>
      </c>
      <c r="G65" s="2"/>
      <c r="H65" s="6">
        <v>3897.05</v>
      </c>
      <c r="I65" s="2"/>
      <c r="J65" s="7">
        <f t="shared" si="31"/>
        <v>2.6606950066762312E-2</v>
      </c>
      <c r="K65" s="2"/>
      <c r="L65" s="6">
        <f t="shared" si="32"/>
        <v>-3897.05</v>
      </c>
      <c r="M65" s="2"/>
      <c r="N65" s="7">
        <f t="shared" si="33"/>
        <v>-1</v>
      </c>
      <c r="O65" s="11"/>
      <c r="P65" s="6"/>
      <c r="Q65" s="2"/>
      <c r="R65" s="7">
        <f t="shared" si="34"/>
        <v>0</v>
      </c>
      <c r="S65" s="2"/>
      <c r="T65" s="6">
        <v>27278.17</v>
      </c>
      <c r="U65" s="2"/>
      <c r="V65" s="7">
        <f t="shared" si="35"/>
        <v>1.8873116732862037E-2</v>
      </c>
      <c r="W65" s="2"/>
      <c r="X65" s="6">
        <f t="shared" si="36"/>
        <v>-27278.17</v>
      </c>
      <c r="Y65" s="2"/>
      <c r="Z65" s="7">
        <f t="shared" si="37"/>
        <v>-1</v>
      </c>
    </row>
    <row r="66" spans="1:26" s="24" customFormat="1" hidden="1" outlineLevel="2" x14ac:dyDescent="0.25">
      <c r="A66" s="25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30"/>
        <v>0</v>
      </c>
      <c r="G66" s="2"/>
      <c r="H66" s="6">
        <v>989.58</v>
      </c>
      <c r="I66" s="2"/>
      <c r="J66" s="7">
        <f t="shared" si="31"/>
        <v>6.7563171237388919E-3</v>
      </c>
      <c r="K66" s="2"/>
      <c r="L66" s="6">
        <f t="shared" si="32"/>
        <v>-989.58</v>
      </c>
      <c r="M66" s="2"/>
      <c r="N66" s="7">
        <f t="shared" si="33"/>
        <v>-1</v>
      </c>
      <c r="O66" s="11"/>
      <c r="P66" s="6">
        <v>597.87</v>
      </c>
      <c r="Q66" s="2"/>
      <c r="R66" s="7">
        <f t="shared" si="34"/>
        <v>0</v>
      </c>
      <c r="S66" s="2"/>
      <c r="T66" s="6">
        <v>10451.959999999999</v>
      </c>
      <c r="U66" s="2"/>
      <c r="V66" s="7">
        <f t="shared" si="35"/>
        <v>7.2314624172810961E-3</v>
      </c>
      <c r="W66" s="2"/>
      <c r="X66" s="6">
        <f t="shared" si="36"/>
        <v>-9854.0899999999983</v>
      </c>
      <c r="Y66" s="2"/>
      <c r="Z66" s="7">
        <f t="shared" si="37"/>
        <v>-0.94279828855066405</v>
      </c>
    </row>
    <row r="67" spans="1:26" s="26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SUM(OSRRefD22_14x_0)</f>
        <v>0</v>
      </c>
      <c r="E67" s="1"/>
      <c r="F67" s="5">
        <f t="shared" ref="F67:F73" si="38">IF(D$12=0,0,D67/D$12)</f>
        <v>0</v>
      </c>
      <c r="G67" s="1"/>
      <c r="H67" s="1">
        <f>SUM(OSRRefH22_14x_0)</f>
        <v>1804.6599999999999</v>
      </c>
      <c r="I67" s="1"/>
      <c r="J67" s="5">
        <f t="shared" ref="J67:J73" si="39">IF(H$12=0,0,H67/H$12)</f>
        <v>1.2321242608507274E-2</v>
      </c>
      <c r="K67" s="1"/>
      <c r="L67" s="1">
        <f t="shared" ref="L67:L73" si="40">+D67-H67</f>
        <v>-1804.6599999999999</v>
      </c>
      <c r="M67" s="1"/>
      <c r="N67" s="5">
        <f t="shared" ref="N67:N73" si="41">IF(H67=0,0,L67/H67)</f>
        <v>-1</v>
      </c>
      <c r="O67" s="13"/>
      <c r="P67" s="1">
        <f>SUM(OSRRefP22_14x_0)</f>
        <v>57.16</v>
      </c>
      <c r="Q67" s="1"/>
      <c r="R67" s="5">
        <f t="shared" ref="R67:R73" si="42">IF(P$12=0,0,P67/P$12)</f>
        <v>0</v>
      </c>
      <c r="S67" s="1"/>
      <c r="T67" s="1">
        <f>SUM(OSRRefT22_14x_0)</f>
        <v>34817.560000000012</v>
      </c>
      <c r="U67" s="1"/>
      <c r="V67" s="5">
        <f t="shared" ref="V67:V73" si="43">IF(T$12=0,0,T67/T$12)</f>
        <v>2.4089441272395772E-2</v>
      </c>
      <c r="W67" s="1"/>
      <c r="X67" s="1">
        <f t="shared" ref="X67:X73" si="44">+P67-T67</f>
        <v>-34760.400000000009</v>
      </c>
      <c r="Y67" s="1"/>
      <c r="Z67" s="5">
        <f t="shared" ref="Z67:Z73" si="45">IF(T67=0,0,X67/T67)</f>
        <v>-0.99835829966258394</v>
      </c>
    </row>
    <row r="68" spans="1:26" s="24" customFormat="1" hidden="1" outlineLevel="2" x14ac:dyDescent="0.25">
      <c r="A68" s="25"/>
      <c r="B68" s="11" t="str">
        <f>CONCATENATE("          ", "6237", " - ", "JANITORIAL SUPPLIES")</f>
        <v xml:space="preserve">          6237 - JANITORIAL SUPPLIES</v>
      </c>
      <c r="C68" s="11"/>
      <c r="D68" s="6"/>
      <c r="E68" s="2"/>
      <c r="F68" s="7">
        <f t="shared" si="38"/>
        <v>0</v>
      </c>
      <c r="G68" s="2"/>
      <c r="H68" s="6">
        <v>631.14</v>
      </c>
      <c r="I68" s="2"/>
      <c r="J68" s="7">
        <f t="shared" si="39"/>
        <v>4.3090826304862306E-3</v>
      </c>
      <c r="K68" s="2"/>
      <c r="L68" s="6">
        <f t="shared" si="40"/>
        <v>-631.14</v>
      </c>
      <c r="M68" s="2"/>
      <c r="N68" s="7">
        <f t="shared" si="41"/>
        <v>-1</v>
      </c>
      <c r="O68" s="11"/>
      <c r="P68" s="6"/>
      <c r="Q68" s="2"/>
      <c r="R68" s="7">
        <f t="shared" si="42"/>
        <v>0</v>
      </c>
      <c r="S68" s="2"/>
      <c r="T68" s="6">
        <v>9392.64</v>
      </c>
      <c r="U68" s="2"/>
      <c r="V68" s="7">
        <f t="shared" si="43"/>
        <v>6.4985441160367169E-3</v>
      </c>
      <c r="W68" s="2"/>
      <c r="X68" s="6">
        <f t="shared" si="44"/>
        <v>-9392.64</v>
      </c>
      <c r="Y68" s="2"/>
      <c r="Z68" s="7">
        <f t="shared" si="45"/>
        <v>-1</v>
      </c>
    </row>
    <row r="69" spans="1:26" s="24" customFormat="1" hidden="1" outlineLevel="2" x14ac:dyDescent="0.25">
      <c r="A69" s="25"/>
      <c r="B69" s="11" t="str">
        <f>CONCATENATE("          ", "6239", " - ", "KITCHEN SUPPLIES")</f>
        <v xml:space="preserve">          6239 - KITCHEN SUPPLIES</v>
      </c>
      <c r="C69" s="11"/>
      <c r="D69" s="6"/>
      <c r="E69" s="2"/>
      <c r="F69" s="7">
        <f t="shared" si="38"/>
        <v>0</v>
      </c>
      <c r="G69" s="2"/>
      <c r="H69" s="6">
        <v>1515.92</v>
      </c>
      <c r="I69" s="2"/>
      <c r="J69" s="7">
        <f t="shared" si="39"/>
        <v>1.0349882024917906E-2</v>
      </c>
      <c r="K69" s="2"/>
      <c r="L69" s="6">
        <f t="shared" si="40"/>
        <v>-1515.92</v>
      </c>
      <c r="M69" s="2"/>
      <c r="N69" s="7">
        <f t="shared" si="41"/>
        <v>-1</v>
      </c>
      <c r="O69" s="11"/>
      <c r="P69" s="6"/>
      <c r="Q69" s="2"/>
      <c r="R69" s="7">
        <f t="shared" si="42"/>
        <v>0</v>
      </c>
      <c r="S69" s="2"/>
      <c r="T69" s="6">
        <v>4034.69</v>
      </c>
      <c r="U69" s="2"/>
      <c r="V69" s="7">
        <f t="shared" si="43"/>
        <v>2.7915060046517465E-3</v>
      </c>
      <c r="W69" s="2"/>
      <c r="X69" s="6">
        <f t="shared" si="44"/>
        <v>-4034.69</v>
      </c>
      <c r="Y69" s="2"/>
      <c r="Z69" s="7">
        <f t="shared" si="45"/>
        <v>-1</v>
      </c>
    </row>
    <row r="70" spans="1:26" s="24" customFormat="1" hidden="1" outlineLevel="2" x14ac:dyDescent="0.25">
      <c r="A70" s="25"/>
      <c r="B70" s="11" t="str">
        <f>CONCATENATE("          ", "6241", " - ", "OFFICE EXPENSE")</f>
        <v xml:space="preserve">          6241 - OFFICE EXPENSE</v>
      </c>
      <c r="C70" s="11"/>
      <c r="D70" s="6"/>
      <c r="E70" s="2"/>
      <c r="F70" s="7">
        <f t="shared" si="38"/>
        <v>0</v>
      </c>
      <c r="G70" s="2"/>
      <c r="H70" s="6">
        <v>-1977.37</v>
      </c>
      <c r="I70" s="2"/>
      <c r="J70" s="7">
        <f t="shared" si="39"/>
        <v>-1.3500413095421868E-2</v>
      </c>
      <c r="K70" s="2"/>
      <c r="L70" s="6">
        <f t="shared" si="40"/>
        <v>1977.37</v>
      </c>
      <c r="M70" s="2"/>
      <c r="N70" s="7">
        <f t="shared" si="41"/>
        <v>-1</v>
      </c>
      <c r="O70" s="11"/>
      <c r="P70" s="6">
        <v>57.16</v>
      </c>
      <c r="Q70" s="2"/>
      <c r="R70" s="7">
        <f t="shared" si="42"/>
        <v>0</v>
      </c>
      <c r="S70" s="2"/>
      <c r="T70" s="6">
        <v>18124.47</v>
      </c>
      <c r="U70" s="2"/>
      <c r="V70" s="7">
        <f t="shared" si="43"/>
        <v>1.253988951719474E-2</v>
      </c>
      <c r="W70" s="2"/>
      <c r="X70" s="6">
        <f t="shared" si="44"/>
        <v>-18067.310000000001</v>
      </c>
      <c r="Y70" s="2"/>
      <c r="Z70" s="7">
        <f t="shared" si="45"/>
        <v>-0.99684625260766246</v>
      </c>
    </row>
    <row r="71" spans="1:26" s="24" customFormat="1" hidden="1" outlineLevel="2" x14ac:dyDescent="0.25">
      <c r="A71" s="25"/>
      <c r="B71" s="11" t="str">
        <f>CONCATENATE("          ", "6243", " - ", "PAPER SUPPLIES")</f>
        <v xml:space="preserve">          6243 - PAPER SUPPLIES</v>
      </c>
      <c r="C71" s="11"/>
      <c r="D71" s="6"/>
      <c r="E71" s="2"/>
      <c r="F71" s="7">
        <f t="shared" si="38"/>
        <v>0</v>
      </c>
      <c r="G71" s="2"/>
      <c r="H71" s="6">
        <v>905.3</v>
      </c>
      <c r="I71" s="2"/>
      <c r="J71" s="7">
        <f t="shared" si="39"/>
        <v>6.1808988582235077E-3</v>
      </c>
      <c r="K71" s="2"/>
      <c r="L71" s="6">
        <f t="shared" si="40"/>
        <v>-905.3</v>
      </c>
      <c r="M71" s="2"/>
      <c r="N71" s="7">
        <f t="shared" si="41"/>
        <v>-1</v>
      </c>
      <c r="O71" s="11"/>
      <c r="P71" s="6"/>
      <c r="Q71" s="2"/>
      <c r="R71" s="7">
        <f t="shared" si="42"/>
        <v>0</v>
      </c>
      <c r="S71" s="2"/>
      <c r="T71" s="6">
        <v>10126.27</v>
      </c>
      <c r="U71" s="2"/>
      <c r="V71" s="7">
        <f t="shared" si="43"/>
        <v>7.0061252561472737E-3</v>
      </c>
      <c r="W71" s="2"/>
      <c r="X71" s="6">
        <f t="shared" si="44"/>
        <v>-10126.27</v>
      </c>
      <c r="Y71" s="2"/>
      <c r="Z71" s="7">
        <f t="shared" si="45"/>
        <v>-1</v>
      </c>
    </row>
    <row r="72" spans="1:26" s="24" customFormat="1" hidden="1" outlineLevel="2" x14ac:dyDescent="0.25">
      <c r="A72" s="25"/>
      <c r="B72" s="11" t="str">
        <f>CONCATENATE("          ", "6245", " - ", "PRINTING")</f>
        <v xml:space="preserve">          6245 - PRINTING</v>
      </c>
      <c r="C72" s="11"/>
      <c r="D72" s="6"/>
      <c r="E72" s="2"/>
      <c r="F72" s="7">
        <f t="shared" si="38"/>
        <v>0</v>
      </c>
      <c r="G72" s="2"/>
      <c r="H72" s="6"/>
      <c r="I72" s="2"/>
      <c r="J72" s="7">
        <f t="shared" si="39"/>
        <v>0</v>
      </c>
      <c r="K72" s="2"/>
      <c r="L72" s="6">
        <f t="shared" si="40"/>
        <v>0</v>
      </c>
      <c r="M72" s="2"/>
      <c r="N72" s="7">
        <f t="shared" si="41"/>
        <v>0</v>
      </c>
      <c r="O72" s="11"/>
      <c r="P72" s="6"/>
      <c r="Q72" s="2"/>
      <c r="R72" s="7">
        <f t="shared" si="42"/>
        <v>0</v>
      </c>
      <c r="S72" s="2"/>
      <c r="T72" s="6">
        <v>469.44</v>
      </c>
      <c r="U72" s="2"/>
      <c r="V72" s="7">
        <f t="shared" si="43"/>
        <v>3.2479436557051868E-4</v>
      </c>
      <c r="W72" s="2"/>
      <c r="X72" s="6">
        <f t="shared" si="44"/>
        <v>-469.44</v>
      </c>
      <c r="Y72" s="2"/>
      <c r="Z72" s="7">
        <f t="shared" si="45"/>
        <v>-1</v>
      </c>
    </row>
    <row r="73" spans="1:26" s="24" customFormat="1" hidden="1" outlineLevel="2" x14ac:dyDescent="0.25">
      <c r="A73" s="25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38"/>
        <v>0</v>
      </c>
      <c r="G73" s="2"/>
      <c r="H73" s="6">
        <v>729.67</v>
      </c>
      <c r="I73" s="2"/>
      <c r="J73" s="7">
        <f t="shared" si="39"/>
        <v>4.9817921903014982E-3</v>
      </c>
      <c r="K73" s="2"/>
      <c r="L73" s="6">
        <f t="shared" si="40"/>
        <v>-729.67</v>
      </c>
      <c r="M73" s="2"/>
      <c r="N73" s="7">
        <f t="shared" si="41"/>
        <v>-1</v>
      </c>
      <c r="O73" s="11"/>
      <c r="P73" s="6"/>
      <c r="Q73" s="2"/>
      <c r="R73" s="7">
        <f t="shared" si="42"/>
        <v>0</v>
      </c>
      <c r="S73" s="2"/>
      <c r="T73" s="6">
        <v>-7329.95</v>
      </c>
      <c r="U73" s="2"/>
      <c r="V73" s="7">
        <f t="shared" si="43"/>
        <v>-5.0714179872052298E-3</v>
      </c>
      <c r="W73" s="2"/>
      <c r="X73" s="6">
        <f t="shared" si="44"/>
        <v>7329.95</v>
      </c>
      <c r="Y73" s="2"/>
      <c r="Z73" s="7">
        <f t="shared" si="45"/>
        <v>-1</v>
      </c>
    </row>
    <row r="74" spans="1:26" s="26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SUM(OSRRefD22_15x_0)</f>
        <v>0</v>
      </c>
      <c r="E74" s="1"/>
      <c r="F74" s="5">
        <f t="shared" ref="F74:F79" si="46">IF(D$12=0,0,D74/D$12)</f>
        <v>0</v>
      </c>
      <c r="G74" s="1"/>
      <c r="H74" s="1">
        <f>SUM(OSRRefH22_15x_0)</f>
        <v>161.25</v>
      </c>
      <c r="I74" s="1"/>
      <c r="J74" s="5">
        <f t="shared" ref="J74:J79" si="47">IF(H$12=0,0,H74/H$12)</f>
        <v>1.10092780391974E-3</v>
      </c>
      <c r="K74" s="1"/>
      <c r="L74" s="1">
        <f t="shared" ref="L74:L79" si="48">+D74-H74</f>
        <v>-161.25</v>
      </c>
      <c r="M74" s="1"/>
      <c r="N74" s="5">
        <f t="shared" ref="N74:N79" si="49">IF(H74=0,0,L74/H74)</f>
        <v>-1</v>
      </c>
      <c r="O74" s="13"/>
      <c r="P74" s="1">
        <f>SUM(OSRRefP22_15x_0)</f>
        <v>579.63</v>
      </c>
      <c r="Q74" s="1"/>
      <c r="R74" s="5">
        <f t="shared" ref="R74:R79" si="50">IF(P$12=0,0,P74/P$12)</f>
        <v>0</v>
      </c>
      <c r="S74" s="1"/>
      <c r="T74" s="1">
        <f>SUM(OSRRefT22_15x_0)</f>
        <v>949</v>
      </c>
      <c r="U74" s="1"/>
      <c r="V74" s="5">
        <f t="shared" ref="V74:V79" si="51">IF(T$12=0,0,T74/T$12)</f>
        <v>6.5659051833338064E-4</v>
      </c>
      <c r="W74" s="1"/>
      <c r="X74" s="1">
        <f t="shared" ref="X74:X79" si="52">+P74-T74</f>
        <v>-369.37</v>
      </c>
      <c r="Y74" s="1"/>
      <c r="Z74" s="5">
        <f t="shared" ref="Z74:Z79" si="53">IF(T74=0,0,X74/T74)</f>
        <v>-0.38922023182297155</v>
      </c>
    </row>
    <row r="75" spans="1:26" s="24" customFormat="1" hidden="1" outlineLevel="2" x14ac:dyDescent="0.25">
      <c r="A75" s="25"/>
      <c r="B75" s="11" t="str">
        <f>CONCATENATE("          ", "6309", " - ", "TELEPHONE")</f>
        <v xml:space="preserve">          6309 - TELEPHONE</v>
      </c>
      <c r="C75" s="11"/>
      <c r="D75" s="6"/>
      <c r="E75" s="2"/>
      <c r="F75" s="7">
        <f t="shared" si="46"/>
        <v>0</v>
      </c>
      <c r="G75" s="2"/>
      <c r="H75" s="6">
        <v>161.25</v>
      </c>
      <c r="I75" s="2"/>
      <c r="J75" s="7">
        <f t="shared" si="47"/>
        <v>1.10092780391974E-3</v>
      </c>
      <c r="K75" s="2"/>
      <c r="L75" s="6">
        <f t="shared" si="48"/>
        <v>-161.25</v>
      </c>
      <c r="M75" s="2"/>
      <c r="N75" s="7">
        <f t="shared" si="49"/>
        <v>-1</v>
      </c>
      <c r="O75" s="11"/>
      <c r="P75" s="6">
        <v>579.63</v>
      </c>
      <c r="Q75" s="2"/>
      <c r="R75" s="7">
        <f t="shared" si="50"/>
        <v>0</v>
      </c>
      <c r="S75" s="2"/>
      <c r="T75" s="6">
        <v>949</v>
      </c>
      <c r="U75" s="2"/>
      <c r="V75" s="7">
        <f t="shared" si="51"/>
        <v>6.5659051833338064E-4</v>
      </c>
      <c r="W75" s="2"/>
      <c r="X75" s="6">
        <f t="shared" si="52"/>
        <v>-369.37</v>
      </c>
      <c r="Y75" s="2"/>
      <c r="Z75" s="7">
        <f t="shared" si="53"/>
        <v>-0.38922023182297155</v>
      </c>
    </row>
    <row r="76" spans="1:26" s="26" customFormat="1" outlineLevel="1" collapsed="1" x14ac:dyDescent="0.25">
      <c r="A76" s="27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SUM(OSRRefD22_16x_0)</f>
        <v>0</v>
      </c>
      <c r="E76" s="1"/>
      <c r="F76" s="5">
        <f t="shared" si="46"/>
        <v>0</v>
      </c>
      <c r="G76" s="1"/>
      <c r="H76" s="1">
        <f>SUM(OSRRefH22_16x_0)</f>
        <v>0</v>
      </c>
      <c r="I76" s="1"/>
      <c r="J76" s="5">
        <f t="shared" si="47"/>
        <v>0</v>
      </c>
      <c r="K76" s="1"/>
      <c r="L76" s="1">
        <f t="shared" si="48"/>
        <v>0</v>
      </c>
      <c r="M76" s="1"/>
      <c r="N76" s="5">
        <f t="shared" si="49"/>
        <v>0</v>
      </c>
      <c r="O76" s="13"/>
      <c r="P76" s="1">
        <f>SUM(OSRRefP22_16x_0)</f>
        <v>0</v>
      </c>
      <c r="Q76" s="1"/>
      <c r="R76" s="5">
        <f t="shared" si="50"/>
        <v>0</v>
      </c>
      <c r="S76" s="1"/>
      <c r="T76" s="1">
        <f>SUM(OSRRefT22_16x_0)</f>
        <v>1555.78</v>
      </c>
      <c r="U76" s="1"/>
      <c r="V76" s="5">
        <f t="shared" si="51"/>
        <v>1.0764071618679736E-3</v>
      </c>
      <c r="W76" s="1"/>
      <c r="X76" s="1">
        <f t="shared" si="52"/>
        <v>-1555.78</v>
      </c>
      <c r="Y76" s="1"/>
      <c r="Z76" s="5">
        <f t="shared" si="53"/>
        <v>-1</v>
      </c>
    </row>
    <row r="77" spans="1:26" s="24" customFormat="1" hidden="1" outlineLevel="2" x14ac:dyDescent="0.25">
      <c r="A77" s="25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46"/>
        <v>0</v>
      </c>
      <c r="G77" s="2"/>
      <c r="H77" s="6"/>
      <c r="I77" s="2"/>
      <c r="J77" s="7">
        <f t="shared" si="47"/>
        <v>0</v>
      </c>
      <c r="K77" s="2"/>
      <c r="L77" s="6">
        <f t="shared" si="48"/>
        <v>0</v>
      </c>
      <c r="M77" s="2"/>
      <c r="N77" s="7">
        <f t="shared" si="49"/>
        <v>0</v>
      </c>
      <c r="O77" s="11"/>
      <c r="P77" s="6"/>
      <c r="Q77" s="2"/>
      <c r="R77" s="7">
        <f t="shared" si="50"/>
        <v>0</v>
      </c>
      <c r="S77" s="2"/>
      <c r="T77" s="6">
        <v>1555.78</v>
      </c>
      <c r="U77" s="2"/>
      <c r="V77" s="7">
        <f t="shared" si="51"/>
        <v>1.0764071618679736E-3</v>
      </c>
      <c r="W77" s="2"/>
      <c r="X77" s="6">
        <f t="shared" si="52"/>
        <v>-1555.78</v>
      </c>
      <c r="Y77" s="2"/>
      <c r="Z77" s="7">
        <f t="shared" si="53"/>
        <v>-1</v>
      </c>
    </row>
    <row r="78" spans="1:26" s="26" customFormat="1" outlineLevel="1" collapsed="1" x14ac:dyDescent="0.25">
      <c r="A78" s="27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SUM(OSRRefD22_17x_0)</f>
        <v>0</v>
      </c>
      <c r="E78" s="1"/>
      <c r="F78" s="5">
        <f t="shared" si="46"/>
        <v>0</v>
      </c>
      <c r="G78" s="1"/>
      <c r="H78" s="1">
        <f>SUM(OSRRefH22_17x_0)</f>
        <v>0</v>
      </c>
      <c r="I78" s="1"/>
      <c r="J78" s="5">
        <f t="shared" si="47"/>
        <v>0</v>
      </c>
      <c r="K78" s="1"/>
      <c r="L78" s="1">
        <f t="shared" si="48"/>
        <v>0</v>
      </c>
      <c r="M78" s="1"/>
      <c r="N78" s="5">
        <f t="shared" si="49"/>
        <v>0</v>
      </c>
      <c r="O78" s="13"/>
      <c r="P78" s="1">
        <f>SUM(OSRRefP22_17x_0)</f>
        <v>0</v>
      </c>
      <c r="Q78" s="1"/>
      <c r="R78" s="5">
        <f t="shared" si="50"/>
        <v>0</v>
      </c>
      <c r="S78" s="1"/>
      <c r="T78" s="1">
        <f>SUM(OSRRefT22_17x_0)</f>
        <v>79.510000000000005</v>
      </c>
      <c r="U78" s="1"/>
      <c r="V78" s="5">
        <f t="shared" si="51"/>
        <v>5.501107704181991E-5</v>
      </c>
      <c r="W78" s="1"/>
      <c r="X78" s="1">
        <f t="shared" si="52"/>
        <v>-79.510000000000005</v>
      </c>
      <c r="Y78" s="1"/>
      <c r="Z78" s="5">
        <f t="shared" si="53"/>
        <v>-1</v>
      </c>
    </row>
    <row r="79" spans="1:26" s="24" customFormat="1" hidden="1" outlineLevel="2" x14ac:dyDescent="0.25">
      <c r="A79" s="25"/>
      <c r="B79" s="11" t="str">
        <f>CONCATENATE("          ", "6292", " - ", "TRAVEL/CONFERENCE")</f>
        <v xml:space="preserve">          6292 - TRAVEL/CONFERENCE</v>
      </c>
      <c r="C79" s="11"/>
      <c r="D79" s="6"/>
      <c r="E79" s="2"/>
      <c r="F79" s="7">
        <f t="shared" si="46"/>
        <v>0</v>
      </c>
      <c r="G79" s="2"/>
      <c r="H79" s="6"/>
      <c r="I79" s="2"/>
      <c r="J79" s="7">
        <f t="shared" si="47"/>
        <v>0</v>
      </c>
      <c r="K79" s="2"/>
      <c r="L79" s="6">
        <f t="shared" si="48"/>
        <v>0</v>
      </c>
      <c r="M79" s="2"/>
      <c r="N79" s="7">
        <f t="shared" si="49"/>
        <v>0</v>
      </c>
      <c r="O79" s="11"/>
      <c r="P79" s="6"/>
      <c r="Q79" s="2"/>
      <c r="R79" s="7">
        <f t="shared" si="50"/>
        <v>0</v>
      </c>
      <c r="S79" s="2"/>
      <c r="T79" s="6">
        <v>79.510000000000005</v>
      </c>
      <c r="U79" s="2"/>
      <c r="V79" s="7">
        <f t="shared" si="51"/>
        <v>5.501107704181991E-5</v>
      </c>
      <c r="W79" s="2"/>
      <c r="X79" s="6">
        <f t="shared" si="52"/>
        <v>-79.510000000000005</v>
      </c>
      <c r="Y79" s="2"/>
      <c r="Z79" s="7">
        <f t="shared" si="53"/>
        <v>-1</v>
      </c>
    </row>
    <row r="80" spans="1:26" s="61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9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8" t="s">
        <v>3</v>
      </c>
      <c r="C83" s="28"/>
      <c r="D83" s="20">
        <f>+D21-D23+D81</f>
        <v>-41216.369999999995</v>
      </c>
      <c r="E83" s="14"/>
      <c r="F83" s="22">
        <f>IF(D$12=0,0,D83/D$12)</f>
        <v>0</v>
      </c>
      <c r="G83" s="14"/>
      <c r="H83" s="20">
        <f>+H21-H23+H81</f>
        <v>6600.0100000000093</v>
      </c>
      <c r="I83" s="14"/>
      <c r="J83" s="22">
        <f>IF(H$12=0,0,H83/H$12)</f>
        <v>4.5061299318749352E-2</v>
      </c>
      <c r="K83" s="15"/>
      <c r="L83" s="20">
        <f>+D83-H83</f>
        <v>-47816.380000000005</v>
      </c>
      <c r="M83" s="15"/>
      <c r="N83" s="22">
        <f>IF(H83=0,0,L83/H83)</f>
        <v>-7.2448950834922883</v>
      </c>
      <c r="O83" s="29"/>
      <c r="P83" s="20">
        <f>+P21-P23+P81</f>
        <v>-290086.99999999988</v>
      </c>
      <c r="Q83" s="14"/>
      <c r="R83" s="22">
        <f>IF(P$12=0,0,P83/P$12)</f>
        <v>0</v>
      </c>
      <c r="S83" s="14"/>
      <c r="T83" s="20">
        <f>+T21-T23+T81</f>
        <v>261312.30999999994</v>
      </c>
      <c r="U83" s="14"/>
      <c r="V83" s="22">
        <f>IF(T$12=0,0,T83/T$12)</f>
        <v>0.18079576930431296</v>
      </c>
      <c r="W83" s="15"/>
      <c r="X83" s="20">
        <f>+P83-T83</f>
        <v>-551399.30999999982</v>
      </c>
      <c r="Y83" s="15"/>
      <c r="Z83" s="22">
        <f>IF(T83=0,0,X83/T83)</f>
        <v>-2.1101160905890732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/>
      <c r="E85" s="4"/>
      <c r="F85" s="12">
        <f>IF(D$12=0,0,D85/D$12)</f>
        <v>0</v>
      </c>
      <c r="G85" s="4"/>
      <c r="H85" s="4">
        <v>10440.209999999999</v>
      </c>
      <c r="I85" s="4"/>
      <c r="J85" s="12">
        <f>IF(H$12=0,0,H85/H$12)</f>
        <v>7.1280108327199429E-2</v>
      </c>
      <c r="K85" s="4"/>
      <c r="L85" s="4">
        <f>+D85-H85</f>
        <v>-10440.209999999999</v>
      </c>
      <c r="M85" s="4"/>
      <c r="N85" s="12">
        <f>IF(H85=0,0,L85/H85)</f>
        <v>-1</v>
      </c>
      <c r="O85" s="10"/>
      <c r="P85" s="4">
        <v>0</v>
      </c>
      <c r="Q85" s="4"/>
      <c r="R85" s="12">
        <f>IF(P$12=0,0,P85/P$12)</f>
        <v>0</v>
      </c>
      <c r="S85" s="4"/>
      <c r="T85" s="4">
        <v>150729.03999999998</v>
      </c>
      <c r="U85" s="4"/>
      <c r="V85" s="12">
        <f>IF(T$12=0,0,T85/T$12)</f>
        <v>0.10428583614488182</v>
      </c>
      <c r="W85" s="4"/>
      <c r="X85" s="4">
        <f>+P85-T85</f>
        <v>-150729.03999999998</v>
      </c>
      <c r="Y85" s="4"/>
      <c r="Z85" s="12">
        <f>IF(T85=0,0,X85/T85)</f>
        <v>-1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4</v>
      </c>
      <c r="C87" s="28"/>
      <c r="D87" s="30">
        <f>+D83-D85</f>
        <v>-41216.369999999995</v>
      </c>
      <c r="E87" s="14"/>
      <c r="F87" s="36">
        <f>IF(D$12=0,0,D87/D$12)</f>
        <v>0</v>
      </c>
      <c r="G87" s="14"/>
      <c r="H87" s="30">
        <f>+H83-H85</f>
        <v>-3840.1999999999898</v>
      </c>
      <c r="I87" s="14"/>
      <c r="J87" s="36">
        <f>IF(H$12=0,0,H87/H$12)</f>
        <v>-2.6218809008450073E-2</v>
      </c>
      <c r="K87" s="15"/>
      <c r="L87" s="30">
        <f>D87-H87</f>
        <v>-37376.170000000006</v>
      </c>
      <c r="M87" s="15"/>
      <c r="N87" s="36">
        <f>IF(H87=0,0,L87/H87)</f>
        <v>9.7328706838185788</v>
      </c>
      <c r="O87" s="29"/>
      <c r="P87" s="30">
        <f>+P83-P85</f>
        <v>-290086.99999999988</v>
      </c>
      <c r="Q87" s="14"/>
      <c r="R87" s="36">
        <f>IF(P$12=0,0,P87/P$12)</f>
        <v>0</v>
      </c>
      <c r="S87" s="14"/>
      <c r="T87" s="30">
        <f>+T83-T85</f>
        <v>110583.26999999996</v>
      </c>
      <c r="U87" s="14"/>
      <c r="V87" s="36">
        <f>IF(T$12=0,0,T87/T$12)</f>
        <v>7.6509933159431137E-2</v>
      </c>
      <c r="W87" s="15"/>
      <c r="X87" s="30">
        <f>P87-T87</f>
        <v>-400670.26999999984</v>
      </c>
      <c r="Y87" s="15"/>
      <c r="Z87" s="36">
        <f>IF(T87=0,0,X87/T87)</f>
        <v>-3.6232449085652827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5</v>
      </c>
      <c r="C90" s="28"/>
      <c r="D90" s="32">
        <f>SUM(D87:D89)</f>
        <v>-41216.369999999995</v>
      </c>
      <c r="E90" s="14"/>
      <c r="F90" s="31">
        <f>IF(D$12=0,0,D90/D$12)</f>
        <v>0</v>
      </c>
      <c r="G90" s="14"/>
      <c r="H90" s="32">
        <f>SUM(H87:H89)</f>
        <v>-3840.1999999999898</v>
      </c>
      <c r="I90" s="14"/>
      <c r="J90" s="31">
        <f>IF(H$12=0,0,H90/H$12)</f>
        <v>-2.6218809008450073E-2</v>
      </c>
      <c r="K90" s="15"/>
      <c r="L90" s="32">
        <f>+D90-H90</f>
        <v>-37376.170000000006</v>
      </c>
      <c r="M90" s="15"/>
      <c r="N90" s="31">
        <f>IF(H90=0,0,L90/H90)</f>
        <v>9.7328706838185788</v>
      </c>
      <c r="O90" s="29"/>
      <c r="P90" s="32">
        <f>SUM(P87:P89)</f>
        <v>-290086.99999999988</v>
      </c>
      <c r="Q90" s="14"/>
      <c r="R90" s="31">
        <f>IF(P$12=0,0,P90/P$12)</f>
        <v>0</v>
      </c>
      <c r="S90" s="14"/>
      <c r="T90" s="32">
        <f>SUM(T87:T89)</f>
        <v>110583.26999999996</v>
      </c>
      <c r="U90" s="14"/>
      <c r="V90" s="31">
        <f>IF(T$12=0,0,T90/T$12)</f>
        <v>7.6509933159431137E-2</v>
      </c>
      <c r="W90" s="15"/>
      <c r="X90" s="32">
        <f>+P90-T90</f>
        <v>-400670.26999999984</v>
      </c>
      <c r="Y90" s="15"/>
      <c r="Z90" s="31">
        <f>IF(T90=0,0,X90/T90)</f>
        <v>-3.6232449085652827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62">
        <v>44238.496701655095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9" t="s">
        <v>313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6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79"/>
  <sheetViews>
    <sheetView zoomScale="80" workbookViewId="0">
      <pane xSplit="3" ySplit="10" topLeftCell="D30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">
        <v>296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33984</v>
      </c>
      <c r="E12" s="4"/>
      <c r="F12" s="12"/>
      <c r="G12" s="4"/>
      <c r="H12" s="4">
        <f>SUM(OSRRefH13x_0)</f>
        <v>24844</v>
      </c>
      <c r="I12" s="4"/>
      <c r="J12" s="12"/>
      <c r="K12" s="4"/>
      <c r="L12" s="4">
        <f t="shared" ref="L12:L13" si="0">+D12-H12</f>
        <v>9140</v>
      </c>
      <c r="M12" s="4"/>
      <c r="N12" s="12">
        <f t="shared" ref="N12:N13" si="1">IF(H12=0,0,L12/H12)</f>
        <v>0.36789566897440024</v>
      </c>
      <c r="O12" s="10"/>
      <c r="P12" s="4">
        <f>SUM(OSRRefP13x_0)</f>
        <v>369656</v>
      </c>
      <c r="Q12" s="4"/>
      <c r="R12" s="12"/>
      <c r="S12" s="4"/>
      <c r="T12" s="4">
        <f>SUM(OSRRefT13x_0)</f>
        <v>191645</v>
      </c>
      <c r="U12" s="4"/>
      <c r="V12" s="12"/>
      <c r="W12" s="4"/>
      <c r="X12" s="4">
        <f t="shared" ref="X12:X13" si="2">+P12-T12</f>
        <v>178011</v>
      </c>
      <c r="Y12" s="4"/>
      <c r="Z12" s="12">
        <f t="shared" ref="Z12:Z13" si="3">IF(T12=0,0,X12/T12)</f>
        <v>0.92885804482245815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--33984</f>
        <v>33984</v>
      </c>
      <c r="E13" s="2"/>
      <c r="F13" s="19"/>
      <c r="G13" s="2"/>
      <c r="H13" s="2">
        <f>--24844</f>
        <v>24844</v>
      </c>
      <c r="I13" s="2"/>
      <c r="J13" s="19"/>
      <c r="K13" s="2"/>
      <c r="L13" s="2">
        <f t="shared" si="0"/>
        <v>9140</v>
      </c>
      <c r="M13" s="2"/>
      <c r="N13" s="19">
        <f t="shared" si="1"/>
        <v>0.36789566897440024</v>
      </c>
      <c r="O13" s="11"/>
      <c r="P13" s="2">
        <f>--369656</f>
        <v>369656</v>
      </c>
      <c r="Q13" s="2"/>
      <c r="R13" s="19"/>
      <c r="S13" s="2"/>
      <c r="T13" s="2">
        <f>--191645</f>
        <v>191645</v>
      </c>
      <c r="U13" s="2"/>
      <c r="V13" s="19"/>
      <c r="W13" s="2"/>
      <c r="X13" s="2">
        <f t="shared" si="2"/>
        <v>178011</v>
      </c>
      <c r="Y13" s="2"/>
      <c r="Z13" s="19">
        <f t="shared" si="3"/>
        <v>0.92885804482245815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D12-D15</f>
        <v>33984</v>
      </c>
      <c r="E17" s="14"/>
      <c r="F17" s="22">
        <f>IF(D$12=0,0,D17/D$12)</f>
        <v>1</v>
      </c>
      <c r="G17" s="14"/>
      <c r="H17" s="20">
        <f>H12-H15</f>
        <v>24844</v>
      </c>
      <c r="I17" s="14"/>
      <c r="J17" s="22">
        <f>IF(H$12=0,0,H17/H$12)</f>
        <v>1</v>
      </c>
      <c r="K17" s="15"/>
      <c r="L17" s="20">
        <f>+D17-H17</f>
        <v>9140</v>
      </c>
      <c r="M17" s="15"/>
      <c r="N17" s="22">
        <f>IF(H17=0,0,L17/H17)</f>
        <v>0.36789566897440024</v>
      </c>
      <c r="O17" s="29"/>
      <c r="P17" s="20">
        <f>P12-P15</f>
        <v>369656</v>
      </c>
      <c r="Q17" s="14"/>
      <c r="R17" s="22">
        <f>IF(P$12=0,0,P17/P$12)</f>
        <v>1</v>
      </c>
      <c r="S17" s="14"/>
      <c r="T17" s="20">
        <f>T12-T15</f>
        <v>191645</v>
      </c>
      <c r="U17" s="14"/>
      <c r="V17" s="22">
        <f>IF(T$12=0,0,T17/T$12)</f>
        <v>1</v>
      </c>
      <c r="W17" s="15"/>
      <c r="X17" s="20">
        <f>+P17-T17</f>
        <v>178011</v>
      </c>
      <c r="Y17" s="15"/>
      <c r="Z17" s="22">
        <f>IF(T17=0,0,X17/T17)</f>
        <v>0.92885804482245815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23351.099999999995</v>
      </c>
      <c r="E19" s="21"/>
      <c r="F19" s="35">
        <f t="shared" ref="F19:F29" si="4">IF(D$12=0,0,D19/D$12)</f>
        <v>0.68712040960451959</v>
      </c>
      <c r="G19" s="21"/>
      <c r="H19" s="21">
        <f>SUM(OSRRefH22x_0)</f>
        <v>25649.16</v>
      </c>
      <c r="I19" s="21"/>
      <c r="J19" s="35">
        <f t="shared" ref="J19:J29" si="5">IF(H$12=0,0,H19/H$12)</f>
        <v>1.0324086298502657</v>
      </c>
      <c r="K19" s="4"/>
      <c r="L19" s="21">
        <f t="shared" ref="L19:L29" si="6">+D19-H19</f>
        <v>-2298.0600000000049</v>
      </c>
      <c r="M19" s="4"/>
      <c r="N19" s="35">
        <f t="shared" ref="N19:N29" si="7">IF(H19=0,0,L19/H19)</f>
        <v>-8.959591659142073E-2</v>
      </c>
      <c r="O19" s="10"/>
      <c r="P19" s="21">
        <f>SUM(OSRRefP22x_0)</f>
        <v>309046.28999999998</v>
      </c>
      <c r="Q19" s="21"/>
      <c r="R19" s="35">
        <f t="shared" ref="R19:R29" si="8">IF(P$12=0,0,P19/P$12)</f>
        <v>0.83603753219209209</v>
      </c>
      <c r="S19" s="21"/>
      <c r="T19" s="21">
        <f>SUM(OSRRefT22x_0)</f>
        <v>190924.10999999993</v>
      </c>
      <c r="U19" s="21"/>
      <c r="V19" s="35">
        <f t="shared" ref="V19:V29" si="9">IF(T$12=0,0,T19/T$12)</f>
        <v>0.99623840955934106</v>
      </c>
      <c r="W19" s="4"/>
      <c r="X19" s="21">
        <f t="shared" ref="X19:X29" si="10">+P19-T19</f>
        <v>118122.18000000005</v>
      </c>
      <c r="Y19" s="4"/>
      <c r="Z19" s="35">
        <f t="shared" ref="Z19:Z29" si="11">IF(T19=0,0,X19/T19)</f>
        <v>0.61868655561626085</v>
      </c>
    </row>
    <row r="20" spans="1:26" s="26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4647.2599999999993</v>
      </c>
      <c r="E20" s="1"/>
      <c r="F20" s="5">
        <f t="shared" si="4"/>
        <v>0.13674846986817324</v>
      </c>
      <c r="G20" s="1"/>
      <c r="H20" s="1">
        <f>SUM(OSRRefH22_0x_0)</f>
        <v>4285.4500000000007</v>
      </c>
      <c r="I20" s="1"/>
      <c r="J20" s="5">
        <f t="shared" si="5"/>
        <v>0.17249436483658029</v>
      </c>
      <c r="K20" s="1"/>
      <c r="L20" s="1">
        <f t="shared" si="6"/>
        <v>361.80999999999858</v>
      </c>
      <c r="M20" s="1"/>
      <c r="N20" s="5">
        <f t="shared" si="7"/>
        <v>8.4427539698281054E-2</v>
      </c>
      <c r="O20" s="13"/>
      <c r="P20" s="1">
        <f>SUM(OSRRefP22_0x_0)</f>
        <v>29892.89</v>
      </c>
      <c r="Q20" s="1"/>
      <c r="R20" s="5">
        <f t="shared" si="8"/>
        <v>8.0866778843032436E-2</v>
      </c>
      <c r="S20" s="1"/>
      <c r="T20" s="1">
        <f>SUM(OSRRefT22_0x_0)</f>
        <v>31385.910000000003</v>
      </c>
      <c r="U20" s="1"/>
      <c r="V20" s="5">
        <f t="shared" si="9"/>
        <v>0.16377108716637534</v>
      </c>
      <c r="W20" s="1"/>
      <c r="X20" s="1">
        <f t="shared" si="10"/>
        <v>-1493.0200000000041</v>
      </c>
      <c r="Y20" s="1"/>
      <c r="Z20" s="5">
        <f t="shared" si="11"/>
        <v>-4.7569753433945483E-2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829.91</v>
      </c>
      <c r="E21" s="2"/>
      <c r="F21" s="7">
        <f t="shared" si="4"/>
        <v>2.4420609698681733E-2</v>
      </c>
      <c r="G21" s="2"/>
      <c r="H21" s="6">
        <v>920.98</v>
      </c>
      <c r="I21" s="2"/>
      <c r="J21" s="7">
        <f t="shared" si="5"/>
        <v>3.7070520045081309E-2</v>
      </c>
      <c r="K21" s="2"/>
      <c r="L21" s="6">
        <f t="shared" si="6"/>
        <v>-91.07000000000005</v>
      </c>
      <c r="M21" s="2"/>
      <c r="N21" s="7">
        <f t="shared" si="7"/>
        <v>-9.8883797693761044E-2</v>
      </c>
      <c r="O21" s="11"/>
      <c r="P21" s="6">
        <v>7120.78</v>
      </c>
      <c r="Q21" s="2"/>
      <c r="R21" s="7">
        <f t="shared" si="8"/>
        <v>1.9263260977773929E-2</v>
      </c>
      <c r="S21" s="2"/>
      <c r="T21" s="6">
        <v>7717.72</v>
      </c>
      <c r="U21" s="2"/>
      <c r="V21" s="7">
        <f t="shared" si="9"/>
        <v>4.0270917581987531E-2</v>
      </c>
      <c r="W21" s="2"/>
      <c r="X21" s="6">
        <f t="shared" si="10"/>
        <v>-596.94000000000051</v>
      </c>
      <c r="Y21" s="2"/>
      <c r="Z21" s="7">
        <f t="shared" si="11"/>
        <v>-7.7346677516157689E-2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-13.7</v>
      </c>
      <c r="E22" s="2"/>
      <c r="F22" s="7">
        <f t="shared" si="4"/>
        <v>-4.031308851224105E-4</v>
      </c>
      <c r="G22" s="2"/>
      <c r="H22" s="6">
        <v>50.97</v>
      </c>
      <c r="I22" s="2"/>
      <c r="J22" s="7">
        <f t="shared" si="5"/>
        <v>2.0516019964578972E-3</v>
      </c>
      <c r="K22" s="2"/>
      <c r="L22" s="6">
        <f t="shared" si="6"/>
        <v>-64.67</v>
      </c>
      <c r="M22" s="2"/>
      <c r="N22" s="7">
        <f t="shared" si="7"/>
        <v>-1.2687855601334119</v>
      </c>
      <c r="O22" s="11"/>
      <c r="P22" s="6">
        <v>653.82000000000005</v>
      </c>
      <c r="Q22" s="2"/>
      <c r="R22" s="7">
        <f t="shared" si="8"/>
        <v>1.7687255177786917E-3</v>
      </c>
      <c r="S22" s="2"/>
      <c r="T22" s="6">
        <v>338.26</v>
      </c>
      <c r="U22" s="2"/>
      <c r="V22" s="7">
        <f t="shared" si="9"/>
        <v>1.7650343082261473E-3</v>
      </c>
      <c r="W22" s="2"/>
      <c r="X22" s="6">
        <f t="shared" si="10"/>
        <v>315.56000000000006</v>
      </c>
      <c r="Y22" s="2"/>
      <c r="Z22" s="7">
        <f t="shared" si="11"/>
        <v>0.93289185833382626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1207.95</v>
      </c>
      <c r="E23" s="2"/>
      <c r="F23" s="7">
        <f t="shared" si="4"/>
        <v>3.5544668079096044E-2</v>
      </c>
      <c r="G23" s="2"/>
      <c r="H23" s="6">
        <v>1298.72</v>
      </c>
      <c r="I23" s="2"/>
      <c r="J23" s="7">
        <f t="shared" si="5"/>
        <v>5.2274995974883276E-2</v>
      </c>
      <c r="K23" s="2"/>
      <c r="L23" s="6">
        <f t="shared" si="6"/>
        <v>-90.769999999999982</v>
      </c>
      <c r="M23" s="2"/>
      <c r="N23" s="7">
        <f t="shared" si="7"/>
        <v>-6.9891893556732768E-2</v>
      </c>
      <c r="O23" s="11"/>
      <c r="P23" s="6">
        <v>8610.9500000000007</v>
      </c>
      <c r="Q23" s="2"/>
      <c r="R23" s="7">
        <f t="shared" si="8"/>
        <v>2.3294495422771445E-2</v>
      </c>
      <c r="S23" s="2"/>
      <c r="T23" s="6">
        <v>8758.58</v>
      </c>
      <c r="U23" s="2"/>
      <c r="V23" s="7">
        <f t="shared" si="9"/>
        <v>4.5702105455399308E-2</v>
      </c>
      <c r="W23" s="2"/>
      <c r="X23" s="6">
        <f t="shared" si="10"/>
        <v>-147.6299999999992</v>
      </c>
      <c r="Y23" s="2"/>
      <c r="Z23" s="7">
        <f t="shared" si="11"/>
        <v>-1.6855472005735998E-2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69.959999999999994</v>
      </c>
      <c r="E24" s="2"/>
      <c r="F24" s="7">
        <f t="shared" si="4"/>
        <v>2.0586158192090393E-3</v>
      </c>
      <c r="G24" s="2"/>
      <c r="H24" s="6">
        <v>39.020000000000003</v>
      </c>
      <c r="I24" s="2"/>
      <c r="J24" s="7">
        <f t="shared" si="5"/>
        <v>1.5706005474158751E-3</v>
      </c>
      <c r="K24" s="2"/>
      <c r="L24" s="6">
        <f t="shared" si="6"/>
        <v>30.939999999999991</v>
      </c>
      <c r="M24" s="2"/>
      <c r="N24" s="7">
        <f t="shared" si="7"/>
        <v>0.79292670425422829</v>
      </c>
      <c r="O24" s="11"/>
      <c r="P24" s="6">
        <v>284.56</v>
      </c>
      <c r="Q24" s="2"/>
      <c r="R24" s="7">
        <f t="shared" si="8"/>
        <v>7.6979678403705067E-4</v>
      </c>
      <c r="S24" s="2"/>
      <c r="T24" s="6">
        <v>327.96</v>
      </c>
      <c r="U24" s="2"/>
      <c r="V24" s="7">
        <f t="shared" si="9"/>
        <v>1.7112891022463407E-3</v>
      </c>
      <c r="W24" s="2"/>
      <c r="X24" s="6">
        <f t="shared" si="10"/>
        <v>-43.399999999999977</v>
      </c>
      <c r="Y24" s="2"/>
      <c r="Z24" s="7">
        <f t="shared" si="11"/>
        <v>-0.13233321136723986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960.53</v>
      </c>
      <c r="E25" s="2"/>
      <c r="F25" s="7">
        <f t="shared" si="4"/>
        <v>2.8264183145009416E-2</v>
      </c>
      <c r="G25" s="2"/>
      <c r="H25" s="6">
        <v>959.21</v>
      </c>
      <c r="I25" s="2"/>
      <c r="J25" s="7">
        <f t="shared" si="5"/>
        <v>3.8609322170342943E-2</v>
      </c>
      <c r="K25" s="2"/>
      <c r="L25" s="6">
        <f t="shared" si="6"/>
        <v>1.3199999999999363</v>
      </c>
      <c r="M25" s="2"/>
      <c r="N25" s="7">
        <f t="shared" si="7"/>
        <v>1.3761324423222612E-3</v>
      </c>
      <c r="O25" s="11"/>
      <c r="P25" s="6">
        <v>5780.23</v>
      </c>
      <c r="Q25" s="2"/>
      <c r="R25" s="7">
        <f t="shared" si="8"/>
        <v>1.5636781223624125E-2</v>
      </c>
      <c r="S25" s="2"/>
      <c r="T25" s="6">
        <v>5566.45</v>
      </c>
      <c r="U25" s="2"/>
      <c r="V25" s="7">
        <f t="shared" si="9"/>
        <v>2.9045631245271205E-2</v>
      </c>
      <c r="W25" s="2"/>
      <c r="X25" s="6">
        <f t="shared" si="10"/>
        <v>213.77999999999975</v>
      </c>
      <c r="Y25" s="2"/>
      <c r="Z25" s="7">
        <f t="shared" si="11"/>
        <v>3.8405087623170915E-2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85.33</v>
      </c>
      <c r="E26" s="2"/>
      <c r="F26" s="7">
        <f t="shared" si="4"/>
        <v>2.5108874764595101E-3</v>
      </c>
      <c r="G26" s="2"/>
      <c r="H26" s="6"/>
      <c r="I26" s="2"/>
      <c r="J26" s="7">
        <f t="shared" si="5"/>
        <v>0</v>
      </c>
      <c r="K26" s="2"/>
      <c r="L26" s="6">
        <f t="shared" si="6"/>
        <v>85.33</v>
      </c>
      <c r="M26" s="2"/>
      <c r="N26" s="7">
        <f t="shared" si="7"/>
        <v>0</v>
      </c>
      <c r="O26" s="11"/>
      <c r="P26" s="6">
        <v>609.94000000000005</v>
      </c>
      <c r="Q26" s="2"/>
      <c r="R26" s="7">
        <f t="shared" si="8"/>
        <v>1.6500205596554636E-3</v>
      </c>
      <c r="S26" s="2"/>
      <c r="T26" s="6"/>
      <c r="U26" s="2"/>
      <c r="V26" s="7">
        <f t="shared" si="9"/>
        <v>0</v>
      </c>
      <c r="W26" s="2"/>
      <c r="X26" s="6">
        <f t="shared" si="10"/>
        <v>609.94000000000005</v>
      </c>
      <c r="Y26" s="2"/>
      <c r="Z26" s="7">
        <f t="shared" si="11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520.02</v>
      </c>
      <c r="E27" s="2"/>
      <c r="F27" s="7">
        <f t="shared" si="4"/>
        <v>1.5301906779661017E-2</v>
      </c>
      <c r="G27" s="2"/>
      <c r="H27" s="6">
        <v>577.95000000000005</v>
      </c>
      <c r="I27" s="2"/>
      <c r="J27" s="7">
        <f t="shared" si="5"/>
        <v>2.326316213170182E-2</v>
      </c>
      <c r="K27" s="2"/>
      <c r="L27" s="6">
        <f t="shared" si="6"/>
        <v>-57.930000000000064</v>
      </c>
      <c r="M27" s="2"/>
      <c r="N27" s="7">
        <f t="shared" si="7"/>
        <v>-0.10023358422008835</v>
      </c>
      <c r="O27" s="11"/>
      <c r="P27" s="6">
        <v>3900.15</v>
      </c>
      <c r="Q27" s="2"/>
      <c r="R27" s="7">
        <f t="shared" si="8"/>
        <v>1.05507552968165E-2</v>
      </c>
      <c r="S27" s="2"/>
      <c r="T27" s="6">
        <v>5070.83</v>
      </c>
      <c r="U27" s="2"/>
      <c r="V27" s="7">
        <f t="shared" si="9"/>
        <v>2.6459495421221529E-2</v>
      </c>
      <c r="W27" s="2"/>
      <c r="X27" s="6">
        <f t="shared" si="10"/>
        <v>-1170.6799999999998</v>
      </c>
      <c r="Y27" s="2"/>
      <c r="Z27" s="7">
        <f t="shared" si="11"/>
        <v>-0.23086555849831286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299.26</v>
      </c>
      <c r="E28" s="2"/>
      <c r="F28" s="7">
        <f t="shared" si="4"/>
        <v>8.8059086629001873E-3</v>
      </c>
      <c r="G28" s="2"/>
      <c r="H28" s="6">
        <v>288.58</v>
      </c>
      <c r="I28" s="2"/>
      <c r="J28" s="7">
        <f t="shared" si="5"/>
        <v>1.1615681854773787E-2</v>
      </c>
      <c r="K28" s="2"/>
      <c r="L28" s="6">
        <f t="shared" si="6"/>
        <v>10.680000000000007</v>
      </c>
      <c r="M28" s="2"/>
      <c r="N28" s="7">
        <f t="shared" si="7"/>
        <v>3.7008801718760857E-2</v>
      </c>
      <c r="O28" s="11"/>
      <c r="P28" s="6">
        <v>2244.46</v>
      </c>
      <c r="Q28" s="2"/>
      <c r="R28" s="7">
        <f t="shared" si="8"/>
        <v>6.0717531975674685E-3</v>
      </c>
      <c r="S28" s="2"/>
      <c r="T28" s="6">
        <v>2554.2800000000002</v>
      </c>
      <c r="U28" s="2"/>
      <c r="V28" s="7">
        <f t="shared" si="9"/>
        <v>1.3328184925252421E-2</v>
      </c>
      <c r="W28" s="2"/>
      <c r="X28" s="6">
        <f t="shared" si="10"/>
        <v>-309.82000000000016</v>
      </c>
      <c r="Y28" s="2"/>
      <c r="Z28" s="7">
        <f t="shared" si="11"/>
        <v>-0.12129445479743808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688</v>
      </c>
      <c r="E29" s="2"/>
      <c r="F29" s="7">
        <f t="shared" si="4"/>
        <v>2.0244821092278719E-2</v>
      </c>
      <c r="G29" s="2"/>
      <c r="H29" s="6">
        <v>150.02000000000001</v>
      </c>
      <c r="I29" s="2"/>
      <c r="J29" s="7">
        <f t="shared" si="5"/>
        <v>6.0384801159233618E-3</v>
      </c>
      <c r="K29" s="2"/>
      <c r="L29" s="6">
        <f t="shared" si="6"/>
        <v>537.98</v>
      </c>
      <c r="M29" s="2"/>
      <c r="N29" s="7">
        <f t="shared" si="7"/>
        <v>3.5860551926409809</v>
      </c>
      <c r="O29" s="11"/>
      <c r="P29" s="6">
        <v>688</v>
      </c>
      <c r="Q29" s="2"/>
      <c r="R29" s="7">
        <f t="shared" si="8"/>
        <v>1.8611898630077695E-3</v>
      </c>
      <c r="S29" s="2"/>
      <c r="T29" s="6">
        <v>1051.83</v>
      </c>
      <c r="U29" s="2"/>
      <c r="V29" s="7">
        <f t="shared" si="9"/>
        <v>5.488429126770852E-3</v>
      </c>
      <c r="W29" s="2"/>
      <c r="X29" s="6">
        <f t="shared" si="10"/>
        <v>-363.82999999999993</v>
      </c>
      <c r="Y29" s="2"/>
      <c r="Z29" s="7">
        <f t="shared" si="11"/>
        <v>-0.34590190430012452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16962.05</v>
      </c>
      <c r="E30" s="1"/>
      <c r="F30" s="5">
        <f t="shared" ref="F30:F35" si="12">IF(D$12=0,0,D30/D$12)</f>
        <v>0.49911870291902072</v>
      </c>
      <c r="G30" s="1"/>
      <c r="H30" s="1">
        <f>SUM(OSRRefH22_1x_0)</f>
        <v>19262.39</v>
      </c>
      <c r="I30" s="1"/>
      <c r="J30" s="5">
        <f t="shared" ref="J30:J35" si="13">IF(H$12=0,0,H30/H$12)</f>
        <v>0.77533368217678311</v>
      </c>
      <c r="K30" s="1"/>
      <c r="L30" s="1">
        <f t="shared" ref="L30:L35" si="14">+D30-H30</f>
        <v>-2300.34</v>
      </c>
      <c r="M30" s="1"/>
      <c r="N30" s="5">
        <f t="shared" ref="N30:N35" si="15">IF(H30=0,0,L30/H30)</f>
        <v>-0.11942131791537812</v>
      </c>
      <c r="O30" s="13"/>
      <c r="P30" s="1">
        <f>SUM(OSRRefP22_1x_0)</f>
        <v>102177.42</v>
      </c>
      <c r="Q30" s="1"/>
      <c r="R30" s="5">
        <f t="shared" ref="R30:R35" si="16">IF(P$12=0,0,P30/P$12)</f>
        <v>0.27641217780855715</v>
      </c>
      <c r="S30" s="1"/>
      <c r="T30" s="1">
        <f>SUM(OSRRefT22_1x_0)</f>
        <v>119293.84000000001</v>
      </c>
      <c r="U30" s="1"/>
      <c r="V30" s="5">
        <f t="shared" ref="V30:V35" si="17">IF(T$12=0,0,T30/T$12)</f>
        <v>0.62247300999243393</v>
      </c>
      <c r="W30" s="1"/>
      <c r="X30" s="1">
        <f t="shared" ref="X30:X35" si="18">+P30-T30</f>
        <v>-17116.420000000013</v>
      </c>
      <c r="Y30" s="1"/>
      <c r="Z30" s="5">
        <f t="shared" ref="Z30:Z35" si="19">IF(T30=0,0,X30/T30)</f>
        <v>-0.14348117220470069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>
        <v>5257.72</v>
      </c>
      <c r="E31" s="2"/>
      <c r="F31" s="7">
        <f t="shared" si="12"/>
        <v>0.15471162900188323</v>
      </c>
      <c r="G31" s="2"/>
      <c r="H31" s="6"/>
      <c r="I31" s="2"/>
      <c r="J31" s="7">
        <f t="shared" si="13"/>
        <v>0</v>
      </c>
      <c r="K31" s="2"/>
      <c r="L31" s="6">
        <f t="shared" si="14"/>
        <v>5257.72</v>
      </c>
      <c r="M31" s="2"/>
      <c r="N31" s="7">
        <f t="shared" si="15"/>
        <v>0</v>
      </c>
      <c r="O31" s="11"/>
      <c r="P31" s="6">
        <v>30912.609999999997</v>
      </c>
      <c r="Q31" s="2"/>
      <c r="R31" s="7">
        <f t="shared" si="16"/>
        <v>8.3625343562663657E-2</v>
      </c>
      <c r="S31" s="2"/>
      <c r="T31" s="6"/>
      <c r="U31" s="2"/>
      <c r="V31" s="7">
        <f t="shared" si="17"/>
        <v>0</v>
      </c>
      <c r="W31" s="2"/>
      <c r="X31" s="6">
        <f t="shared" si="18"/>
        <v>30912.609999999997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2853.3</v>
      </c>
      <c r="E32" s="2"/>
      <c r="F32" s="7">
        <f t="shared" si="12"/>
        <v>8.3960098870056496E-2</v>
      </c>
      <c r="G32" s="2"/>
      <c r="H32" s="6">
        <v>6881.99</v>
      </c>
      <c r="I32" s="2"/>
      <c r="J32" s="7">
        <f t="shared" si="13"/>
        <v>0.27700813073579134</v>
      </c>
      <c r="K32" s="2"/>
      <c r="L32" s="6">
        <f t="shared" si="14"/>
        <v>-4028.6899999999996</v>
      </c>
      <c r="M32" s="2"/>
      <c r="N32" s="7">
        <f t="shared" si="15"/>
        <v>-0.58539608456274994</v>
      </c>
      <c r="O32" s="11"/>
      <c r="P32" s="6">
        <v>16547.09</v>
      </c>
      <c r="Q32" s="2"/>
      <c r="R32" s="7">
        <f t="shared" si="16"/>
        <v>4.476348280563551E-2</v>
      </c>
      <c r="S32" s="2"/>
      <c r="T32" s="6">
        <v>41381.870000000003</v>
      </c>
      <c r="U32" s="2"/>
      <c r="V32" s="7">
        <f t="shared" si="17"/>
        <v>0.21592981815335649</v>
      </c>
      <c r="W32" s="2"/>
      <c r="X32" s="6">
        <f t="shared" si="18"/>
        <v>-24834.780000000002</v>
      </c>
      <c r="Y32" s="2"/>
      <c r="Z32" s="7">
        <f t="shared" si="19"/>
        <v>-0.60013672654232397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>
        <v>5996.43</v>
      </c>
      <c r="E33" s="2"/>
      <c r="F33" s="7">
        <f t="shared" si="12"/>
        <v>0.17644862288135593</v>
      </c>
      <c r="G33" s="2"/>
      <c r="H33" s="6">
        <v>6157.33</v>
      </c>
      <c r="I33" s="2"/>
      <c r="J33" s="7">
        <f t="shared" si="13"/>
        <v>0.24783971985187569</v>
      </c>
      <c r="K33" s="2"/>
      <c r="L33" s="6">
        <f t="shared" si="14"/>
        <v>-160.89999999999964</v>
      </c>
      <c r="M33" s="2"/>
      <c r="N33" s="7">
        <f t="shared" si="15"/>
        <v>-2.6131456329285523E-2</v>
      </c>
      <c r="O33" s="11"/>
      <c r="P33" s="6">
        <v>45162.579999999994</v>
      </c>
      <c r="Q33" s="2"/>
      <c r="R33" s="7">
        <f t="shared" si="16"/>
        <v>0.12217461640011253</v>
      </c>
      <c r="S33" s="2"/>
      <c r="T33" s="6">
        <v>51094.64</v>
      </c>
      <c r="U33" s="2"/>
      <c r="V33" s="7">
        <f t="shared" si="17"/>
        <v>0.26661086905476272</v>
      </c>
      <c r="W33" s="2"/>
      <c r="X33" s="6">
        <f t="shared" si="18"/>
        <v>-5932.0600000000049</v>
      </c>
      <c r="Y33" s="2"/>
      <c r="Z33" s="7">
        <f t="shared" si="19"/>
        <v>-0.11609945779048458</v>
      </c>
    </row>
    <row r="34" spans="1:26" s="24" customFormat="1" hidden="1" outlineLevel="2" x14ac:dyDescent="0.25">
      <c r="A34" s="25"/>
      <c r="B34" s="11" t="str">
        <f>CONCATENATE("          ", "6007", " - ", "STUDENT HOURLY")</f>
        <v xml:space="preserve">          6007 - STUDENT HOURLY</v>
      </c>
      <c r="C34" s="11"/>
      <c r="D34" s="6">
        <v>2263.8000000000002</v>
      </c>
      <c r="E34" s="2"/>
      <c r="F34" s="7">
        <f t="shared" si="12"/>
        <v>6.6613700564971762E-2</v>
      </c>
      <c r="G34" s="2"/>
      <c r="H34" s="6">
        <v>5974.57</v>
      </c>
      <c r="I34" s="2"/>
      <c r="J34" s="7">
        <f t="shared" si="13"/>
        <v>0.24048341651907904</v>
      </c>
      <c r="K34" s="2"/>
      <c r="L34" s="6">
        <f t="shared" si="14"/>
        <v>-3710.7699999999995</v>
      </c>
      <c r="M34" s="2"/>
      <c r="N34" s="7">
        <f t="shared" si="15"/>
        <v>-0.62109407036824404</v>
      </c>
      <c r="O34" s="11"/>
      <c r="P34" s="6">
        <v>6191.78</v>
      </c>
      <c r="Q34" s="2"/>
      <c r="R34" s="7">
        <f t="shared" si="16"/>
        <v>1.6750113619148615E-2</v>
      </c>
      <c r="S34" s="2"/>
      <c r="T34" s="6">
        <v>22619.5</v>
      </c>
      <c r="U34" s="2"/>
      <c r="V34" s="7">
        <f t="shared" si="17"/>
        <v>0.11802812491846905</v>
      </c>
      <c r="W34" s="2"/>
      <c r="X34" s="6">
        <f t="shared" si="18"/>
        <v>-16427.72</v>
      </c>
      <c r="Y34" s="2"/>
      <c r="Z34" s="7">
        <f t="shared" si="19"/>
        <v>-0.72626362209597917</v>
      </c>
    </row>
    <row r="35" spans="1:26" s="24" customFormat="1" hidden="1" outlineLevel="2" x14ac:dyDescent="0.25">
      <c r="A35" s="25"/>
      <c r="B35" s="11" t="str">
        <f>CONCATENATE("          ", "6008", " - ", "STUDENT HOURLY-FICA EXEMPT")</f>
        <v xml:space="preserve">          6008 - STUDENT HOURLY-FICA EXEMPT</v>
      </c>
      <c r="C35" s="11"/>
      <c r="D35" s="6">
        <v>590.79999999999995</v>
      </c>
      <c r="E35" s="2"/>
      <c r="F35" s="7">
        <f t="shared" si="12"/>
        <v>1.7384651600753295E-2</v>
      </c>
      <c r="G35" s="2"/>
      <c r="H35" s="6">
        <v>248.5</v>
      </c>
      <c r="I35" s="2"/>
      <c r="J35" s="7">
        <f t="shared" si="13"/>
        <v>1.0002415070037031E-2</v>
      </c>
      <c r="K35" s="2"/>
      <c r="L35" s="6">
        <f t="shared" si="14"/>
        <v>342.29999999999995</v>
      </c>
      <c r="M35" s="2"/>
      <c r="N35" s="7">
        <f t="shared" si="15"/>
        <v>1.3774647887323941</v>
      </c>
      <c r="O35" s="11"/>
      <c r="P35" s="6">
        <v>3363.36</v>
      </c>
      <c r="Q35" s="2"/>
      <c r="R35" s="7">
        <f t="shared" si="16"/>
        <v>9.0986214209968184E-3</v>
      </c>
      <c r="S35" s="2"/>
      <c r="T35" s="6">
        <v>4197.83</v>
      </c>
      <c r="U35" s="2"/>
      <c r="V35" s="7">
        <f t="shared" si="17"/>
        <v>2.1904197865845704E-2</v>
      </c>
      <c r="W35" s="2"/>
      <c r="X35" s="6">
        <f t="shared" si="18"/>
        <v>-834.4699999999998</v>
      </c>
      <c r="Y35" s="2"/>
      <c r="Z35" s="7">
        <f t="shared" si="19"/>
        <v>-0.1987860394537177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0</v>
      </c>
      <c r="I36" s="1"/>
      <c r="J36" s="5">
        <f t="shared" ref="J36:J44" si="21">IF(H$12=0,0,H36/H$12)</f>
        <v>0</v>
      </c>
      <c r="K36" s="1"/>
      <c r="L36" s="1">
        <f t="shared" ref="L36:L44" si="22">+D36-H36</f>
        <v>0</v>
      </c>
      <c r="M36" s="1"/>
      <c r="N36" s="5">
        <f t="shared" ref="N36:N44" si="23">IF(H36=0,0,L36/H36)</f>
        <v>0</v>
      </c>
      <c r="O36" s="13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106.77</v>
      </c>
      <c r="U36" s="1"/>
      <c r="V36" s="5">
        <f t="shared" ref="V36:V44" si="25">IF(T$12=0,0,T36/T$12)</f>
        <v>5.5712384878290591E-4</v>
      </c>
      <c r="W36" s="1"/>
      <c r="X36" s="1">
        <f t="shared" ref="X36:X44" si="26">+P36-T36</f>
        <v>-106.77</v>
      </c>
      <c r="Y36" s="1"/>
      <c r="Z36" s="5">
        <f t="shared" ref="Z36:Z44" si="27">IF(T36=0,0,X36/T36)</f>
        <v>-1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106.77</v>
      </c>
      <c r="U37" s="2"/>
      <c r="V37" s="7">
        <f t="shared" si="25"/>
        <v>5.5712384878290591E-4</v>
      </c>
      <c r="W37" s="2"/>
      <c r="X37" s="6">
        <f t="shared" si="26"/>
        <v>-106.77</v>
      </c>
      <c r="Y37" s="2"/>
      <c r="Z37" s="7">
        <f t="shared" si="27"/>
        <v>-1</v>
      </c>
    </row>
    <row r="38" spans="1:26" s="26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51.31</v>
      </c>
      <c r="E38" s="1"/>
      <c r="F38" s="5">
        <f t="shared" si="20"/>
        <v>1.5098281544256122E-3</v>
      </c>
      <c r="G38" s="1"/>
      <c r="H38" s="1">
        <f>SUM(OSRRefH22_3x_0)</f>
        <v>1723.63</v>
      </c>
      <c r="I38" s="1"/>
      <c r="J38" s="5">
        <f t="shared" si="21"/>
        <v>6.9378119465464502E-2</v>
      </c>
      <c r="K38" s="1"/>
      <c r="L38" s="1">
        <f t="shared" si="22"/>
        <v>-1672.3200000000002</v>
      </c>
      <c r="M38" s="1"/>
      <c r="N38" s="5">
        <f t="shared" si="23"/>
        <v>-0.97023143017933089</v>
      </c>
      <c r="O38" s="13"/>
      <c r="P38" s="1">
        <f>SUM(OSRRefP22_3x_0)</f>
        <v>670.89</v>
      </c>
      <c r="Q38" s="1"/>
      <c r="R38" s="5">
        <f t="shared" si="24"/>
        <v>1.8149035860367476E-3</v>
      </c>
      <c r="S38" s="1"/>
      <c r="T38" s="1">
        <f>SUM(OSRRefT22_3x_0)</f>
        <v>14279.63</v>
      </c>
      <c r="U38" s="1"/>
      <c r="V38" s="5">
        <f t="shared" si="25"/>
        <v>7.4510840355866317E-2</v>
      </c>
      <c r="W38" s="1"/>
      <c r="X38" s="1">
        <f t="shared" si="26"/>
        <v>-13608.74</v>
      </c>
      <c r="Y38" s="1"/>
      <c r="Z38" s="5">
        <f t="shared" si="27"/>
        <v>-0.95301769023427085</v>
      </c>
    </row>
    <row r="39" spans="1:26" s="24" customFormat="1" hidden="1" outlineLevel="2" x14ac:dyDescent="0.25">
      <c r="A39" s="25"/>
      <c r="B39" s="11" t="str">
        <f>CONCATENATE("          ", "6381", " - ", "BANK/CREDIT CARD FEES")</f>
        <v xml:space="preserve">          6381 - BANK/CREDIT CARD FEES</v>
      </c>
      <c r="C39" s="11"/>
      <c r="D39" s="6">
        <v>51.31</v>
      </c>
      <c r="E39" s="2"/>
      <c r="F39" s="7">
        <f t="shared" si="20"/>
        <v>1.5098281544256122E-3</v>
      </c>
      <c r="G39" s="2"/>
      <c r="H39" s="6">
        <v>1723.63</v>
      </c>
      <c r="I39" s="2"/>
      <c r="J39" s="7">
        <f t="shared" si="21"/>
        <v>6.9378119465464502E-2</v>
      </c>
      <c r="K39" s="2"/>
      <c r="L39" s="6">
        <f t="shared" si="22"/>
        <v>-1672.3200000000002</v>
      </c>
      <c r="M39" s="2"/>
      <c r="N39" s="7">
        <f t="shared" si="23"/>
        <v>-0.97023143017933089</v>
      </c>
      <c r="O39" s="11"/>
      <c r="P39" s="6">
        <v>670.89</v>
      </c>
      <c r="Q39" s="2"/>
      <c r="R39" s="7">
        <f t="shared" si="24"/>
        <v>1.8149035860367476E-3</v>
      </c>
      <c r="S39" s="2"/>
      <c r="T39" s="6">
        <v>14279.63</v>
      </c>
      <c r="U39" s="2"/>
      <c r="V39" s="7">
        <f t="shared" si="25"/>
        <v>7.4510840355866317E-2</v>
      </c>
      <c r="W39" s="2"/>
      <c r="X39" s="6">
        <f t="shared" si="26"/>
        <v>-13608.74</v>
      </c>
      <c r="Y39" s="2"/>
      <c r="Z39" s="7">
        <f t="shared" si="27"/>
        <v>-0.95301769023427085</v>
      </c>
    </row>
    <row r="40" spans="1:26" s="26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3.3520310991677318E-4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4" customFormat="1" hidden="1" outlineLevel="2" x14ac:dyDescent="0.25">
      <c r="A41" s="25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64.239999999999995</v>
      </c>
      <c r="U41" s="2"/>
      <c r="V41" s="7">
        <f t="shared" si="25"/>
        <v>3.3520310991677318E-4</v>
      </c>
      <c r="W41" s="2"/>
      <c r="X41" s="6">
        <f t="shared" si="26"/>
        <v>-64.239999999999995</v>
      </c>
      <c r="Y41" s="2"/>
      <c r="Z41" s="7">
        <f t="shared" si="27"/>
        <v>-1</v>
      </c>
    </row>
    <row r="42" spans="1:26" s="26" customFormat="1" outlineLevel="1" collapsed="1" x14ac:dyDescent="0.25">
      <c r="A42" s="27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3"/>
      <c r="P42" s="1">
        <f>SUM(OSRRefP22_5x_0)</f>
        <v>2.12</v>
      </c>
      <c r="Q42" s="1"/>
      <c r="R42" s="5">
        <f t="shared" si="24"/>
        <v>5.7350617871751037E-6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4" customFormat="1" hidden="1" outlineLevel="2" x14ac:dyDescent="0.25">
      <c r="A43" s="25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1.62</v>
      </c>
      <c r="Q43" s="2"/>
      <c r="R43" s="7">
        <f t="shared" si="24"/>
        <v>4.3824528751055041E-6</v>
      </c>
      <c r="S43" s="2"/>
      <c r="T43" s="6"/>
      <c r="U43" s="2"/>
      <c r="V43" s="7">
        <f t="shared" si="25"/>
        <v>0</v>
      </c>
      <c r="W43" s="2"/>
      <c r="X43" s="6">
        <f t="shared" si="26"/>
        <v>1.62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>
        <v>0.5</v>
      </c>
      <c r="Q44" s="2"/>
      <c r="R44" s="7">
        <f t="shared" si="24"/>
        <v>1.3526089120695998E-6</v>
      </c>
      <c r="S44" s="2"/>
      <c r="T44" s="6"/>
      <c r="U44" s="2"/>
      <c r="V44" s="7">
        <f t="shared" si="25"/>
        <v>0</v>
      </c>
      <c r="W44" s="2"/>
      <c r="X44" s="6">
        <f t="shared" si="26"/>
        <v>0.5</v>
      </c>
      <c r="Y44" s="2"/>
      <c r="Z44" s="7">
        <f t="shared" si="27"/>
        <v>0</v>
      </c>
    </row>
    <row r="45" spans="1:26" s="26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ref="F45:F54" si="28">IF(D$12=0,0,D45/D$12)</f>
        <v>0</v>
      </c>
      <c r="G45" s="1"/>
      <c r="H45" s="1">
        <f>SUM(OSRRefH22_6x_0)</f>
        <v>47.34</v>
      </c>
      <c r="I45" s="1"/>
      <c r="J45" s="5">
        <f t="shared" ref="J45:J54" si="29">IF(H$12=0,0,H45/H$12)</f>
        <v>1.9054902592175174E-3</v>
      </c>
      <c r="K45" s="1"/>
      <c r="L45" s="1">
        <f t="shared" ref="L45:L54" si="30">+D45-H45</f>
        <v>-47.34</v>
      </c>
      <c r="M45" s="1"/>
      <c r="N45" s="5">
        <f t="shared" ref="N45:N54" si="31">IF(H45=0,0,L45/H45)</f>
        <v>-1</v>
      </c>
      <c r="O45" s="13"/>
      <c r="P45" s="1">
        <f>SUM(OSRRefP22_6x_0)</f>
        <v>0</v>
      </c>
      <c r="Q45" s="1"/>
      <c r="R45" s="5">
        <f t="shared" ref="R45:R54" si="32">IF(P$12=0,0,P45/P$12)</f>
        <v>0</v>
      </c>
      <c r="S45" s="1"/>
      <c r="T45" s="1">
        <f>SUM(OSRRefT22_6x_0)</f>
        <v>47.34</v>
      </c>
      <c r="U45" s="1"/>
      <c r="V45" s="5">
        <f t="shared" ref="V45:V54" si="33">IF(T$12=0,0,T45/T$12)</f>
        <v>2.4701922826058601E-4</v>
      </c>
      <c r="W45" s="1"/>
      <c r="X45" s="1">
        <f t="shared" ref="X45:X54" si="34">+P45-T45</f>
        <v>-47.34</v>
      </c>
      <c r="Y45" s="1"/>
      <c r="Z45" s="5">
        <f t="shared" ref="Z45:Z54" si="35">IF(T45=0,0,X45/T45)</f>
        <v>-1</v>
      </c>
    </row>
    <row r="46" spans="1:26" s="24" customFormat="1" hidden="1" outlineLevel="2" x14ac:dyDescent="0.25">
      <c r="A46" s="25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28"/>
        <v>0</v>
      </c>
      <c r="G46" s="2"/>
      <c r="H46" s="6">
        <v>47.34</v>
      </c>
      <c r="I46" s="2"/>
      <c r="J46" s="7">
        <f t="shared" si="29"/>
        <v>1.9054902592175174E-3</v>
      </c>
      <c r="K46" s="2"/>
      <c r="L46" s="6">
        <f t="shared" si="30"/>
        <v>-47.34</v>
      </c>
      <c r="M46" s="2"/>
      <c r="N46" s="7">
        <f t="shared" si="31"/>
        <v>-1</v>
      </c>
      <c r="O46" s="11"/>
      <c r="P46" s="6"/>
      <c r="Q46" s="2"/>
      <c r="R46" s="7">
        <f t="shared" si="32"/>
        <v>0</v>
      </c>
      <c r="S46" s="2"/>
      <c r="T46" s="6">
        <v>47.34</v>
      </c>
      <c r="U46" s="2"/>
      <c r="V46" s="7">
        <f t="shared" si="33"/>
        <v>2.4701922826058601E-4</v>
      </c>
      <c r="W46" s="2"/>
      <c r="X46" s="6">
        <f t="shared" si="34"/>
        <v>-47.34</v>
      </c>
      <c r="Y46" s="2"/>
      <c r="Z46" s="7">
        <f t="shared" si="35"/>
        <v>-1</v>
      </c>
    </row>
    <row r="47" spans="1:26" s="26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SUM(OSRRefD22_7x_0)</f>
        <v>29.01</v>
      </c>
      <c r="E47" s="1"/>
      <c r="F47" s="5">
        <f t="shared" si="28"/>
        <v>8.5363700564971754E-4</v>
      </c>
      <c r="G47" s="1"/>
      <c r="H47" s="1">
        <f>SUM(OSRRefH22_7x_0)</f>
        <v>29.01</v>
      </c>
      <c r="I47" s="1"/>
      <c r="J47" s="5">
        <f t="shared" si="29"/>
        <v>1.1676863629045244E-3</v>
      </c>
      <c r="K47" s="1"/>
      <c r="L47" s="1">
        <f t="shared" si="30"/>
        <v>0</v>
      </c>
      <c r="M47" s="1"/>
      <c r="N47" s="5">
        <f t="shared" si="31"/>
        <v>0</v>
      </c>
      <c r="O47" s="13"/>
      <c r="P47" s="1">
        <f>SUM(OSRRefP22_7x_0)</f>
        <v>203.07</v>
      </c>
      <c r="Q47" s="1"/>
      <c r="R47" s="5">
        <f t="shared" si="32"/>
        <v>5.4934858354794723E-4</v>
      </c>
      <c r="S47" s="1"/>
      <c r="T47" s="1">
        <f>SUM(OSRRefT22_7x_0)</f>
        <v>203.07</v>
      </c>
      <c r="U47" s="1"/>
      <c r="V47" s="5">
        <f t="shared" si="33"/>
        <v>1.0596154347882803E-3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5"/>
      <c r="B48" s="11" t="str">
        <f>CONCATENATE("          ", "6314", " - ", "LIABILITY INSURANCE")</f>
        <v xml:space="preserve">          6314 - LIABILITY INSURANCE</v>
      </c>
      <c r="C48" s="11"/>
      <c r="D48" s="6">
        <v>29.01</v>
      </c>
      <c r="E48" s="2"/>
      <c r="F48" s="7">
        <f t="shared" si="28"/>
        <v>8.5363700564971754E-4</v>
      </c>
      <c r="G48" s="2"/>
      <c r="H48" s="6">
        <v>29.01</v>
      </c>
      <c r="I48" s="2"/>
      <c r="J48" s="7">
        <f t="shared" si="29"/>
        <v>1.1676863629045244E-3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>
        <v>203.07</v>
      </c>
      <c r="Q48" s="2"/>
      <c r="R48" s="7">
        <f t="shared" si="32"/>
        <v>5.4934858354794723E-4</v>
      </c>
      <c r="S48" s="2"/>
      <c r="T48" s="6">
        <v>203.07</v>
      </c>
      <c r="U48" s="2"/>
      <c r="V48" s="7">
        <f t="shared" si="33"/>
        <v>1.0596154347882803E-3</v>
      </c>
      <c r="W48" s="2"/>
      <c r="X48" s="6">
        <f t="shared" si="34"/>
        <v>0</v>
      </c>
      <c r="Y48" s="2"/>
      <c r="Z48" s="7">
        <f t="shared" si="35"/>
        <v>0</v>
      </c>
    </row>
    <row r="49" spans="1:26" s="26" customFormat="1" outlineLevel="1" collapsed="1" x14ac:dyDescent="0.25">
      <c r="A49" s="27"/>
      <c r="B49" s="13" t="str">
        <f>CONCATENATE("     ","Rent                                              ")</f>
        <v xml:space="preserve">     Rent                                              </v>
      </c>
      <c r="C49" s="13"/>
      <c r="D49" s="1">
        <f>SUM(OSRRefD22_8x_0)</f>
        <v>800</v>
      </c>
      <c r="E49" s="1"/>
      <c r="F49" s="5">
        <f t="shared" si="28"/>
        <v>2.3540489642184557E-2</v>
      </c>
      <c r="G49" s="1"/>
      <c r="H49" s="1">
        <f>SUM(OSRRefH22_8x_0)</f>
        <v>-800</v>
      </c>
      <c r="I49" s="1"/>
      <c r="J49" s="5">
        <f t="shared" si="29"/>
        <v>-3.2200933827080988E-2</v>
      </c>
      <c r="K49" s="1"/>
      <c r="L49" s="1">
        <f t="shared" si="30"/>
        <v>1600</v>
      </c>
      <c r="M49" s="1"/>
      <c r="N49" s="5">
        <f t="shared" si="31"/>
        <v>-2</v>
      </c>
      <c r="O49" s="13"/>
      <c r="P49" s="1">
        <f>SUM(OSRRefP22_8x_0)</f>
        <v>5600</v>
      </c>
      <c r="Q49" s="1"/>
      <c r="R49" s="5">
        <f t="shared" si="32"/>
        <v>1.5149219815179518E-2</v>
      </c>
      <c r="S49" s="1"/>
      <c r="T49" s="1">
        <f>SUM(OSRRefT22_8x_0)</f>
        <v>4000</v>
      </c>
      <c r="U49" s="1"/>
      <c r="V49" s="5">
        <f t="shared" si="33"/>
        <v>2.0871924652352006E-2</v>
      </c>
      <c r="W49" s="1"/>
      <c r="X49" s="1">
        <f t="shared" si="34"/>
        <v>1600</v>
      </c>
      <c r="Y49" s="1"/>
      <c r="Z49" s="5">
        <f t="shared" si="35"/>
        <v>0.4</v>
      </c>
    </row>
    <row r="50" spans="1:26" s="24" customFormat="1" hidden="1" outlineLevel="2" x14ac:dyDescent="0.25">
      <c r="A50" s="25"/>
      <c r="B50" s="11" t="str">
        <f>CONCATENATE("          ", "6273", " - ", "RENT")</f>
        <v xml:space="preserve">          6273 - RENT</v>
      </c>
      <c r="C50" s="11"/>
      <c r="D50" s="6">
        <v>800</v>
      </c>
      <c r="E50" s="2"/>
      <c r="F50" s="7">
        <f t="shared" si="28"/>
        <v>2.3540489642184557E-2</v>
      </c>
      <c r="G50" s="2"/>
      <c r="H50" s="6">
        <v>-800</v>
      </c>
      <c r="I50" s="2"/>
      <c r="J50" s="7">
        <f t="shared" si="29"/>
        <v>-3.2200933827080988E-2</v>
      </c>
      <c r="K50" s="2"/>
      <c r="L50" s="6">
        <f t="shared" si="30"/>
        <v>1600</v>
      </c>
      <c r="M50" s="2"/>
      <c r="N50" s="7">
        <f t="shared" si="31"/>
        <v>-2</v>
      </c>
      <c r="O50" s="11"/>
      <c r="P50" s="6">
        <v>5600</v>
      </c>
      <c r="Q50" s="2"/>
      <c r="R50" s="7">
        <f t="shared" si="32"/>
        <v>1.5149219815179518E-2</v>
      </c>
      <c r="S50" s="2"/>
      <c r="T50" s="6">
        <v>4000</v>
      </c>
      <c r="U50" s="2"/>
      <c r="V50" s="7">
        <f t="shared" si="33"/>
        <v>2.0871924652352006E-2</v>
      </c>
      <c r="W50" s="2"/>
      <c r="X50" s="6">
        <f t="shared" si="34"/>
        <v>1600</v>
      </c>
      <c r="Y50" s="2"/>
      <c r="Z50" s="7">
        <f t="shared" si="35"/>
        <v>0.4</v>
      </c>
    </row>
    <row r="51" spans="1:26" s="26" customFormat="1" outlineLevel="1" collapsed="1" x14ac:dyDescent="0.25">
      <c r="A51" s="27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SUM(OSRRefD22_9x_0)</f>
        <v>0</v>
      </c>
      <c r="E51" s="1"/>
      <c r="F51" s="5">
        <f t="shared" si="28"/>
        <v>0</v>
      </c>
      <c r="G51" s="1"/>
      <c r="H51" s="1">
        <f>SUM(OSRRefH22_9x_0)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SUM(OSRRefP22_9x_0)</f>
        <v>126914.90000000001</v>
      </c>
      <c r="Q51" s="1"/>
      <c r="R51" s="5">
        <f t="shared" si="32"/>
        <v>0.34333244962884413</v>
      </c>
      <c r="S51" s="1"/>
      <c r="T51" s="1">
        <f>SUM(OSRRefT22_9x_0)</f>
        <v>749.96</v>
      </c>
      <c r="U51" s="1"/>
      <c r="V51" s="5">
        <f t="shared" si="33"/>
        <v>3.9132771530694778E-3</v>
      </c>
      <c r="W51" s="1"/>
      <c r="X51" s="1">
        <f t="shared" si="34"/>
        <v>126164.94</v>
      </c>
      <c r="Y51" s="1"/>
      <c r="Z51" s="5">
        <f t="shared" si="35"/>
        <v>168.22889220758441</v>
      </c>
    </row>
    <row r="52" spans="1:26" s="24" customFormat="1" hidden="1" outlineLevel="2" x14ac:dyDescent="0.25">
      <c r="A52" s="25"/>
      <c r="B52" s="11" t="str">
        <f>CONCATENATE("          ", "6371", " - ", "COMPUTER SOFTWARE MAINTENANCE")</f>
        <v xml:space="preserve">          6371 - COMPUTER SOFTWARE MAINTENANCE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/>
      <c r="Q52" s="2"/>
      <c r="R52" s="7">
        <f t="shared" si="32"/>
        <v>0</v>
      </c>
      <c r="S52" s="2"/>
      <c r="T52" s="6">
        <v>437.31</v>
      </c>
      <c r="U52" s="2"/>
      <c r="V52" s="7">
        <f t="shared" si="33"/>
        <v>2.2818753424300136E-3</v>
      </c>
      <c r="W52" s="2"/>
      <c r="X52" s="6">
        <f t="shared" si="34"/>
        <v>-437.31</v>
      </c>
      <c r="Y52" s="2"/>
      <c r="Z52" s="7">
        <f t="shared" si="35"/>
        <v>-1</v>
      </c>
    </row>
    <row r="53" spans="1:26" s="24" customFormat="1" hidden="1" outlineLevel="2" x14ac:dyDescent="0.25">
      <c r="A53" s="25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>
        <v>120352.90000000001</v>
      </c>
      <c r="Q53" s="2"/>
      <c r="R53" s="7">
        <f t="shared" si="32"/>
        <v>0.32558081026684271</v>
      </c>
      <c r="S53" s="2"/>
      <c r="T53" s="6"/>
      <c r="U53" s="2"/>
      <c r="V53" s="7">
        <f t="shared" si="33"/>
        <v>0</v>
      </c>
      <c r="W53" s="2"/>
      <c r="X53" s="6">
        <f t="shared" si="34"/>
        <v>120352.90000000001</v>
      </c>
      <c r="Y53" s="2"/>
      <c r="Z53" s="7">
        <f t="shared" si="35"/>
        <v>0</v>
      </c>
    </row>
    <row r="54" spans="1:26" s="24" customFormat="1" hidden="1" outlineLevel="2" x14ac:dyDescent="0.25">
      <c r="A54" s="25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6562</v>
      </c>
      <c r="Q54" s="2"/>
      <c r="R54" s="7">
        <f t="shared" si="32"/>
        <v>1.7751639362001428E-2</v>
      </c>
      <c r="S54" s="2"/>
      <c r="T54" s="6">
        <v>312.64999999999998</v>
      </c>
      <c r="U54" s="2"/>
      <c r="V54" s="7">
        <f t="shared" si="33"/>
        <v>1.6314018106394635E-3</v>
      </c>
      <c r="W54" s="2"/>
      <c r="X54" s="6">
        <f t="shared" si="34"/>
        <v>6249.35</v>
      </c>
      <c r="Y54" s="2"/>
      <c r="Z54" s="7">
        <f t="shared" si="35"/>
        <v>19.988325603710223</v>
      </c>
    </row>
    <row r="55" spans="1:26" s="26" customFormat="1" outlineLevel="1" collapsed="1" x14ac:dyDescent="0.25">
      <c r="A55" s="27"/>
      <c r="B55" s="13" t="str">
        <f>CONCATENATE("     ","Subscriptions &amp; Dues                              ")</f>
        <v xml:space="preserve">     Subscriptions &amp; Dues                              </v>
      </c>
      <c r="C55" s="13"/>
      <c r="D55" s="1">
        <f>SUM(OSRRefD22_10x_0)</f>
        <v>0</v>
      </c>
      <c r="E55" s="1"/>
      <c r="F55" s="5">
        <f t="shared" ref="F55:F60" si="36">IF(D$12=0,0,D55/D$12)</f>
        <v>0</v>
      </c>
      <c r="G55" s="1"/>
      <c r="H55" s="1">
        <f>SUM(OSRRefH22_10x_0)</f>
        <v>825</v>
      </c>
      <c r="I55" s="1"/>
      <c r="J55" s="5">
        <f t="shared" ref="J55:J60" si="37">IF(H$12=0,0,H55/H$12)</f>
        <v>3.3207213009177269E-2</v>
      </c>
      <c r="K55" s="1"/>
      <c r="L55" s="1">
        <f t="shared" ref="L55:L60" si="38">+D55-H55</f>
        <v>-825</v>
      </c>
      <c r="M55" s="1"/>
      <c r="N55" s="5">
        <f t="shared" ref="N55:N60" si="39">IF(H55=0,0,L55/H55)</f>
        <v>-1</v>
      </c>
      <c r="O55" s="13"/>
      <c r="P55" s="1">
        <f>SUM(OSRRefP22_10x_0)</f>
        <v>0</v>
      </c>
      <c r="Q55" s="1"/>
      <c r="R55" s="5">
        <f t="shared" ref="R55:R60" si="40">IF(P$12=0,0,P55/P$12)</f>
        <v>0</v>
      </c>
      <c r="S55" s="1"/>
      <c r="T55" s="1">
        <f>SUM(OSRRefT22_10x_0)</f>
        <v>825</v>
      </c>
      <c r="U55" s="1"/>
      <c r="V55" s="5">
        <f t="shared" ref="V55:V60" si="41">IF(T$12=0,0,T55/T$12)</f>
        <v>4.3048344595476009E-3</v>
      </c>
      <c r="W55" s="1"/>
      <c r="X55" s="1">
        <f t="shared" ref="X55:X60" si="42">+P55-T55</f>
        <v>-825</v>
      </c>
      <c r="Y55" s="1"/>
      <c r="Z55" s="5">
        <f t="shared" ref="Z55:Z60" si="43">IF(T55=0,0,X55/T55)</f>
        <v>-1</v>
      </c>
    </row>
    <row r="56" spans="1:26" s="24" customFormat="1" hidden="1" outlineLevel="2" x14ac:dyDescent="0.25">
      <c r="A56" s="25"/>
      <c r="B56" s="11" t="str">
        <f>CONCATENATE("          ", "6258", " - ", "MEMBERSHIP DUES")</f>
        <v xml:space="preserve">          6258 - MEMBERSHIP DUES</v>
      </c>
      <c r="C56" s="11"/>
      <c r="D56" s="6"/>
      <c r="E56" s="2"/>
      <c r="F56" s="7">
        <f t="shared" si="36"/>
        <v>0</v>
      </c>
      <c r="G56" s="2"/>
      <c r="H56" s="6">
        <v>825</v>
      </c>
      <c r="I56" s="2"/>
      <c r="J56" s="7">
        <f t="shared" si="37"/>
        <v>3.3207213009177269E-2</v>
      </c>
      <c r="K56" s="2"/>
      <c r="L56" s="6">
        <f t="shared" si="38"/>
        <v>-825</v>
      </c>
      <c r="M56" s="2"/>
      <c r="N56" s="7">
        <f t="shared" si="39"/>
        <v>-1</v>
      </c>
      <c r="O56" s="11"/>
      <c r="P56" s="6"/>
      <c r="Q56" s="2"/>
      <c r="R56" s="7">
        <f t="shared" si="40"/>
        <v>0</v>
      </c>
      <c r="S56" s="2"/>
      <c r="T56" s="6">
        <v>825</v>
      </c>
      <c r="U56" s="2"/>
      <c r="V56" s="7">
        <f t="shared" si="41"/>
        <v>4.3048344595476009E-3</v>
      </c>
      <c r="W56" s="2"/>
      <c r="X56" s="6">
        <f t="shared" si="42"/>
        <v>-825</v>
      </c>
      <c r="Y56" s="2"/>
      <c r="Z56" s="7">
        <f t="shared" si="43"/>
        <v>-1</v>
      </c>
    </row>
    <row r="57" spans="1:26" s="26" customFormat="1" outlineLevel="1" collapsed="1" x14ac:dyDescent="0.25">
      <c r="A57" s="27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SUM(OSRRefD22_11x_0)</f>
        <v>774.92</v>
      </c>
      <c r="E57" s="1"/>
      <c r="F57" s="5">
        <f t="shared" si="36"/>
        <v>2.2802495291902071E-2</v>
      </c>
      <c r="G57" s="1"/>
      <c r="H57" s="1">
        <f>SUM(OSRRefH22_11x_0)</f>
        <v>93.69</v>
      </c>
      <c r="I57" s="1"/>
      <c r="J57" s="5">
        <f t="shared" si="37"/>
        <v>3.7711318628240219E-3</v>
      </c>
      <c r="K57" s="1"/>
      <c r="L57" s="1">
        <f t="shared" si="38"/>
        <v>681.23</v>
      </c>
      <c r="M57" s="1"/>
      <c r="N57" s="5">
        <f t="shared" si="39"/>
        <v>7.2711068417120295</v>
      </c>
      <c r="O57" s="13"/>
      <c r="P57" s="1">
        <f>SUM(OSRRefP22_11x_0)</f>
        <v>42046.62</v>
      </c>
      <c r="Q57" s="1"/>
      <c r="R57" s="5">
        <f t="shared" si="40"/>
        <v>0.11374526586880776</v>
      </c>
      <c r="S57" s="1"/>
      <c r="T57" s="1">
        <f>SUM(OSRRefT22_11x_0)</f>
        <v>18654.350000000002</v>
      </c>
      <c r="U57" s="1"/>
      <c r="V57" s="5">
        <f t="shared" si="41"/>
        <v>9.7338046909650672E-2</v>
      </c>
      <c r="W57" s="1"/>
      <c r="X57" s="1">
        <f t="shared" si="42"/>
        <v>23392.27</v>
      </c>
      <c r="Y57" s="1"/>
      <c r="Z57" s="5">
        <f t="shared" si="43"/>
        <v>1.2539847274228262</v>
      </c>
    </row>
    <row r="58" spans="1:26" s="24" customFormat="1" hidden="1" outlineLevel="2" x14ac:dyDescent="0.25">
      <c r="A58" s="25"/>
      <c r="B58" s="11" t="str">
        <f>CONCATENATE("          ", "6234", " - ", "EXPENDABLE SUPPLIES &amp; EQUIPMEN")</f>
        <v xml:space="preserve">          6234 - EXPENDABLE SUPPLIES &amp; EQUIPMEN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/>
      <c r="Q58" s="2"/>
      <c r="R58" s="7">
        <f t="shared" si="40"/>
        <v>0</v>
      </c>
      <c r="S58" s="2"/>
      <c r="T58" s="6">
        <v>413.27</v>
      </c>
      <c r="U58" s="2"/>
      <c r="V58" s="7">
        <f t="shared" si="41"/>
        <v>2.1564350752693784E-3</v>
      </c>
      <c r="W58" s="2"/>
      <c r="X58" s="6">
        <f t="shared" si="42"/>
        <v>-413.27</v>
      </c>
      <c r="Y58" s="2"/>
      <c r="Z58" s="7">
        <f t="shared" si="43"/>
        <v>-1</v>
      </c>
    </row>
    <row r="59" spans="1:26" s="24" customFormat="1" hidden="1" outlineLevel="2" x14ac:dyDescent="0.25">
      <c r="A59" s="25"/>
      <c r="B59" s="11" t="str">
        <f>CONCATENATE("          ", "6241", " - ", "OFFICE EXPENSE")</f>
        <v xml:space="preserve">          6241 - OFFICE EXPENSE</v>
      </c>
      <c r="C59" s="11"/>
      <c r="D59" s="6">
        <v>774.92</v>
      </c>
      <c r="E59" s="2"/>
      <c r="F59" s="7">
        <f t="shared" si="36"/>
        <v>2.2802495291902071E-2</v>
      </c>
      <c r="G59" s="2"/>
      <c r="H59" s="6">
        <v>11</v>
      </c>
      <c r="I59" s="2"/>
      <c r="J59" s="7">
        <f t="shared" si="37"/>
        <v>4.4276284012236352E-4</v>
      </c>
      <c r="K59" s="2"/>
      <c r="L59" s="6">
        <f t="shared" si="38"/>
        <v>763.92</v>
      </c>
      <c r="M59" s="2"/>
      <c r="N59" s="7">
        <f t="shared" si="39"/>
        <v>69.447272727272718</v>
      </c>
      <c r="O59" s="11"/>
      <c r="P59" s="6">
        <v>42046.62</v>
      </c>
      <c r="Q59" s="2"/>
      <c r="R59" s="7">
        <f t="shared" si="40"/>
        <v>0.11374526586880776</v>
      </c>
      <c r="S59" s="2"/>
      <c r="T59" s="6">
        <v>18037.560000000001</v>
      </c>
      <c r="U59" s="2"/>
      <c r="V59" s="7">
        <f t="shared" si="41"/>
        <v>9.4119648308069612E-2</v>
      </c>
      <c r="W59" s="2"/>
      <c r="X59" s="6">
        <f t="shared" si="42"/>
        <v>24009.06</v>
      </c>
      <c r="Y59" s="2"/>
      <c r="Z59" s="7">
        <f t="shared" si="43"/>
        <v>1.3310591898239008</v>
      </c>
    </row>
    <row r="60" spans="1:26" s="24" customFormat="1" hidden="1" outlineLevel="2" x14ac:dyDescent="0.25">
      <c r="A60" s="25"/>
      <c r="B60" s="11" t="str">
        <f>CONCATENATE("          ", "6245", " - ", "PRINTING")</f>
        <v xml:space="preserve">          6245 - PRINTING</v>
      </c>
      <c r="C60" s="11"/>
      <c r="D60" s="6"/>
      <c r="E60" s="2"/>
      <c r="F60" s="7">
        <f t="shared" si="36"/>
        <v>0</v>
      </c>
      <c r="G60" s="2"/>
      <c r="H60" s="6">
        <v>82.69</v>
      </c>
      <c r="I60" s="2"/>
      <c r="J60" s="7">
        <f t="shared" si="37"/>
        <v>3.3283690227016581E-3</v>
      </c>
      <c r="K60" s="2"/>
      <c r="L60" s="6">
        <f t="shared" si="38"/>
        <v>-82.69</v>
      </c>
      <c r="M60" s="2"/>
      <c r="N60" s="7">
        <f t="shared" si="39"/>
        <v>-1</v>
      </c>
      <c r="O60" s="11"/>
      <c r="P60" s="6"/>
      <c r="Q60" s="2"/>
      <c r="R60" s="7">
        <f t="shared" si="40"/>
        <v>0</v>
      </c>
      <c r="S60" s="2"/>
      <c r="T60" s="6">
        <v>203.52</v>
      </c>
      <c r="U60" s="2"/>
      <c r="V60" s="7">
        <f t="shared" si="41"/>
        <v>1.06196352631167E-3</v>
      </c>
      <c r="W60" s="2"/>
      <c r="X60" s="6">
        <f t="shared" si="42"/>
        <v>-203.52</v>
      </c>
      <c r="Y60" s="2"/>
      <c r="Z60" s="7">
        <f t="shared" si="43"/>
        <v>-1</v>
      </c>
    </row>
    <row r="61" spans="1:26" s="26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SUM(OSRRefD22_12x_0)</f>
        <v>86.55</v>
      </c>
      <c r="E61" s="1"/>
      <c r="F61" s="5">
        <f t="shared" ref="F61:F62" si="44">IF(D$12=0,0,D61/D$12)</f>
        <v>2.5467867231638418E-3</v>
      </c>
      <c r="G61" s="1"/>
      <c r="H61" s="1">
        <f>SUM(OSRRefH22_12x_0)</f>
        <v>182.65</v>
      </c>
      <c r="I61" s="1"/>
      <c r="J61" s="5">
        <f t="shared" ref="J61:J62" si="45">IF(H$12=0,0,H61/H$12)</f>
        <v>7.3518757043954273E-3</v>
      </c>
      <c r="K61" s="1"/>
      <c r="L61" s="1">
        <f t="shared" ref="L61:L62" si="46">+D61-H61</f>
        <v>-96.100000000000009</v>
      </c>
      <c r="M61" s="1"/>
      <c r="N61" s="5">
        <f t="shared" ref="N61:N62" si="47">IF(H61=0,0,L61/H61)</f>
        <v>-0.52614289624965782</v>
      </c>
      <c r="O61" s="13"/>
      <c r="P61" s="1">
        <f>SUM(OSRRefP22_12x_0)</f>
        <v>1538.38</v>
      </c>
      <c r="Q61" s="1"/>
      <c r="R61" s="5">
        <f t="shared" ref="R61:R62" si="48">IF(P$12=0,0,P61/P$12)</f>
        <v>4.1616529962992619E-3</v>
      </c>
      <c r="S61" s="1"/>
      <c r="T61" s="1">
        <f>SUM(OSRRefT22_12x_0)</f>
        <v>1314</v>
      </c>
      <c r="U61" s="1"/>
      <c r="V61" s="5">
        <f t="shared" ref="V61:V62" si="49">IF(T$12=0,0,T61/T$12)</f>
        <v>6.8564272482976333E-3</v>
      </c>
      <c r="W61" s="1"/>
      <c r="X61" s="1">
        <f t="shared" ref="X61:X62" si="50">+P61-T61</f>
        <v>224.38000000000011</v>
      </c>
      <c r="Y61" s="1"/>
      <c r="Z61" s="5">
        <f t="shared" ref="Z61:Z62" si="51">IF(T61=0,0,X61/T61)</f>
        <v>0.17076103500761045</v>
      </c>
    </row>
    <row r="62" spans="1:26" s="24" customFormat="1" hidden="1" outlineLevel="2" x14ac:dyDescent="0.25">
      <c r="A62" s="25"/>
      <c r="B62" s="11" t="str">
        <f>CONCATENATE("          ", "6309", " - ", "TELEPHONE")</f>
        <v xml:space="preserve">          6309 - TELEPHONE</v>
      </c>
      <c r="C62" s="11"/>
      <c r="D62" s="6">
        <v>86.55</v>
      </c>
      <c r="E62" s="2"/>
      <c r="F62" s="7">
        <f t="shared" si="44"/>
        <v>2.5467867231638418E-3</v>
      </c>
      <c r="G62" s="2"/>
      <c r="H62" s="6">
        <v>182.65</v>
      </c>
      <c r="I62" s="2"/>
      <c r="J62" s="7">
        <f t="shared" si="45"/>
        <v>7.3518757043954273E-3</v>
      </c>
      <c r="K62" s="2"/>
      <c r="L62" s="6">
        <f t="shared" si="46"/>
        <v>-96.100000000000009</v>
      </c>
      <c r="M62" s="2"/>
      <c r="N62" s="7">
        <f t="shared" si="47"/>
        <v>-0.52614289624965782</v>
      </c>
      <c r="O62" s="11"/>
      <c r="P62" s="6">
        <v>1538.38</v>
      </c>
      <c r="Q62" s="2"/>
      <c r="R62" s="7">
        <f t="shared" si="48"/>
        <v>4.1616529962992619E-3</v>
      </c>
      <c r="S62" s="2"/>
      <c r="T62" s="6">
        <v>1314</v>
      </c>
      <c r="U62" s="2"/>
      <c r="V62" s="7">
        <f t="shared" si="49"/>
        <v>6.8564272482976333E-3</v>
      </c>
      <c r="W62" s="2"/>
      <c r="X62" s="6">
        <f t="shared" si="50"/>
        <v>224.38000000000011</v>
      </c>
      <c r="Y62" s="2"/>
      <c r="Z62" s="7">
        <f t="shared" si="51"/>
        <v>0.17076103500761045</v>
      </c>
    </row>
    <row r="63" spans="1:26" s="61" customFormat="1" x14ac:dyDescent="0.25">
      <c r="A63" s="37"/>
      <c r="B63" s="37"/>
      <c r="C63" s="37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collapsed="1" x14ac:dyDescent="0.25">
      <c r="A64" s="10"/>
      <c r="B64" s="29" t="s">
        <v>0</v>
      </c>
      <c r="C64" s="10"/>
      <c r="D64" s="4">
        <f>SUM(OSRRefD25x_0)</f>
        <v>237</v>
      </c>
      <c r="E64" s="4"/>
      <c r="F64" s="12">
        <f t="shared" ref="F64:F65" si="52">IF(D$12=0,0,D64/D$12)</f>
        <v>6.9738700564971751E-3</v>
      </c>
      <c r="G64" s="4"/>
      <c r="H64" s="4">
        <f>SUM(OSRRefH25x_0)</f>
        <v>3460.41</v>
      </c>
      <c r="I64" s="4"/>
      <c r="J64" s="12">
        <f t="shared" ref="J64:J65" si="53">IF(H$12=0,0,H64/H$12)</f>
        <v>0.13928554178071165</v>
      </c>
      <c r="K64" s="4"/>
      <c r="L64" s="4">
        <f t="shared" ref="L64:L65" si="54">+D64-H64</f>
        <v>-3223.41</v>
      </c>
      <c r="M64" s="4"/>
      <c r="N64" s="12">
        <f t="shared" ref="N64:N65" si="55">IF(H64=0,0,L64/H64)</f>
        <v>-0.93151100592126368</v>
      </c>
      <c r="O64" s="10"/>
      <c r="P64" s="4">
        <f>SUM(OSRRefP25x_0)</f>
        <v>1497.2</v>
      </c>
      <c r="Q64" s="4"/>
      <c r="R64" s="12">
        <f t="shared" ref="R64:R65" si="56">IF(P$12=0,0,P64/P$12)</f>
        <v>4.0502521263012098E-3</v>
      </c>
      <c r="S64" s="4"/>
      <c r="T64" s="4">
        <f>SUM(OSRRefT25x_0)</f>
        <v>17211.75</v>
      </c>
      <c r="U64" s="4"/>
      <c r="V64" s="12">
        <f t="shared" ref="V64:V65" si="57">IF(T$12=0,0,T64/T$12)</f>
        <v>8.98105872837799E-2</v>
      </c>
      <c r="W64" s="4"/>
      <c r="X64" s="4">
        <f t="shared" ref="X64:X65" si="58">+P64-T64</f>
        <v>-15714.55</v>
      </c>
      <c r="Y64" s="4"/>
      <c r="Z64" s="12">
        <f t="shared" ref="Z64:Z65" si="59">IF(T64=0,0,X64/T64)</f>
        <v>-0.91301291269045848</v>
      </c>
    </row>
    <row r="65" spans="1:26" s="24" customFormat="1" hidden="1" outlineLevel="1" x14ac:dyDescent="0.25">
      <c r="A65" s="44"/>
      <c r="B65" s="11" t="str">
        <f>CONCATENATE("          ", "9150", " - ", "MISC. INCOME")</f>
        <v xml:space="preserve">          9150 - MISC. INCOME</v>
      </c>
      <c r="C65" s="11"/>
      <c r="D65" s="2">
        <f>--237</f>
        <v>237</v>
      </c>
      <c r="E65" s="2"/>
      <c r="F65" s="19">
        <f t="shared" si="52"/>
        <v>6.9738700564971751E-3</v>
      </c>
      <c r="G65" s="2"/>
      <c r="H65" s="2">
        <f>--3460.41</f>
        <v>3460.41</v>
      </c>
      <c r="I65" s="2"/>
      <c r="J65" s="19">
        <f t="shared" si="53"/>
        <v>0.13928554178071165</v>
      </c>
      <c r="K65" s="2"/>
      <c r="L65" s="2">
        <f t="shared" si="54"/>
        <v>-3223.41</v>
      </c>
      <c r="M65" s="2"/>
      <c r="N65" s="19">
        <f t="shared" si="55"/>
        <v>-0.93151100592126368</v>
      </c>
      <c r="O65" s="11"/>
      <c r="P65" s="2">
        <f>--1497.2</f>
        <v>1497.2</v>
      </c>
      <c r="Q65" s="2"/>
      <c r="R65" s="19">
        <f t="shared" si="56"/>
        <v>4.0502521263012098E-3</v>
      </c>
      <c r="S65" s="2"/>
      <c r="T65" s="2">
        <f>--17211.75</f>
        <v>17211.75</v>
      </c>
      <c r="U65" s="2"/>
      <c r="V65" s="19">
        <f t="shared" si="57"/>
        <v>8.98105872837799E-2</v>
      </c>
      <c r="W65" s="2"/>
      <c r="X65" s="2">
        <f t="shared" si="58"/>
        <v>-15714.55</v>
      </c>
      <c r="Y65" s="2"/>
      <c r="Z65" s="19">
        <f t="shared" si="59"/>
        <v>-0.91301291269045848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8" t="s">
        <v>3</v>
      </c>
      <c r="C67" s="28"/>
      <c r="D67" s="20">
        <f>+D17-D19+D64</f>
        <v>10869.900000000005</v>
      </c>
      <c r="E67" s="14"/>
      <c r="F67" s="22">
        <f>IF(D$12=0,0,D67/D$12)</f>
        <v>0.31985346045197754</v>
      </c>
      <c r="G67" s="14"/>
      <c r="H67" s="20">
        <f>+H17-H19+H64</f>
        <v>2655.25</v>
      </c>
      <c r="I67" s="14"/>
      <c r="J67" s="22">
        <f>IF(H$12=0,0,H67/H$12)</f>
        <v>0.10687691193044599</v>
      </c>
      <c r="K67" s="15"/>
      <c r="L67" s="20">
        <f>+D67-H67</f>
        <v>8214.6500000000051</v>
      </c>
      <c r="M67" s="15"/>
      <c r="N67" s="22">
        <f>IF(H67=0,0,L67/H67)</f>
        <v>3.0937388193202167</v>
      </c>
      <c r="O67" s="29"/>
      <c r="P67" s="20">
        <f>+P17-P19+P64</f>
        <v>62106.910000000018</v>
      </c>
      <c r="Q67" s="14"/>
      <c r="R67" s="22">
        <f>IF(P$12=0,0,P67/P$12)</f>
        <v>0.16801271993420916</v>
      </c>
      <c r="S67" s="14"/>
      <c r="T67" s="20">
        <f>+T17-T19+T64</f>
        <v>17932.640000000072</v>
      </c>
      <c r="U67" s="14"/>
      <c r="V67" s="22">
        <f>IF(T$12=0,0,T67/T$12)</f>
        <v>9.3572177724438793E-2</v>
      </c>
      <c r="W67" s="15"/>
      <c r="X67" s="20">
        <f>+P67-T67</f>
        <v>44174.269999999946</v>
      </c>
      <c r="Y67" s="15"/>
      <c r="Z67" s="22">
        <f>IF(T67=0,0,X67/T67)</f>
        <v>2.4633444936160971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1"/>
      <c r="B69" s="10" t="s">
        <v>13</v>
      </c>
      <c r="C69" s="10"/>
      <c r="D69" s="4">
        <v>4995.91</v>
      </c>
      <c r="E69" s="4"/>
      <c r="F69" s="12">
        <f>IF(D$12=0,0,D69/D$12)</f>
        <v>0.1470077095103578</v>
      </c>
      <c r="G69" s="4"/>
      <c r="H69" s="4">
        <v>1970.07</v>
      </c>
      <c r="I69" s="4"/>
      <c r="J69" s="12">
        <f>IF(H$12=0,0,H69/H$12)</f>
        <v>7.9297617130896794E-2</v>
      </c>
      <c r="K69" s="4"/>
      <c r="L69" s="4">
        <f>+D69-H69</f>
        <v>3025.84</v>
      </c>
      <c r="M69" s="4"/>
      <c r="N69" s="12">
        <f>IF(H69=0,0,L69/H69)</f>
        <v>1.5359048155649293</v>
      </c>
      <c r="O69" s="10"/>
      <c r="P69" s="4">
        <v>67102.34</v>
      </c>
      <c r="Q69" s="4"/>
      <c r="R69" s="12">
        <f>IF(P$12=0,0,P69/P$12)</f>
        <v>0.18152644620944877</v>
      </c>
      <c r="S69" s="4"/>
      <c r="T69" s="4">
        <v>19985.86</v>
      </c>
      <c r="U69" s="4"/>
      <c r="V69" s="12">
        <f>IF(T$12=0,0,T69/T$12)</f>
        <v>0.10428584100811396</v>
      </c>
      <c r="W69" s="4"/>
      <c r="X69" s="4">
        <f>+P69-T69</f>
        <v>47116.479999999996</v>
      </c>
      <c r="Y69" s="4"/>
      <c r="Z69" s="12">
        <f>IF(T69=0,0,X69/T69)</f>
        <v>2.3574907459573917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8" t="s">
        <v>4</v>
      </c>
      <c r="C71" s="28"/>
      <c r="D71" s="30">
        <f>+D67-D69</f>
        <v>5873.9900000000052</v>
      </c>
      <c r="E71" s="14"/>
      <c r="F71" s="36">
        <f>IF(D$12=0,0,D71/D$12)</f>
        <v>0.17284575094161975</v>
      </c>
      <c r="G71" s="14"/>
      <c r="H71" s="30">
        <f>+H67-H69</f>
        <v>685.18000000000006</v>
      </c>
      <c r="I71" s="14"/>
      <c r="J71" s="36">
        <f>IF(H$12=0,0,H71/H$12)</f>
        <v>2.7579294799549188E-2</v>
      </c>
      <c r="K71" s="15"/>
      <c r="L71" s="30">
        <f>D71-H71</f>
        <v>5188.8100000000049</v>
      </c>
      <c r="M71" s="15"/>
      <c r="N71" s="36">
        <f>IF(H71=0,0,L71/H71)</f>
        <v>7.572915146384898</v>
      </c>
      <c r="O71" s="29"/>
      <c r="P71" s="30">
        <f>+P67-P69</f>
        <v>-4995.4299999999785</v>
      </c>
      <c r="Q71" s="14"/>
      <c r="R71" s="36">
        <f>IF(P$12=0,0,P71/P$12)</f>
        <v>-1.3513726275239625E-2</v>
      </c>
      <c r="S71" s="14"/>
      <c r="T71" s="30">
        <f>+T67-T69</f>
        <v>-2053.2199999999284</v>
      </c>
      <c r="U71" s="14"/>
      <c r="V71" s="36">
        <f>IF(T$12=0,0,T71/T$12)</f>
        <v>-1.0713663283675172E-2</v>
      </c>
      <c r="W71" s="15"/>
      <c r="X71" s="30">
        <f>P71-T71</f>
        <v>-2942.2100000000501</v>
      </c>
      <c r="Y71" s="15"/>
      <c r="Z71" s="36">
        <f>IF(T71=0,0,X71/T71)</f>
        <v>1.4329735732167779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5</v>
      </c>
      <c r="C74" s="28"/>
      <c r="D74" s="32">
        <f>SUM(D71:D73)</f>
        <v>5873.9900000000052</v>
      </c>
      <c r="E74" s="14"/>
      <c r="F74" s="31">
        <f>IF(D$12=0,0,D74/D$12)</f>
        <v>0.17284575094161975</v>
      </c>
      <c r="G74" s="14"/>
      <c r="H74" s="32">
        <f>SUM(H71:H73)</f>
        <v>685.18000000000006</v>
      </c>
      <c r="I74" s="14"/>
      <c r="J74" s="31">
        <f>IF(H$12=0,0,H74/H$12)</f>
        <v>2.7579294799549188E-2</v>
      </c>
      <c r="K74" s="15"/>
      <c r="L74" s="32">
        <f>+D74-H74</f>
        <v>5188.8100000000049</v>
      </c>
      <c r="M74" s="15"/>
      <c r="N74" s="31">
        <f>IF(H74=0,0,L74/H74)</f>
        <v>7.572915146384898</v>
      </c>
      <c r="O74" s="29"/>
      <c r="P74" s="32">
        <f>SUM(P71:P73)</f>
        <v>-4995.4299999999785</v>
      </c>
      <c r="Q74" s="14"/>
      <c r="R74" s="31">
        <f>IF(P$12=0,0,P74/P$12)</f>
        <v>-1.3513726275239625E-2</v>
      </c>
      <c r="S74" s="14"/>
      <c r="T74" s="32">
        <f>SUM(T71:T73)</f>
        <v>-2053.2199999999284</v>
      </c>
      <c r="U74" s="14"/>
      <c r="V74" s="31">
        <f>IF(T$12=0,0,T74/T$12)</f>
        <v>-1.0713663283675172E-2</v>
      </c>
      <c r="W74" s="15"/>
      <c r="X74" s="32">
        <f>+P74-T74</f>
        <v>-2942.2100000000501</v>
      </c>
      <c r="Y74" s="15"/>
      <c r="Z74" s="31">
        <f>IF(T74=0,0,X74/T74)</f>
        <v>1.4329735732167779</v>
      </c>
    </row>
    <row r="75" spans="1:26" ht="15.75" thickTop="1" x14ac:dyDescent="0.25">
      <c r="A75" s="9"/>
      <c r="C75" s="9"/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62">
        <v>44238.495986111113</v>
      </c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9" t="s">
        <v>313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6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",RIGHT(202107,2),", ",2021)</f>
        <v>Period 07,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44226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str">
        <f>CONCATENATE("Department ","501", " - ", "ID Card Services")</f>
        <v>Department 501 - ID Card Services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33984</v>
      </c>
      <c r="E12" s="4"/>
      <c r="F12" s="12"/>
      <c r="G12" s="4"/>
      <c r="H12" s="4">
        <f>SUM(OSRRefH13x_0)</f>
        <v>24844</v>
      </c>
      <c r="I12" s="4"/>
      <c r="J12" s="12"/>
      <c r="K12" s="4"/>
      <c r="L12" s="4">
        <f t="shared" ref="L12:L13" si="0">+D12-H12</f>
        <v>9140</v>
      </c>
      <c r="M12" s="4"/>
      <c r="N12" s="12">
        <f t="shared" ref="N12:N13" si="1">IF(H12=0,0,L12/H12)</f>
        <v>0.36789566897440024</v>
      </c>
      <c r="O12" s="10"/>
      <c r="P12" s="4">
        <f>SUM(OSRRefP13x_0)</f>
        <v>369656</v>
      </c>
      <c r="Q12" s="4"/>
      <c r="R12" s="12"/>
      <c r="S12" s="4"/>
      <c r="T12" s="4">
        <f>SUM(OSRRefT13x_0)</f>
        <v>191645</v>
      </c>
      <c r="U12" s="4"/>
      <c r="V12" s="12"/>
      <c r="W12" s="4"/>
      <c r="X12" s="4">
        <f t="shared" ref="X12:X13" si="2">+P12-T12</f>
        <v>178011</v>
      </c>
      <c r="Y12" s="4"/>
      <c r="Z12" s="12">
        <f t="shared" ref="Z12:Z13" si="3">IF(T12=0,0,X12/T12)</f>
        <v>0.92885804482245815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--33984</f>
        <v>33984</v>
      </c>
      <c r="E13" s="2"/>
      <c r="F13" s="19"/>
      <c r="G13" s="2"/>
      <c r="H13" s="2">
        <f>--24844</f>
        <v>24844</v>
      </c>
      <c r="I13" s="2"/>
      <c r="J13" s="19"/>
      <c r="K13" s="2"/>
      <c r="L13" s="2">
        <f t="shared" si="0"/>
        <v>9140</v>
      </c>
      <c r="M13" s="2"/>
      <c r="N13" s="19">
        <f t="shared" si="1"/>
        <v>0.36789566897440024</v>
      </c>
      <c r="O13" s="11"/>
      <c r="P13" s="2">
        <f>--369656</f>
        <v>369656</v>
      </c>
      <c r="Q13" s="2"/>
      <c r="R13" s="19"/>
      <c r="S13" s="2"/>
      <c r="T13" s="2">
        <f>--191645</f>
        <v>191645</v>
      </c>
      <c r="U13" s="2"/>
      <c r="V13" s="19"/>
      <c r="W13" s="2"/>
      <c r="X13" s="2">
        <f t="shared" si="2"/>
        <v>178011</v>
      </c>
      <c r="Y13" s="2"/>
      <c r="Z13" s="19">
        <f t="shared" si="3"/>
        <v>0.92885804482245815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D12-D15</f>
        <v>33984</v>
      </c>
      <c r="E17" s="14"/>
      <c r="F17" s="22">
        <f>IF(D$12=0,0,D17/D$12)</f>
        <v>1</v>
      </c>
      <c r="G17" s="14"/>
      <c r="H17" s="20">
        <f>H12-H15</f>
        <v>24844</v>
      </c>
      <c r="I17" s="14"/>
      <c r="J17" s="22">
        <f>IF(H$12=0,0,H17/H$12)</f>
        <v>1</v>
      </c>
      <c r="K17" s="15"/>
      <c r="L17" s="20">
        <f>+D17-H17</f>
        <v>9140</v>
      </c>
      <c r="M17" s="15"/>
      <c r="N17" s="22">
        <f>IF(H17=0,0,L17/H17)</f>
        <v>0.36789566897440024</v>
      </c>
      <c r="O17" s="29"/>
      <c r="P17" s="20">
        <f>P12-P15</f>
        <v>369656</v>
      </c>
      <c r="Q17" s="14"/>
      <c r="R17" s="22">
        <f>IF(P$12=0,0,P17/P$12)</f>
        <v>1</v>
      </c>
      <c r="S17" s="14"/>
      <c r="T17" s="20">
        <f>T12-T15</f>
        <v>191645</v>
      </c>
      <c r="U17" s="14"/>
      <c r="V17" s="22">
        <f>IF(T$12=0,0,T17/T$12)</f>
        <v>1</v>
      </c>
      <c r="W17" s="15"/>
      <c r="X17" s="20">
        <f>+P17-T17</f>
        <v>178011</v>
      </c>
      <c r="Y17" s="15"/>
      <c r="Z17" s="22">
        <f>IF(T17=0,0,X17/T17)</f>
        <v>0.92885804482245815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23351.099999999995</v>
      </c>
      <c r="E19" s="21"/>
      <c r="F19" s="35">
        <f t="shared" ref="F19:F29" si="4">IF(D$12=0,0,D19/D$12)</f>
        <v>0.68712040960451959</v>
      </c>
      <c r="G19" s="21"/>
      <c r="H19" s="21">
        <f>SUM(OSRRefH22x_0)</f>
        <v>25649.16</v>
      </c>
      <c r="I19" s="21"/>
      <c r="J19" s="35">
        <f t="shared" ref="J19:J29" si="5">IF(H$12=0,0,H19/H$12)</f>
        <v>1.0324086298502657</v>
      </c>
      <c r="K19" s="4"/>
      <c r="L19" s="21">
        <f t="shared" ref="L19:L29" si="6">+D19-H19</f>
        <v>-2298.0600000000049</v>
      </c>
      <c r="M19" s="4"/>
      <c r="N19" s="35">
        <f t="shared" ref="N19:N29" si="7">IF(H19=0,0,L19/H19)</f>
        <v>-8.959591659142073E-2</v>
      </c>
      <c r="O19" s="10"/>
      <c r="P19" s="21">
        <f>SUM(OSRRefP22x_0)</f>
        <v>309046.28999999998</v>
      </c>
      <c r="Q19" s="21"/>
      <c r="R19" s="35">
        <f t="shared" ref="R19:R29" si="8">IF(P$12=0,0,P19/P$12)</f>
        <v>0.83603753219209209</v>
      </c>
      <c r="S19" s="21"/>
      <c r="T19" s="21">
        <f>SUM(OSRRefT22x_0)</f>
        <v>190924.10999999993</v>
      </c>
      <c r="U19" s="21"/>
      <c r="V19" s="35">
        <f t="shared" ref="V19:V29" si="9">IF(T$12=0,0,T19/T$12)</f>
        <v>0.99623840955934106</v>
      </c>
      <c r="W19" s="4"/>
      <c r="X19" s="21">
        <f t="shared" ref="X19:X29" si="10">+P19-T19</f>
        <v>118122.18000000005</v>
      </c>
      <c r="Y19" s="4"/>
      <c r="Z19" s="35">
        <f t="shared" ref="Z19:Z29" si="11">IF(T19=0,0,X19/T19)</f>
        <v>0.61868655561626085</v>
      </c>
    </row>
    <row r="20" spans="1:26" s="26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4647.2599999999993</v>
      </c>
      <c r="E20" s="1"/>
      <c r="F20" s="5">
        <f t="shared" si="4"/>
        <v>0.13674846986817324</v>
      </c>
      <c r="G20" s="1"/>
      <c r="H20" s="1">
        <f>SUM(OSRRefH22_0x_0)</f>
        <v>4285.4500000000007</v>
      </c>
      <c r="I20" s="1"/>
      <c r="J20" s="5">
        <f t="shared" si="5"/>
        <v>0.17249436483658029</v>
      </c>
      <c r="K20" s="1"/>
      <c r="L20" s="1">
        <f t="shared" si="6"/>
        <v>361.80999999999858</v>
      </c>
      <c r="M20" s="1"/>
      <c r="N20" s="5">
        <f t="shared" si="7"/>
        <v>8.4427539698281054E-2</v>
      </c>
      <c r="O20" s="13"/>
      <c r="P20" s="1">
        <f>SUM(OSRRefP22_0x_0)</f>
        <v>29892.89</v>
      </c>
      <c r="Q20" s="1"/>
      <c r="R20" s="5">
        <f t="shared" si="8"/>
        <v>8.0866778843032436E-2</v>
      </c>
      <c r="S20" s="1"/>
      <c r="T20" s="1">
        <f>SUM(OSRRefT22_0x_0)</f>
        <v>31385.910000000003</v>
      </c>
      <c r="U20" s="1"/>
      <c r="V20" s="5">
        <f t="shared" si="9"/>
        <v>0.16377108716637534</v>
      </c>
      <c r="W20" s="1"/>
      <c r="X20" s="1">
        <f t="shared" si="10"/>
        <v>-1493.0200000000041</v>
      </c>
      <c r="Y20" s="1"/>
      <c r="Z20" s="5">
        <f t="shared" si="11"/>
        <v>-4.7569753433945483E-2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829.91</v>
      </c>
      <c r="E21" s="2"/>
      <c r="F21" s="7">
        <f t="shared" si="4"/>
        <v>2.4420609698681733E-2</v>
      </c>
      <c r="G21" s="2"/>
      <c r="H21" s="6">
        <v>920.98</v>
      </c>
      <c r="I21" s="2"/>
      <c r="J21" s="7">
        <f t="shared" si="5"/>
        <v>3.7070520045081309E-2</v>
      </c>
      <c r="K21" s="2"/>
      <c r="L21" s="6">
        <f t="shared" si="6"/>
        <v>-91.07000000000005</v>
      </c>
      <c r="M21" s="2"/>
      <c r="N21" s="7">
        <f t="shared" si="7"/>
        <v>-9.8883797693761044E-2</v>
      </c>
      <c r="O21" s="11"/>
      <c r="P21" s="6">
        <v>7120.78</v>
      </c>
      <c r="Q21" s="2"/>
      <c r="R21" s="7">
        <f t="shared" si="8"/>
        <v>1.9263260977773929E-2</v>
      </c>
      <c r="S21" s="2"/>
      <c r="T21" s="6">
        <v>7717.72</v>
      </c>
      <c r="U21" s="2"/>
      <c r="V21" s="7">
        <f t="shared" si="9"/>
        <v>4.0270917581987531E-2</v>
      </c>
      <c r="W21" s="2"/>
      <c r="X21" s="6">
        <f t="shared" si="10"/>
        <v>-596.94000000000051</v>
      </c>
      <c r="Y21" s="2"/>
      <c r="Z21" s="7">
        <f t="shared" si="11"/>
        <v>-7.7346677516157689E-2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-13.7</v>
      </c>
      <c r="E22" s="2"/>
      <c r="F22" s="7">
        <f t="shared" si="4"/>
        <v>-4.031308851224105E-4</v>
      </c>
      <c r="G22" s="2"/>
      <c r="H22" s="6">
        <v>50.97</v>
      </c>
      <c r="I22" s="2"/>
      <c r="J22" s="7">
        <f t="shared" si="5"/>
        <v>2.0516019964578972E-3</v>
      </c>
      <c r="K22" s="2"/>
      <c r="L22" s="6">
        <f t="shared" si="6"/>
        <v>-64.67</v>
      </c>
      <c r="M22" s="2"/>
      <c r="N22" s="7">
        <f t="shared" si="7"/>
        <v>-1.2687855601334119</v>
      </c>
      <c r="O22" s="11"/>
      <c r="P22" s="6">
        <v>653.82000000000005</v>
      </c>
      <c r="Q22" s="2"/>
      <c r="R22" s="7">
        <f t="shared" si="8"/>
        <v>1.7687255177786917E-3</v>
      </c>
      <c r="S22" s="2"/>
      <c r="T22" s="6">
        <v>338.26</v>
      </c>
      <c r="U22" s="2"/>
      <c r="V22" s="7">
        <f t="shared" si="9"/>
        <v>1.7650343082261473E-3</v>
      </c>
      <c r="W22" s="2"/>
      <c r="X22" s="6">
        <f t="shared" si="10"/>
        <v>315.56000000000006</v>
      </c>
      <c r="Y22" s="2"/>
      <c r="Z22" s="7">
        <f t="shared" si="11"/>
        <v>0.93289185833382626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1207.95</v>
      </c>
      <c r="E23" s="2"/>
      <c r="F23" s="7">
        <f t="shared" si="4"/>
        <v>3.5544668079096044E-2</v>
      </c>
      <c r="G23" s="2"/>
      <c r="H23" s="6">
        <v>1298.72</v>
      </c>
      <c r="I23" s="2"/>
      <c r="J23" s="7">
        <f t="shared" si="5"/>
        <v>5.2274995974883276E-2</v>
      </c>
      <c r="K23" s="2"/>
      <c r="L23" s="6">
        <f t="shared" si="6"/>
        <v>-90.769999999999982</v>
      </c>
      <c r="M23" s="2"/>
      <c r="N23" s="7">
        <f t="shared" si="7"/>
        <v>-6.9891893556732768E-2</v>
      </c>
      <c r="O23" s="11"/>
      <c r="P23" s="6">
        <v>8610.9500000000007</v>
      </c>
      <c r="Q23" s="2"/>
      <c r="R23" s="7">
        <f t="shared" si="8"/>
        <v>2.3294495422771445E-2</v>
      </c>
      <c r="S23" s="2"/>
      <c r="T23" s="6">
        <v>8758.58</v>
      </c>
      <c r="U23" s="2"/>
      <c r="V23" s="7">
        <f t="shared" si="9"/>
        <v>4.5702105455399308E-2</v>
      </c>
      <c r="W23" s="2"/>
      <c r="X23" s="6">
        <f t="shared" si="10"/>
        <v>-147.6299999999992</v>
      </c>
      <c r="Y23" s="2"/>
      <c r="Z23" s="7">
        <f t="shared" si="11"/>
        <v>-1.6855472005735998E-2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69.959999999999994</v>
      </c>
      <c r="E24" s="2"/>
      <c r="F24" s="7">
        <f t="shared" si="4"/>
        <v>2.0586158192090393E-3</v>
      </c>
      <c r="G24" s="2"/>
      <c r="H24" s="6">
        <v>39.020000000000003</v>
      </c>
      <c r="I24" s="2"/>
      <c r="J24" s="7">
        <f t="shared" si="5"/>
        <v>1.5706005474158751E-3</v>
      </c>
      <c r="K24" s="2"/>
      <c r="L24" s="6">
        <f t="shared" si="6"/>
        <v>30.939999999999991</v>
      </c>
      <c r="M24" s="2"/>
      <c r="N24" s="7">
        <f t="shared" si="7"/>
        <v>0.79292670425422829</v>
      </c>
      <c r="O24" s="11"/>
      <c r="P24" s="6">
        <v>284.56</v>
      </c>
      <c r="Q24" s="2"/>
      <c r="R24" s="7">
        <f t="shared" si="8"/>
        <v>7.6979678403705067E-4</v>
      </c>
      <c r="S24" s="2"/>
      <c r="T24" s="6">
        <v>327.96</v>
      </c>
      <c r="U24" s="2"/>
      <c r="V24" s="7">
        <f t="shared" si="9"/>
        <v>1.7112891022463407E-3</v>
      </c>
      <c r="W24" s="2"/>
      <c r="X24" s="6">
        <f t="shared" si="10"/>
        <v>-43.399999999999977</v>
      </c>
      <c r="Y24" s="2"/>
      <c r="Z24" s="7">
        <f t="shared" si="11"/>
        <v>-0.13233321136723986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960.53</v>
      </c>
      <c r="E25" s="2"/>
      <c r="F25" s="7">
        <f t="shared" si="4"/>
        <v>2.8264183145009416E-2</v>
      </c>
      <c r="G25" s="2"/>
      <c r="H25" s="6">
        <v>959.21</v>
      </c>
      <c r="I25" s="2"/>
      <c r="J25" s="7">
        <f t="shared" si="5"/>
        <v>3.8609322170342943E-2</v>
      </c>
      <c r="K25" s="2"/>
      <c r="L25" s="6">
        <f t="shared" si="6"/>
        <v>1.3199999999999363</v>
      </c>
      <c r="M25" s="2"/>
      <c r="N25" s="7">
        <f t="shared" si="7"/>
        <v>1.3761324423222612E-3</v>
      </c>
      <c r="O25" s="11"/>
      <c r="P25" s="6">
        <v>5780.23</v>
      </c>
      <c r="Q25" s="2"/>
      <c r="R25" s="7">
        <f t="shared" si="8"/>
        <v>1.5636781223624125E-2</v>
      </c>
      <c r="S25" s="2"/>
      <c r="T25" s="6">
        <v>5566.45</v>
      </c>
      <c r="U25" s="2"/>
      <c r="V25" s="7">
        <f t="shared" si="9"/>
        <v>2.9045631245271205E-2</v>
      </c>
      <c r="W25" s="2"/>
      <c r="X25" s="6">
        <f t="shared" si="10"/>
        <v>213.77999999999975</v>
      </c>
      <c r="Y25" s="2"/>
      <c r="Z25" s="7">
        <f t="shared" si="11"/>
        <v>3.8405087623170915E-2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85.33</v>
      </c>
      <c r="E26" s="2"/>
      <c r="F26" s="7">
        <f t="shared" si="4"/>
        <v>2.5108874764595101E-3</v>
      </c>
      <c r="G26" s="2"/>
      <c r="H26" s="6"/>
      <c r="I26" s="2"/>
      <c r="J26" s="7">
        <f t="shared" si="5"/>
        <v>0</v>
      </c>
      <c r="K26" s="2"/>
      <c r="L26" s="6">
        <f t="shared" si="6"/>
        <v>85.33</v>
      </c>
      <c r="M26" s="2"/>
      <c r="N26" s="7">
        <f t="shared" si="7"/>
        <v>0</v>
      </c>
      <c r="O26" s="11"/>
      <c r="P26" s="6">
        <v>609.94000000000005</v>
      </c>
      <c r="Q26" s="2"/>
      <c r="R26" s="7">
        <f t="shared" si="8"/>
        <v>1.6500205596554636E-3</v>
      </c>
      <c r="S26" s="2"/>
      <c r="T26" s="6"/>
      <c r="U26" s="2"/>
      <c r="V26" s="7">
        <f t="shared" si="9"/>
        <v>0</v>
      </c>
      <c r="W26" s="2"/>
      <c r="X26" s="6">
        <f t="shared" si="10"/>
        <v>609.94000000000005</v>
      </c>
      <c r="Y26" s="2"/>
      <c r="Z26" s="7">
        <f t="shared" si="11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520.02</v>
      </c>
      <c r="E27" s="2"/>
      <c r="F27" s="7">
        <f t="shared" si="4"/>
        <v>1.5301906779661017E-2</v>
      </c>
      <c r="G27" s="2"/>
      <c r="H27" s="6">
        <v>577.95000000000005</v>
      </c>
      <c r="I27" s="2"/>
      <c r="J27" s="7">
        <f t="shared" si="5"/>
        <v>2.326316213170182E-2</v>
      </c>
      <c r="K27" s="2"/>
      <c r="L27" s="6">
        <f t="shared" si="6"/>
        <v>-57.930000000000064</v>
      </c>
      <c r="M27" s="2"/>
      <c r="N27" s="7">
        <f t="shared" si="7"/>
        <v>-0.10023358422008835</v>
      </c>
      <c r="O27" s="11"/>
      <c r="P27" s="6">
        <v>3900.15</v>
      </c>
      <c r="Q27" s="2"/>
      <c r="R27" s="7">
        <f t="shared" si="8"/>
        <v>1.05507552968165E-2</v>
      </c>
      <c r="S27" s="2"/>
      <c r="T27" s="6">
        <v>5070.83</v>
      </c>
      <c r="U27" s="2"/>
      <c r="V27" s="7">
        <f t="shared" si="9"/>
        <v>2.6459495421221529E-2</v>
      </c>
      <c r="W27" s="2"/>
      <c r="X27" s="6">
        <f t="shared" si="10"/>
        <v>-1170.6799999999998</v>
      </c>
      <c r="Y27" s="2"/>
      <c r="Z27" s="7">
        <f t="shared" si="11"/>
        <v>-0.23086555849831286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299.26</v>
      </c>
      <c r="E28" s="2"/>
      <c r="F28" s="7">
        <f t="shared" si="4"/>
        <v>8.8059086629001873E-3</v>
      </c>
      <c r="G28" s="2"/>
      <c r="H28" s="6">
        <v>288.58</v>
      </c>
      <c r="I28" s="2"/>
      <c r="J28" s="7">
        <f t="shared" si="5"/>
        <v>1.1615681854773787E-2</v>
      </c>
      <c r="K28" s="2"/>
      <c r="L28" s="6">
        <f t="shared" si="6"/>
        <v>10.680000000000007</v>
      </c>
      <c r="M28" s="2"/>
      <c r="N28" s="7">
        <f t="shared" si="7"/>
        <v>3.7008801718760857E-2</v>
      </c>
      <c r="O28" s="11"/>
      <c r="P28" s="6">
        <v>2244.46</v>
      </c>
      <c r="Q28" s="2"/>
      <c r="R28" s="7">
        <f t="shared" si="8"/>
        <v>6.0717531975674685E-3</v>
      </c>
      <c r="S28" s="2"/>
      <c r="T28" s="6">
        <v>2554.2800000000002</v>
      </c>
      <c r="U28" s="2"/>
      <c r="V28" s="7">
        <f t="shared" si="9"/>
        <v>1.3328184925252421E-2</v>
      </c>
      <c r="W28" s="2"/>
      <c r="X28" s="6">
        <f t="shared" si="10"/>
        <v>-309.82000000000016</v>
      </c>
      <c r="Y28" s="2"/>
      <c r="Z28" s="7">
        <f t="shared" si="11"/>
        <v>-0.12129445479743808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688</v>
      </c>
      <c r="E29" s="2"/>
      <c r="F29" s="7">
        <f t="shared" si="4"/>
        <v>2.0244821092278719E-2</v>
      </c>
      <c r="G29" s="2"/>
      <c r="H29" s="6">
        <v>150.02000000000001</v>
      </c>
      <c r="I29" s="2"/>
      <c r="J29" s="7">
        <f t="shared" si="5"/>
        <v>6.0384801159233618E-3</v>
      </c>
      <c r="K29" s="2"/>
      <c r="L29" s="6">
        <f t="shared" si="6"/>
        <v>537.98</v>
      </c>
      <c r="M29" s="2"/>
      <c r="N29" s="7">
        <f t="shared" si="7"/>
        <v>3.5860551926409809</v>
      </c>
      <c r="O29" s="11"/>
      <c r="P29" s="6">
        <v>688</v>
      </c>
      <c r="Q29" s="2"/>
      <c r="R29" s="7">
        <f t="shared" si="8"/>
        <v>1.8611898630077695E-3</v>
      </c>
      <c r="S29" s="2"/>
      <c r="T29" s="6">
        <v>1051.83</v>
      </c>
      <c r="U29" s="2"/>
      <c r="V29" s="7">
        <f t="shared" si="9"/>
        <v>5.488429126770852E-3</v>
      </c>
      <c r="W29" s="2"/>
      <c r="X29" s="6">
        <f t="shared" si="10"/>
        <v>-363.82999999999993</v>
      </c>
      <c r="Y29" s="2"/>
      <c r="Z29" s="7">
        <f t="shared" si="11"/>
        <v>-0.34590190430012452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16962.05</v>
      </c>
      <c r="E30" s="1"/>
      <c r="F30" s="5">
        <f t="shared" ref="F30:F35" si="12">IF(D$12=0,0,D30/D$12)</f>
        <v>0.49911870291902072</v>
      </c>
      <c r="G30" s="1"/>
      <c r="H30" s="1">
        <f>SUM(OSRRefH22_1x_0)</f>
        <v>19262.39</v>
      </c>
      <c r="I30" s="1"/>
      <c r="J30" s="5">
        <f t="shared" ref="J30:J35" si="13">IF(H$12=0,0,H30/H$12)</f>
        <v>0.77533368217678311</v>
      </c>
      <c r="K30" s="1"/>
      <c r="L30" s="1">
        <f t="shared" ref="L30:L35" si="14">+D30-H30</f>
        <v>-2300.34</v>
      </c>
      <c r="M30" s="1"/>
      <c r="N30" s="5">
        <f t="shared" ref="N30:N35" si="15">IF(H30=0,0,L30/H30)</f>
        <v>-0.11942131791537812</v>
      </c>
      <c r="O30" s="13"/>
      <c r="P30" s="1">
        <f>SUM(OSRRefP22_1x_0)</f>
        <v>102177.42</v>
      </c>
      <c r="Q30" s="1"/>
      <c r="R30" s="5">
        <f t="shared" ref="R30:R35" si="16">IF(P$12=0,0,P30/P$12)</f>
        <v>0.27641217780855715</v>
      </c>
      <c r="S30" s="1"/>
      <c r="T30" s="1">
        <f>SUM(OSRRefT22_1x_0)</f>
        <v>119293.84000000001</v>
      </c>
      <c r="U30" s="1"/>
      <c r="V30" s="5">
        <f t="shared" ref="V30:V35" si="17">IF(T$12=0,0,T30/T$12)</f>
        <v>0.62247300999243393</v>
      </c>
      <c r="W30" s="1"/>
      <c r="X30" s="1">
        <f t="shared" ref="X30:X35" si="18">+P30-T30</f>
        <v>-17116.420000000013</v>
      </c>
      <c r="Y30" s="1"/>
      <c r="Z30" s="5">
        <f t="shared" ref="Z30:Z35" si="19">IF(T30=0,0,X30/T30)</f>
        <v>-0.14348117220470069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>
        <v>5257.72</v>
      </c>
      <c r="E31" s="2"/>
      <c r="F31" s="7">
        <f t="shared" si="12"/>
        <v>0.15471162900188323</v>
      </c>
      <c r="G31" s="2"/>
      <c r="H31" s="6"/>
      <c r="I31" s="2"/>
      <c r="J31" s="7">
        <f t="shared" si="13"/>
        <v>0</v>
      </c>
      <c r="K31" s="2"/>
      <c r="L31" s="6">
        <f t="shared" si="14"/>
        <v>5257.72</v>
      </c>
      <c r="M31" s="2"/>
      <c r="N31" s="7">
        <f t="shared" si="15"/>
        <v>0</v>
      </c>
      <c r="O31" s="11"/>
      <c r="P31" s="6">
        <v>30912.609999999997</v>
      </c>
      <c r="Q31" s="2"/>
      <c r="R31" s="7">
        <f t="shared" si="16"/>
        <v>8.3625343562663657E-2</v>
      </c>
      <c r="S31" s="2"/>
      <c r="T31" s="6"/>
      <c r="U31" s="2"/>
      <c r="V31" s="7">
        <f t="shared" si="17"/>
        <v>0</v>
      </c>
      <c r="W31" s="2"/>
      <c r="X31" s="6">
        <f t="shared" si="18"/>
        <v>30912.609999999997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2853.3</v>
      </c>
      <c r="E32" s="2"/>
      <c r="F32" s="7">
        <f t="shared" si="12"/>
        <v>8.3960098870056496E-2</v>
      </c>
      <c r="G32" s="2"/>
      <c r="H32" s="6">
        <v>6881.99</v>
      </c>
      <c r="I32" s="2"/>
      <c r="J32" s="7">
        <f t="shared" si="13"/>
        <v>0.27700813073579134</v>
      </c>
      <c r="K32" s="2"/>
      <c r="L32" s="6">
        <f t="shared" si="14"/>
        <v>-4028.6899999999996</v>
      </c>
      <c r="M32" s="2"/>
      <c r="N32" s="7">
        <f t="shared" si="15"/>
        <v>-0.58539608456274994</v>
      </c>
      <c r="O32" s="11"/>
      <c r="P32" s="6">
        <v>16547.09</v>
      </c>
      <c r="Q32" s="2"/>
      <c r="R32" s="7">
        <f t="shared" si="16"/>
        <v>4.476348280563551E-2</v>
      </c>
      <c r="S32" s="2"/>
      <c r="T32" s="6">
        <v>41381.870000000003</v>
      </c>
      <c r="U32" s="2"/>
      <c r="V32" s="7">
        <f t="shared" si="17"/>
        <v>0.21592981815335649</v>
      </c>
      <c r="W32" s="2"/>
      <c r="X32" s="6">
        <f t="shared" si="18"/>
        <v>-24834.780000000002</v>
      </c>
      <c r="Y32" s="2"/>
      <c r="Z32" s="7">
        <f t="shared" si="19"/>
        <v>-0.60013672654232397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>
        <v>5996.43</v>
      </c>
      <c r="E33" s="2"/>
      <c r="F33" s="7">
        <f t="shared" si="12"/>
        <v>0.17644862288135593</v>
      </c>
      <c r="G33" s="2"/>
      <c r="H33" s="6">
        <v>6157.33</v>
      </c>
      <c r="I33" s="2"/>
      <c r="J33" s="7">
        <f t="shared" si="13"/>
        <v>0.24783971985187569</v>
      </c>
      <c r="K33" s="2"/>
      <c r="L33" s="6">
        <f t="shared" si="14"/>
        <v>-160.89999999999964</v>
      </c>
      <c r="M33" s="2"/>
      <c r="N33" s="7">
        <f t="shared" si="15"/>
        <v>-2.6131456329285523E-2</v>
      </c>
      <c r="O33" s="11"/>
      <c r="P33" s="6">
        <v>45162.579999999994</v>
      </c>
      <c r="Q33" s="2"/>
      <c r="R33" s="7">
        <f t="shared" si="16"/>
        <v>0.12217461640011253</v>
      </c>
      <c r="S33" s="2"/>
      <c r="T33" s="6">
        <v>51094.64</v>
      </c>
      <c r="U33" s="2"/>
      <c r="V33" s="7">
        <f t="shared" si="17"/>
        <v>0.26661086905476272</v>
      </c>
      <c r="W33" s="2"/>
      <c r="X33" s="6">
        <f t="shared" si="18"/>
        <v>-5932.0600000000049</v>
      </c>
      <c r="Y33" s="2"/>
      <c r="Z33" s="7">
        <f t="shared" si="19"/>
        <v>-0.11609945779048458</v>
      </c>
    </row>
    <row r="34" spans="1:26" s="24" customFormat="1" hidden="1" outlineLevel="2" x14ac:dyDescent="0.25">
      <c r="A34" s="25"/>
      <c r="B34" s="11" t="str">
        <f>CONCATENATE("          ", "6007", " - ", "STUDENT HOURLY")</f>
        <v xml:space="preserve">          6007 - STUDENT HOURLY</v>
      </c>
      <c r="C34" s="11"/>
      <c r="D34" s="6">
        <v>2263.8000000000002</v>
      </c>
      <c r="E34" s="2"/>
      <c r="F34" s="7">
        <f t="shared" si="12"/>
        <v>6.6613700564971762E-2</v>
      </c>
      <c r="G34" s="2"/>
      <c r="H34" s="6">
        <v>5974.57</v>
      </c>
      <c r="I34" s="2"/>
      <c r="J34" s="7">
        <f t="shared" si="13"/>
        <v>0.24048341651907904</v>
      </c>
      <c r="K34" s="2"/>
      <c r="L34" s="6">
        <f t="shared" si="14"/>
        <v>-3710.7699999999995</v>
      </c>
      <c r="M34" s="2"/>
      <c r="N34" s="7">
        <f t="shared" si="15"/>
        <v>-0.62109407036824404</v>
      </c>
      <c r="O34" s="11"/>
      <c r="P34" s="6">
        <v>6191.78</v>
      </c>
      <c r="Q34" s="2"/>
      <c r="R34" s="7">
        <f t="shared" si="16"/>
        <v>1.6750113619148615E-2</v>
      </c>
      <c r="S34" s="2"/>
      <c r="T34" s="6">
        <v>22619.5</v>
      </c>
      <c r="U34" s="2"/>
      <c r="V34" s="7">
        <f t="shared" si="17"/>
        <v>0.11802812491846905</v>
      </c>
      <c r="W34" s="2"/>
      <c r="X34" s="6">
        <f t="shared" si="18"/>
        <v>-16427.72</v>
      </c>
      <c r="Y34" s="2"/>
      <c r="Z34" s="7">
        <f t="shared" si="19"/>
        <v>-0.72626362209597917</v>
      </c>
    </row>
    <row r="35" spans="1:26" s="24" customFormat="1" hidden="1" outlineLevel="2" x14ac:dyDescent="0.25">
      <c r="A35" s="25"/>
      <c r="B35" s="11" t="str">
        <f>CONCATENATE("          ", "6008", " - ", "STUDENT HOURLY-FICA EXEMPT")</f>
        <v xml:space="preserve">          6008 - STUDENT HOURLY-FICA EXEMPT</v>
      </c>
      <c r="C35" s="11"/>
      <c r="D35" s="6">
        <v>590.79999999999995</v>
      </c>
      <c r="E35" s="2"/>
      <c r="F35" s="7">
        <f t="shared" si="12"/>
        <v>1.7384651600753295E-2</v>
      </c>
      <c r="G35" s="2"/>
      <c r="H35" s="6">
        <v>248.5</v>
      </c>
      <c r="I35" s="2"/>
      <c r="J35" s="7">
        <f t="shared" si="13"/>
        <v>1.0002415070037031E-2</v>
      </c>
      <c r="K35" s="2"/>
      <c r="L35" s="6">
        <f t="shared" si="14"/>
        <v>342.29999999999995</v>
      </c>
      <c r="M35" s="2"/>
      <c r="N35" s="7">
        <f t="shared" si="15"/>
        <v>1.3774647887323941</v>
      </c>
      <c r="O35" s="11"/>
      <c r="P35" s="6">
        <v>3363.36</v>
      </c>
      <c r="Q35" s="2"/>
      <c r="R35" s="7">
        <f t="shared" si="16"/>
        <v>9.0986214209968184E-3</v>
      </c>
      <c r="S35" s="2"/>
      <c r="T35" s="6">
        <v>4197.83</v>
      </c>
      <c r="U35" s="2"/>
      <c r="V35" s="7">
        <f t="shared" si="17"/>
        <v>2.1904197865845704E-2</v>
      </c>
      <c r="W35" s="2"/>
      <c r="X35" s="6">
        <f t="shared" si="18"/>
        <v>-834.4699999999998</v>
      </c>
      <c r="Y35" s="2"/>
      <c r="Z35" s="7">
        <f t="shared" si="19"/>
        <v>-0.1987860394537177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0</v>
      </c>
      <c r="I36" s="1"/>
      <c r="J36" s="5">
        <f t="shared" ref="J36:J44" si="21">IF(H$12=0,0,H36/H$12)</f>
        <v>0</v>
      </c>
      <c r="K36" s="1"/>
      <c r="L36" s="1">
        <f t="shared" ref="L36:L44" si="22">+D36-H36</f>
        <v>0</v>
      </c>
      <c r="M36" s="1"/>
      <c r="N36" s="5">
        <f t="shared" ref="N36:N44" si="23">IF(H36=0,0,L36/H36)</f>
        <v>0</v>
      </c>
      <c r="O36" s="13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106.77</v>
      </c>
      <c r="U36" s="1"/>
      <c r="V36" s="5">
        <f t="shared" ref="V36:V44" si="25">IF(T$12=0,0,T36/T$12)</f>
        <v>5.5712384878290591E-4</v>
      </c>
      <c r="W36" s="1"/>
      <c r="X36" s="1">
        <f t="shared" ref="X36:X44" si="26">+P36-T36</f>
        <v>-106.77</v>
      </c>
      <c r="Y36" s="1"/>
      <c r="Z36" s="5">
        <f t="shared" ref="Z36:Z44" si="27">IF(T36=0,0,X36/T36)</f>
        <v>-1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106.77</v>
      </c>
      <c r="U37" s="2"/>
      <c r="V37" s="7">
        <f t="shared" si="25"/>
        <v>5.5712384878290591E-4</v>
      </c>
      <c r="W37" s="2"/>
      <c r="X37" s="6">
        <f t="shared" si="26"/>
        <v>-106.77</v>
      </c>
      <c r="Y37" s="2"/>
      <c r="Z37" s="7">
        <f t="shared" si="27"/>
        <v>-1</v>
      </c>
    </row>
    <row r="38" spans="1:26" s="26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51.31</v>
      </c>
      <c r="E38" s="1"/>
      <c r="F38" s="5">
        <f t="shared" si="20"/>
        <v>1.5098281544256122E-3</v>
      </c>
      <c r="G38" s="1"/>
      <c r="H38" s="1">
        <f>SUM(OSRRefH22_3x_0)</f>
        <v>1723.63</v>
      </c>
      <c r="I38" s="1"/>
      <c r="J38" s="5">
        <f t="shared" si="21"/>
        <v>6.9378119465464502E-2</v>
      </c>
      <c r="K38" s="1"/>
      <c r="L38" s="1">
        <f t="shared" si="22"/>
        <v>-1672.3200000000002</v>
      </c>
      <c r="M38" s="1"/>
      <c r="N38" s="5">
        <f t="shared" si="23"/>
        <v>-0.97023143017933089</v>
      </c>
      <c r="O38" s="13"/>
      <c r="P38" s="1">
        <f>SUM(OSRRefP22_3x_0)</f>
        <v>670.89</v>
      </c>
      <c r="Q38" s="1"/>
      <c r="R38" s="5">
        <f t="shared" si="24"/>
        <v>1.8149035860367476E-3</v>
      </c>
      <c r="S38" s="1"/>
      <c r="T38" s="1">
        <f>SUM(OSRRefT22_3x_0)</f>
        <v>14279.63</v>
      </c>
      <c r="U38" s="1"/>
      <c r="V38" s="5">
        <f t="shared" si="25"/>
        <v>7.4510840355866317E-2</v>
      </c>
      <c r="W38" s="1"/>
      <c r="X38" s="1">
        <f t="shared" si="26"/>
        <v>-13608.74</v>
      </c>
      <c r="Y38" s="1"/>
      <c r="Z38" s="5">
        <f t="shared" si="27"/>
        <v>-0.95301769023427085</v>
      </c>
    </row>
    <row r="39" spans="1:26" s="24" customFormat="1" hidden="1" outlineLevel="2" x14ac:dyDescent="0.25">
      <c r="A39" s="25"/>
      <c r="B39" s="11" t="str">
        <f>CONCATENATE("          ", "6381", " - ", "BANK/CREDIT CARD FEES")</f>
        <v xml:space="preserve">          6381 - BANK/CREDIT CARD FEES</v>
      </c>
      <c r="C39" s="11"/>
      <c r="D39" s="6">
        <v>51.31</v>
      </c>
      <c r="E39" s="2"/>
      <c r="F39" s="7">
        <f t="shared" si="20"/>
        <v>1.5098281544256122E-3</v>
      </c>
      <c r="G39" s="2"/>
      <c r="H39" s="6">
        <v>1723.63</v>
      </c>
      <c r="I39" s="2"/>
      <c r="J39" s="7">
        <f t="shared" si="21"/>
        <v>6.9378119465464502E-2</v>
      </c>
      <c r="K39" s="2"/>
      <c r="L39" s="6">
        <f t="shared" si="22"/>
        <v>-1672.3200000000002</v>
      </c>
      <c r="M39" s="2"/>
      <c r="N39" s="7">
        <f t="shared" si="23"/>
        <v>-0.97023143017933089</v>
      </c>
      <c r="O39" s="11"/>
      <c r="P39" s="6">
        <v>670.89</v>
      </c>
      <c r="Q39" s="2"/>
      <c r="R39" s="7">
        <f t="shared" si="24"/>
        <v>1.8149035860367476E-3</v>
      </c>
      <c r="S39" s="2"/>
      <c r="T39" s="6">
        <v>14279.63</v>
      </c>
      <c r="U39" s="2"/>
      <c r="V39" s="7">
        <f t="shared" si="25"/>
        <v>7.4510840355866317E-2</v>
      </c>
      <c r="W39" s="2"/>
      <c r="X39" s="6">
        <f t="shared" si="26"/>
        <v>-13608.74</v>
      </c>
      <c r="Y39" s="2"/>
      <c r="Z39" s="7">
        <f t="shared" si="27"/>
        <v>-0.95301769023427085</v>
      </c>
    </row>
    <row r="40" spans="1:26" s="26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3.3520310991677318E-4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4" customFormat="1" hidden="1" outlineLevel="2" x14ac:dyDescent="0.25">
      <c r="A41" s="25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64.239999999999995</v>
      </c>
      <c r="U41" s="2"/>
      <c r="V41" s="7">
        <f t="shared" si="25"/>
        <v>3.3520310991677318E-4</v>
      </c>
      <c r="W41" s="2"/>
      <c r="X41" s="6">
        <f t="shared" si="26"/>
        <v>-64.239999999999995</v>
      </c>
      <c r="Y41" s="2"/>
      <c r="Z41" s="7">
        <f t="shared" si="27"/>
        <v>-1</v>
      </c>
    </row>
    <row r="42" spans="1:26" s="26" customFormat="1" outlineLevel="1" collapsed="1" x14ac:dyDescent="0.25">
      <c r="A42" s="27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3"/>
      <c r="P42" s="1">
        <f>SUM(OSRRefP22_5x_0)</f>
        <v>2.12</v>
      </c>
      <c r="Q42" s="1"/>
      <c r="R42" s="5">
        <f t="shared" si="24"/>
        <v>5.7350617871751037E-6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4" customFormat="1" hidden="1" outlineLevel="2" x14ac:dyDescent="0.25">
      <c r="A43" s="25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1.62</v>
      </c>
      <c r="Q43" s="2"/>
      <c r="R43" s="7">
        <f t="shared" si="24"/>
        <v>4.3824528751055041E-6</v>
      </c>
      <c r="S43" s="2"/>
      <c r="T43" s="6"/>
      <c r="U43" s="2"/>
      <c r="V43" s="7">
        <f t="shared" si="25"/>
        <v>0</v>
      </c>
      <c r="W43" s="2"/>
      <c r="X43" s="6">
        <f t="shared" si="26"/>
        <v>1.62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>
        <v>0.5</v>
      </c>
      <c r="Q44" s="2"/>
      <c r="R44" s="7">
        <f t="shared" si="24"/>
        <v>1.3526089120695998E-6</v>
      </c>
      <c r="S44" s="2"/>
      <c r="T44" s="6"/>
      <c r="U44" s="2"/>
      <c r="V44" s="7">
        <f t="shared" si="25"/>
        <v>0</v>
      </c>
      <c r="W44" s="2"/>
      <c r="X44" s="6">
        <f t="shared" si="26"/>
        <v>0.5</v>
      </c>
      <c r="Y44" s="2"/>
      <c r="Z44" s="7">
        <f t="shared" si="27"/>
        <v>0</v>
      </c>
    </row>
    <row r="45" spans="1:26" s="26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ref="F45:F54" si="28">IF(D$12=0,0,D45/D$12)</f>
        <v>0</v>
      </c>
      <c r="G45" s="1"/>
      <c r="H45" s="1">
        <f>SUM(OSRRefH22_6x_0)</f>
        <v>47.34</v>
      </c>
      <c r="I45" s="1"/>
      <c r="J45" s="5">
        <f t="shared" ref="J45:J54" si="29">IF(H$12=0,0,H45/H$12)</f>
        <v>1.9054902592175174E-3</v>
      </c>
      <c r="K45" s="1"/>
      <c r="L45" s="1">
        <f t="shared" ref="L45:L54" si="30">+D45-H45</f>
        <v>-47.34</v>
      </c>
      <c r="M45" s="1"/>
      <c r="N45" s="5">
        <f t="shared" ref="N45:N54" si="31">IF(H45=0,0,L45/H45)</f>
        <v>-1</v>
      </c>
      <c r="O45" s="13"/>
      <c r="P45" s="1">
        <f>SUM(OSRRefP22_6x_0)</f>
        <v>0</v>
      </c>
      <c r="Q45" s="1"/>
      <c r="R45" s="5">
        <f t="shared" ref="R45:R54" si="32">IF(P$12=0,0,P45/P$12)</f>
        <v>0</v>
      </c>
      <c r="S45" s="1"/>
      <c r="T45" s="1">
        <f>SUM(OSRRefT22_6x_0)</f>
        <v>47.34</v>
      </c>
      <c r="U45" s="1"/>
      <c r="V45" s="5">
        <f t="shared" ref="V45:V54" si="33">IF(T$12=0,0,T45/T$12)</f>
        <v>2.4701922826058601E-4</v>
      </c>
      <c r="W45" s="1"/>
      <c r="X45" s="1">
        <f t="shared" ref="X45:X54" si="34">+P45-T45</f>
        <v>-47.34</v>
      </c>
      <c r="Y45" s="1"/>
      <c r="Z45" s="5">
        <f t="shared" ref="Z45:Z54" si="35">IF(T45=0,0,X45/T45)</f>
        <v>-1</v>
      </c>
    </row>
    <row r="46" spans="1:26" s="24" customFormat="1" hidden="1" outlineLevel="2" x14ac:dyDescent="0.25">
      <c r="A46" s="25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28"/>
        <v>0</v>
      </c>
      <c r="G46" s="2"/>
      <c r="H46" s="6">
        <v>47.34</v>
      </c>
      <c r="I46" s="2"/>
      <c r="J46" s="7">
        <f t="shared" si="29"/>
        <v>1.9054902592175174E-3</v>
      </c>
      <c r="K46" s="2"/>
      <c r="L46" s="6">
        <f t="shared" si="30"/>
        <v>-47.34</v>
      </c>
      <c r="M46" s="2"/>
      <c r="N46" s="7">
        <f t="shared" si="31"/>
        <v>-1</v>
      </c>
      <c r="O46" s="11"/>
      <c r="P46" s="6"/>
      <c r="Q46" s="2"/>
      <c r="R46" s="7">
        <f t="shared" si="32"/>
        <v>0</v>
      </c>
      <c r="S46" s="2"/>
      <c r="T46" s="6">
        <v>47.34</v>
      </c>
      <c r="U46" s="2"/>
      <c r="V46" s="7">
        <f t="shared" si="33"/>
        <v>2.4701922826058601E-4</v>
      </c>
      <c r="W46" s="2"/>
      <c r="X46" s="6">
        <f t="shared" si="34"/>
        <v>-47.34</v>
      </c>
      <c r="Y46" s="2"/>
      <c r="Z46" s="7">
        <f t="shared" si="35"/>
        <v>-1</v>
      </c>
    </row>
    <row r="47" spans="1:26" s="26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SUM(OSRRefD22_7x_0)</f>
        <v>29.01</v>
      </c>
      <c r="E47" s="1"/>
      <c r="F47" s="5">
        <f t="shared" si="28"/>
        <v>8.5363700564971754E-4</v>
      </c>
      <c r="G47" s="1"/>
      <c r="H47" s="1">
        <f>SUM(OSRRefH22_7x_0)</f>
        <v>29.01</v>
      </c>
      <c r="I47" s="1"/>
      <c r="J47" s="5">
        <f t="shared" si="29"/>
        <v>1.1676863629045244E-3</v>
      </c>
      <c r="K47" s="1"/>
      <c r="L47" s="1">
        <f t="shared" si="30"/>
        <v>0</v>
      </c>
      <c r="M47" s="1"/>
      <c r="N47" s="5">
        <f t="shared" si="31"/>
        <v>0</v>
      </c>
      <c r="O47" s="13"/>
      <c r="P47" s="1">
        <f>SUM(OSRRefP22_7x_0)</f>
        <v>203.07</v>
      </c>
      <c r="Q47" s="1"/>
      <c r="R47" s="5">
        <f t="shared" si="32"/>
        <v>5.4934858354794723E-4</v>
      </c>
      <c r="S47" s="1"/>
      <c r="T47" s="1">
        <f>SUM(OSRRefT22_7x_0)</f>
        <v>203.07</v>
      </c>
      <c r="U47" s="1"/>
      <c r="V47" s="5">
        <f t="shared" si="33"/>
        <v>1.0596154347882803E-3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5"/>
      <c r="B48" s="11" t="str">
        <f>CONCATENATE("          ", "6314", " - ", "LIABILITY INSURANCE")</f>
        <v xml:space="preserve">          6314 - LIABILITY INSURANCE</v>
      </c>
      <c r="C48" s="11"/>
      <c r="D48" s="6">
        <v>29.01</v>
      </c>
      <c r="E48" s="2"/>
      <c r="F48" s="7">
        <f t="shared" si="28"/>
        <v>8.5363700564971754E-4</v>
      </c>
      <c r="G48" s="2"/>
      <c r="H48" s="6">
        <v>29.01</v>
      </c>
      <c r="I48" s="2"/>
      <c r="J48" s="7">
        <f t="shared" si="29"/>
        <v>1.1676863629045244E-3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>
        <v>203.07</v>
      </c>
      <c r="Q48" s="2"/>
      <c r="R48" s="7">
        <f t="shared" si="32"/>
        <v>5.4934858354794723E-4</v>
      </c>
      <c r="S48" s="2"/>
      <c r="T48" s="6">
        <v>203.07</v>
      </c>
      <c r="U48" s="2"/>
      <c r="V48" s="7">
        <f t="shared" si="33"/>
        <v>1.0596154347882803E-3</v>
      </c>
      <c r="W48" s="2"/>
      <c r="X48" s="6">
        <f t="shared" si="34"/>
        <v>0</v>
      </c>
      <c r="Y48" s="2"/>
      <c r="Z48" s="7">
        <f t="shared" si="35"/>
        <v>0</v>
      </c>
    </row>
    <row r="49" spans="1:26" s="26" customFormat="1" outlineLevel="1" collapsed="1" x14ac:dyDescent="0.25">
      <c r="A49" s="27"/>
      <c r="B49" s="13" t="str">
        <f>CONCATENATE("     ","Rent                                              ")</f>
        <v xml:space="preserve">     Rent                                              </v>
      </c>
      <c r="C49" s="13"/>
      <c r="D49" s="1">
        <f>SUM(OSRRefD22_8x_0)</f>
        <v>800</v>
      </c>
      <c r="E49" s="1"/>
      <c r="F49" s="5">
        <f t="shared" si="28"/>
        <v>2.3540489642184557E-2</v>
      </c>
      <c r="G49" s="1"/>
      <c r="H49" s="1">
        <f>SUM(OSRRefH22_8x_0)</f>
        <v>-800</v>
      </c>
      <c r="I49" s="1"/>
      <c r="J49" s="5">
        <f t="shared" si="29"/>
        <v>-3.2200933827080988E-2</v>
      </c>
      <c r="K49" s="1"/>
      <c r="L49" s="1">
        <f t="shared" si="30"/>
        <v>1600</v>
      </c>
      <c r="M49" s="1"/>
      <c r="N49" s="5">
        <f t="shared" si="31"/>
        <v>-2</v>
      </c>
      <c r="O49" s="13"/>
      <c r="P49" s="1">
        <f>SUM(OSRRefP22_8x_0)</f>
        <v>5600</v>
      </c>
      <c r="Q49" s="1"/>
      <c r="R49" s="5">
        <f t="shared" si="32"/>
        <v>1.5149219815179518E-2</v>
      </c>
      <c r="S49" s="1"/>
      <c r="T49" s="1">
        <f>SUM(OSRRefT22_8x_0)</f>
        <v>4000</v>
      </c>
      <c r="U49" s="1"/>
      <c r="V49" s="5">
        <f t="shared" si="33"/>
        <v>2.0871924652352006E-2</v>
      </c>
      <c r="W49" s="1"/>
      <c r="X49" s="1">
        <f t="shared" si="34"/>
        <v>1600</v>
      </c>
      <c r="Y49" s="1"/>
      <c r="Z49" s="5">
        <f t="shared" si="35"/>
        <v>0.4</v>
      </c>
    </row>
    <row r="50" spans="1:26" s="24" customFormat="1" hidden="1" outlineLevel="2" x14ac:dyDescent="0.25">
      <c r="A50" s="25"/>
      <c r="B50" s="11" t="str">
        <f>CONCATENATE("          ", "6273", " - ", "RENT")</f>
        <v xml:space="preserve">          6273 - RENT</v>
      </c>
      <c r="C50" s="11"/>
      <c r="D50" s="6">
        <v>800</v>
      </c>
      <c r="E50" s="2"/>
      <c r="F50" s="7">
        <f t="shared" si="28"/>
        <v>2.3540489642184557E-2</v>
      </c>
      <c r="G50" s="2"/>
      <c r="H50" s="6">
        <v>-800</v>
      </c>
      <c r="I50" s="2"/>
      <c r="J50" s="7">
        <f t="shared" si="29"/>
        <v>-3.2200933827080988E-2</v>
      </c>
      <c r="K50" s="2"/>
      <c r="L50" s="6">
        <f t="shared" si="30"/>
        <v>1600</v>
      </c>
      <c r="M50" s="2"/>
      <c r="N50" s="7">
        <f t="shared" si="31"/>
        <v>-2</v>
      </c>
      <c r="O50" s="11"/>
      <c r="P50" s="6">
        <v>5600</v>
      </c>
      <c r="Q50" s="2"/>
      <c r="R50" s="7">
        <f t="shared" si="32"/>
        <v>1.5149219815179518E-2</v>
      </c>
      <c r="S50" s="2"/>
      <c r="T50" s="6">
        <v>4000</v>
      </c>
      <c r="U50" s="2"/>
      <c r="V50" s="7">
        <f t="shared" si="33"/>
        <v>2.0871924652352006E-2</v>
      </c>
      <c r="W50" s="2"/>
      <c r="X50" s="6">
        <f t="shared" si="34"/>
        <v>1600</v>
      </c>
      <c r="Y50" s="2"/>
      <c r="Z50" s="7">
        <f t="shared" si="35"/>
        <v>0.4</v>
      </c>
    </row>
    <row r="51" spans="1:26" s="26" customFormat="1" outlineLevel="1" collapsed="1" x14ac:dyDescent="0.25">
      <c r="A51" s="27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SUM(OSRRefD22_9x_0)</f>
        <v>0</v>
      </c>
      <c r="E51" s="1"/>
      <c r="F51" s="5">
        <f t="shared" si="28"/>
        <v>0</v>
      </c>
      <c r="G51" s="1"/>
      <c r="H51" s="1">
        <f>SUM(OSRRefH22_9x_0)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SUM(OSRRefP22_9x_0)</f>
        <v>126914.90000000001</v>
      </c>
      <c r="Q51" s="1"/>
      <c r="R51" s="5">
        <f t="shared" si="32"/>
        <v>0.34333244962884413</v>
      </c>
      <c r="S51" s="1"/>
      <c r="T51" s="1">
        <f>SUM(OSRRefT22_9x_0)</f>
        <v>749.96</v>
      </c>
      <c r="U51" s="1"/>
      <c r="V51" s="5">
        <f t="shared" si="33"/>
        <v>3.9132771530694778E-3</v>
      </c>
      <c r="W51" s="1"/>
      <c r="X51" s="1">
        <f t="shared" si="34"/>
        <v>126164.94</v>
      </c>
      <c r="Y51" s="1"/>
      <c r="Z51" s="5">
        <f t="shared" si="35"/>
        <v>168.22889220758441</v>
      </c>
    </row>
    <row r="52" spans="1:26" s="24" customFormat="1" hidden="1" outlineLevel="2" x14ac:dyDescent="0.25">
      <c r="A52" s="25"/>
      <c r="B52" s="11" t="str">
        <f>CONCATENATE("          ", "6371", " - ", "COMPUTER SOFTWARE MAINTENANCE")</f>
        <v xml:space="preserve">          6371 - COMPUTER SOFTWARE MAINTENANCE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/>
      <c r="Q52" s="2"/>
      <c r="R52" s="7">
        <f t="shared" si="32"/>
        <v>0</v>
      </c>
      <c r="S52" s="2"/>
      <c r="T52" s="6">
        <v>437.31</v>
      </c>
      <c r="U52" s="2"/>
      <c r="V52" s="7">
        <f t="shared" si="33"/>
        <v>2.2818753424300136E-3</v>
      </c>
      <c r="W52" s="2"/>
      <c r="X52" s="6">
        <f t="shared" si="34"/>
        <v>-437.31</v>
      </c>
      <c r="Y52" s="2"/>
      <c r="Z52" s="7">
        <f t="shared" si="35"/>
        <v>-1</v>
      </c>
    </row>
    <row r="53" spans="1:26" s="24" customFormat="1" hidden="1" outlineLevel="2" x14ac:dyDescent="0.25">
      <c r="A53" s="25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>
        <v>120352.90000000001</v>
      </c>
      <c r="Q53" s="2"/>
      <c r="R53" s="7">
        <f t="shared" si="32"/>
        <v>0.32558081026684271</v>
      </c>
      <c r="S53" s="2"/>
      <c r="T53" s="6"/>
      <c r="U53" s="2"/>
      <c r="V53" s="7">
        <f t="shared" si="33"/>
        <v>0</v>
      </c>
      <c r="W53" s="2"/>
      <c r="X53" s="6">
        <f t="shared" si="34"/>
        <v>120352.90000000001</v>
      </c>
      <c r="Y53" s="2"/>
      <c r="Z53" s="7">
        <f t="shared" si="35"/>
        <v>0</v>
      </c>
    </row>
    <row r="54" spans="1:26" s="24" customFormat="1" hidden="1" outlineLevel="2" x14ac:dyDescent="0.25">
      <c r="A54" s="25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6562</v>
      </c>
      <c r="Q54" s="2"/>
      <c r="R54" s="7">
        <f t="shared" si="32"/>
        <v>1.7751639362001428E-2</v>
      </c>
      <c r="S54" s="2"/>
      <c r="T54" s="6">
        <v>312.64999999999998</v>
      </c>
      <c r="U54" s="2"/>
      <c r="V54" s="7">
        <f t="shared" si="33"/>
        <v>1.6314018106394635E-3</v>
      </c>
      <c r="W54" s="2"/>
      <c r="X54" s="6">
        <f t="shared" si="34"/>
        <v>6249.35</v>
      </c>
      <c r="Y54" s="2"/>
      <c r="Z54" s="7">
        <f t="shared" si="35"/>
        <v>19.988325603710223</v>
      </c>
    </row>
    <row r="55" spans="1:26" s="26" customFormat="1" outlineLevel="1" collapsed="1" x14ac:dyDescent="0.25">
      <c r="A55" s="27"/>
      <c r="B55" s="13" t="str">
        <f>CONCATENATE("     ","Subscriptions &amp; Dues                              ")</f>
        <v xml:space="preserve">     Subscriptions &amp; Dues                              </v>
      </c>
      <c r="C55" s="13"/>
      <c r="D55" s="1">
        <f>SUM(OSRRefD22_10x_0)</f>
        <v>0</v>
      </c>
      <c r="E55" s="1"/>
      <c r="F55" s="5">
        <f t="shared" ref="F55:F60" si="36">IF(D$12=0,0,D55/D$12)</f>
        <v>0</v>
      </c>
      <c r="G55" s="1"/>
      <c r="H55" s="1">
        <f>SUM(OSRRefH22_10x_0)</f>
        <v>825</v>
      </c>
      <c r="I55" s="1"/>
      <c r="J55" s="5">
        <f t="shared" ref="J55:J60" si="37">IF(H$12=0,0,H55/H$12)</f>
        <v>3.3207213009177269E-2</v>
      </c>
      <c r="K55" s="1"/>
      <c r="L55" s="1">
        <f t="shared" ref="L55:L60" si="38">+D55-H55</f>
        <v>-825</v>
      </c>
      <c r="M55" s="1"/>
      <c r="N55" s="5">
        <f t="shared" ref="N55:N60" si="39">IF(H55=0,0,L55/H55)</f>
        <v>-1</v>
      </c>
      <c r="O55" s="13"/>
      <c r="P55" s="1">
        <f>SUM(OSRRefP22_10x_0)</f>
        <v>0</v>
      </c>
      <c r="Q55" s="1"/>
      <c r="R55" s="5">
        <f t="shared" ref="R55:R60" si="40">IF(P$12=0,0,P55/P$12)</f>
        <v>0</v>
      </c>
      <c r="S55" s="1"/>
      <c r="T55" s="1">
        <f>SUM(OSRRefT22_10x_0)</f>
        <v>825</v>
      </c>
      <c r="U55" s="1"/>
      <c r="V55" s="5">
        <f t="shared" ref="V55:V60" si="41">IF(T$12=0,0,T55/T$12)</f>
        <v>4.3048344595476009E-3</v>
      </c>
      <c r="W55" s="1"/>
      <c r="X55" s="1">
        <f t="shared" ref="X55:X60" si="42">+P55-T55</f>
        <v>-825</v>
      </c>
      <c r="Y55" s="1"/>
      <c r="Z55" s="5">
        <f t="shared" ref="Z55:Z60" si="43">IF(T55=0,0,X55/T55)</f>
        <v>-1</v>
      </c>
    </row>
    <row r="56" spans="1:26" s="24" customFormat="1" hidden="1" outlineLevel="2" x14ac:dyDescent="0.25">
      <c r="A56" s="25"/>
      <c r="B56" s="11" t="str">
        <f>CONCATENATE("          ", "6258", " - ", "MEMBERSHIP DUES")</f>
        <v xml:space="preserve">          6258 - MEMBERSHIP DUES</v>
      </c>
      <c r="C56" s="11"/>
      <c r="D56" s="6"/>
      <c r="E56" s="2"/>
      <c r="F56" s="7">
        <f t="shared" si="36"/>
        <v>0</v>
      </c>
      <c r="G56" s="2"/>
      <c r="H56" s="6">
        <v>825</v>
      </c>
      <c r="I56" s="2"/>
      <c r="J56" s="7">
        <f t="shared" si="37"/>
        <v>3.3207213009177269E-2</v>
      </c>
      <c r="K56" s="2"/>
      <c r="L56" s="6">
        <f t="shared" si="38"/>
        <v>-825</v>
      </c>
      <c r="M56" s="2"/>
      <c r="N56" s="7">
        <f t="shared" si="39"/>
        <v>-1</v>
      </c>
      <c r="O56" s="11"/>
      <c r="P56" s="6"/>
      <c r="Q56" s="2"/>
      <c r="R56" s="7">
        <f t="shared" si="40"/>
        <v>0</v>
      </c>
      <c r="S56" s="2"/>
      <c r="T56" s="6">
        <v>825</v>
      </c>
      <c r="U56" s="2"/>
      <c r="V56" s="7">
        <f t="shared" si="41"/>
        <v>4.3048344595476009E-3</v>
      </c>
      <c r="W56" s="2"/>
      <c r="X56" s="6">
        <f t="shared" si="42"/>
        <v>-825</v>
      </c>
      <c r="Y56" s="2"/>
      <c r="Z56" s="7">
        <f t="shared" si="43"/>
        <v>-1</v>
      </c>
    </row>
    <row r="57" spans="1:26" s="26" customFormat="1" outlineLevel="1" collapsed="1" x14ac:dyDescent="0.25">
      <c r="A57" s="27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SUM(OSRRefD22_11x_0)</f>
        <v>774.92</v>
      </c>
      <c r="E57" s="1"/>
      <c r="F57" s="5">
        <f t="shared" si="36"/>
        <v>2.2802495291902071E-2</v>
      </c>
      <c r="G57" s="1"/>
      <c r="H57" s="1">
        <f>SUM(OSRRefH22_11x_0)</f>
        <v>93.69</v>
      </c>
      <c r="I57" s="1"/>
      <c r="J57" s="5">
        <f t="shared" si="37"/>
        <v>3.7711318628240219E-3</v>
      </c>
      <c r="K57" s="1"/>
      <c r="L57" s="1">
        <f t="shared" si="38"/>
        <v>681.23</v>
      </c>
      <c r="M57" s="1"/>
      <c r="N57" s="5">
        <f t="shared" si="39"/>
        <v>7.2711068417120295</v>
      </c>
      <c r="O57" s="13"/>
      <c r="P57" s="1">
        <f>SUM(OSRRefP22_11x_0)</f>
        <v>42046.62</v>
      </c>
      <c r="Q57" s="1"/>
      <c r="R57" s="5">
        <f t="shared" si="40"/>
        <v>0.11374526586880776</v>
      </c>
      <c r="S57" s="1"/>
      <c r="T57" s="1">
        <f>SUM(OSRRefT22_11x_0)</f>
        <v>18654.350000000002</v>
      </c>
      <c r="U57" s="1"/>
      <c r="V57" s="5">
        <f t="shared" si="41"/>
        <v>9.7338046909650672E-2</v>
      </c>
      <c r="W57" s="1"/>
      <c r="X57" s="1">
        <f t="shared" si="42"/>
        <v>23392.27</v>
      </c>
      <c r="Y57" s="1"/>
      <c r="Z57" s="5">
        <f t="shared" si="43"/>
        <v>1.2539847274228262</v>
      </c>
    </row>
    <row r="58" spans="1:26" s="24" customFormat="1" hidden="1" outlineLevel="2" x14ac:dyDescent="0.25">
      <c r="A58" s="25"/>
      <c r="B58" s="11" t="str">
        <f>CONCATENATE("          ", "6234", " - ", "EXPENDABLE SUPPLIES &amp; EQUIPMEN")</f>
        <v xml:space="preserve">          6234 - EXPENDABLE SUPPLIES &amp; EQUIPMEN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/>
      <c r="Q58" s="2"/>
      <c r="R58" s="7">
        <f t="shared" si="40"/>
        <v>0</v>
      </c>
      <c r="S58" s="2"/>
      <c r="T58" s="6">
        <v>413.27</v>
      </c>
      <c r="U58" s="2"/>
      <c r="V58" s="7">
        <f t="shared" si="41"/>
        <v>2.1564350752693784E-3</v>
      </c>
      <c r="W58" s="2"/>
      <c r="X58" s="6">
        <f t="shared" si="42"/>
        <v>-413.27</v>
      </c>
      <c r="Y58" s="2"/>
      <c r="Z58" s="7">
        <f t="shared" si="43"/>
        <v>-1</v>
      </c>
    </row>
    <row r="59" spans="1:26" s="24" customFormat="1" hidden="1" outlineLevel="2" x14ac:dyDescent="0.25">
      <c r="A59" s="25"/>
      <c r="B59" s="11" t="str">
        <f>CONCATENATE("          ", "6241", " - ", "OFFICE EXPENSE")</f>
        <v xml:space="preserve">          6241 - OFFICE EXPENSE</v>
      </c>
      <c r="C59" s="11"/>
      <c r="D59" s="6">
        <v>774.92</v>
      </c>
      <c r="E59" s="2"/>
      <c r="F59" s="7">
        <f t="shared" si="36"/>
        <v>2.2802495291902071E-2</v>
      </c>
      <c r="G59" s="2"/>
      <c r="H59" s="6">
        <v>11</v>
      </c>
      <c r="I59" s="2"/>
      <c r="J59" s="7">
        <f t="shared" si="37"/>
        <v>4.4276284012236352E-4</v>
      </c>
      <c r="K59" s="2"/>
      <c r="L59" s="6">
        <f t="shared" si="38"/>
        <v>763.92</v>
      </c>
      <c r="M59" s="2"/>
      <c r="N59" s="7">
        <f t="shared" si="39"/>
        <v>69.447272727272718</v>
      </c>
      <c r="O59" s="11"/>
      <c r="P59" s="6">
        <v>42046.62</v>
      </c>
      <c r="Q59" s="2"/>
      <c r="R59" s="7">
        <f t="shared" si="40"/>
        <v>0.11374526586880776</v>
      </c>
      <c r="S59" s="2"/>
      <c r="T59" s="6">
        <v>18037.560000000001</v>
      </c>
      <c r="U59" s="2"/>
      <c r="V59" s="7">
        <f t="shared" si="41"/>
        <v>9.4119648308069612E-2</v>
      </c>
      <c r="W59" s="2"/>
      <c r="X59" s="6">
        <f t="shared" si="42"/>
        <v>24009.06</v>
      </c>
      <c r="Y59" s="2"/>
      <c r="Z59" s="7">
        <f t="shared" si="43"/>
        <v>1.3310591898239008</v>
      </c>
    </row>
    <row r="60" spans="1:26" s="24" customFormat="1" hidden="1" outlineLevel="2" x14ac:dyDescent="0.25">
      <c r="A60" s="25"/>
      <c r="B60" s="11" t="str">
        <f>CONCATENATE("          ", "6245", " - ", "PRINTING")</f>
        <v xml:space="preserve">          6245 - PRINTING</v>
      </c>
      <c r="C60" s="11"/>
      <c r="D60" s="6"/>
      <c r="E60" s="2"/>
      <c r="F60" s="7">
        <f t="shared" si="36"/>
        <v>0</v>
      </c>
      <c r="G60" s="2"/>
      <c r="H60" s="6">
        <v>82.69</v>
      </c>
      <c r="I60" s="2"/>
      <c r="J60" s="7">
        <f t="shared" si="37"/>
        <v>3.3283690227016581E-3</v>
      </c>
      <c r="K60" s="2"/>
      <c r="L60" s="6">
        <f t="shared" si="38"/>
        <v>-82.69</v>
      </c>
      <c r="M60" s="2"/>
      <c r="N60" s="7">
        <f t="shared" si="39"/>
        <v>-1</v>
      </c>
      <c r="O60" s="11"/>
      <c r="P60" s="6"/>
      <c r="Q60" s="2"/>
      <c r="R60" s="7">
        <f t="shared" si="40"/>
        <v>0</v>
      </c>
      <c r="S60" s="2"/>
      <c r="T60" s="6">
        <v>203.52</v>
      </c>
      <c r="U60" s="2"/>
      <c r="V60" s="7">
        <f t="shared" si="41"/>
        <v>1.06196352631167E-3</v>
      </c>
      <c r="W60" s="2"/>
      <c r="X60" s="6">
        <f t="shared" si="42"/>
        <v>-203.52</v>
      </c>
      <c r="Y60" s="2"/>
      <c r="Z60" s="7">
        <f t="shared" si="43"/>
        <v>-1</v>
      </c>
    </row>
    <row r="61" spans="1:26" s="26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SUM(OSRRefD22_12x_0)</f>
        <v>86.55</v>
      </c>
      <c r="E61" s="1"/>
      <c r="F61" s="5">
        <f t="shared" ref="F61:F62" si="44">IF(D$12=0,0,D61/D$12)</f>
        <v>2.5467867231638418E-3</v>
      </c>
      <c r="G61" s="1"/>
      <c r="H61" s="1">
        <f>SUM(OSRRefH22_12x_0)</f>
        <v>182.65</v>
      </c>
      <c r="I61" s="1"/>
      <c r="J61" s="5">
        <f t="shared" ref="J61:J62" si="45">IF(H$12=0,0,H61/H$12)</f>
        <v>7.3518757043954273E-3</v>
      </c>
      <c r="K61" s="1"/>
      <c r="L61" s="1">
        <f t="shared" ref="L61:L62" si="46">+D61-H61</f>
        <v>-96.100000000000009</v>
      </c>
      <c r="M61" s="1"/>
      <c r="N61" s="5">
        <f t="shared" ref="N61:N62" si="47">IF(H61=0,0,L61/H61)</f>
        <v>-0.52614289624965782</v>
      </c>
      <c r="O61" s="13"/>
      <c r="P61" s="1">
        <f>SUM(OSRRefP22_12x_0)</f>
        <v>1538.38</v>
      </c>
      <c r="Q61" s="1"/>
      <c r="R61" s="5">
        <f t="shared" ref="R61:R62" si="48">IF(P$12=0,0,P61/P$12)</f>
        <v>4.1616529962992619E-3</v>
      </c>
      <c r="S61" s="1"/>
      <c r="T61" s="1">
        <f>SUM(OSRRefT22_12x_0)</f>
        <v>1314</v>
      </c>
      <c r="U61" s="1"/>
      <c r="V61" s="5">
        <f t="shared" ref="V61:V62" si="49">IF(T$12=0,0,T61/T$12)</f>
        <v>6.8564272482976333E-3</v>
      </c>
      <c r="W61" s="1"/>
      <c r="X61" s="1">
        <f t="shared" ref="X61:X62" si="50">+P61-T61</f>
        <v>224.38000000000011</v>
      </c>
      <c r="Y61" s="1"/>
      <c r="Z61" s="5">
        <f t="shared" ref="Z61:Z62" si="51">IF(T61=0,0,X61/T61)</f>
        <v>0.17076103500761045</v>
      </c>
    </row>
    <row r="62" spans="1:26" s="24" customFormat="1" hidden="1" outlineLevel="2" x14ac:dyDescent="0.25">
      <c r="A62" s="25"/>
      <c r="B62" s="11" t="str">
        <f>CONCATENATE("          ", "6309", " - ", "TELEPHONE")</f>
        <v xml:space="preserve">          6309 - TELEPHONE</v>
      </c>
      <c r="C62" s="11"/>
      <c r="D62" s="6">
        <v>86.55</v>
      </c>
      <c r="E62" s="2"/>
      <c r="F62" s="7">
        <f t="shared" si="44"/>
        <v>2.5467867231638418E-3</v>
      </c>
      <c r="G62" s="2"/>
      <c r="H62" s="6">
        <v>182.65</v>
      </c>
      <c r="I62" s="2"/>
      <c r="J62" s="7">
        <f t="shared" si="45"/>
        <v>7.3518757043954273E-3</v>
      </c>
      <c r="K62" s="2"/>
      <c r="L62" s="6">
        <f t="shared" si="46"/>
        <v>-96.100000000000009</v>
      </c>
      <c r="M62" s="2"/>
      <c r="N62" s="7">
        <f t="shared" si="47"/>
        <v>-0.52614289624965782</v>
      </c>
      <c r="O62" s="11"/>
      <c r="P62" s="6">
        <v>1538.38</v>
      </c>
      <c r="Q62" s="2"/>
      <c r="R62" s="7">
        <f t="shared" si="48"/>
        <v>4.1616529962992619E-3</v>
      </c>
      <c r="S62" s="2"/>
      <c r="T62" s="6">
        <v>1314</v>
      </c>
      <c r="U62" s="2"/>
      <c r="V62" s="7">
        <f t="shared" si="49"/>
        <v>6.8564272482976333E-3</v>
      </c>
      <c r="W62" s="2"/>
      <c r="X62" s="6">
        <f t="shared" si="50"/>
        <v>224.38000000000011</v>
      </c>
      <c r="Y62" s="2"/>
      <c r="Z62" s="7">
        <f t="shared" si="51"/>
        <v>0.17076103500761045</v>
      </c>
    </row>
    <row r="63" spans="1:26" s="61" customFormat="1" x14ac:dyDescent="0.25">
      <c r="A63" s="37"/>
      <c r="B63" s="37"/>
      <c r="C63" s="37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collapsed="1" x14ac:dyDescent="0.25">
      <c r="A64" s="10"/>
      <c r="B64" s="29" t="s">
        <v>0</v>
      </c>
      <c r="C64" s="10"/>
      <c r="D64" s="4">
        <f>SUM(OSRRefD25x_0)</f>
        <v>237</v>
      </c>
      <c r="E64" s="4"/>
      <c r="F64" s="12">
        <f t="shared" ref="F64:F65" si="52">IF(D$12=0,0,D64/D$12)</f>
        <v>6.9738700564971751E-3</v>
      </c>
      <c r="G64" s="4"/>
      <c r="H64" s="4">
        <f>SUM(OSRRefH25x_0)</f>
        <v>3460.41</v>
      </c>
      <c r="I64" s="4"/>
      <c r="J64" s="12">
        <f t="shared" ref="J64:J65" si="53">IF(H$12=0,0,H64/H$12)</f>
        <v>0.13928554178071165</v>
      </c>
      <c r="K64" s="4"/>
      <c r="L64" s="4">
        <f t="shared" ref="L64:L65" si="54">+D64-H64</f>
        <v>-3223.41</v>
      </c>
      <c r="M64" s="4"/>
      <c r="N64" s="12">
        <f t="shared" ref="N64:N65" si="55">IF(H64=0,0,L64/H64)</f>
        <v>-0.93151100592126368</v>
      </c>
      <c r="O64" s="10"/>
      <c r="P64" s="4">
        <f>SUM(OSRRefP25x_0)</f>
        <v>1497.2</v>
      </c>
      <c r="Q64" s="4"/>
      <c r="R64" s="12">
        <f t="shared" ref="R64:R65" si="56">IF(P$12=0,0,P64/P$12)</f>
        <v>4.0502521263012098E-3</v>
      </c>
      <c r="S64" s="4"/>
      <c r="T64" s="4">
        <f>SUM(OSRRefT25x_0)</f>
        <v>17211.75</v>
      </c>
      <c r="U64" s="4"/>
      <c r="V64" s="12">
        <f t="shared" ref="V64:V65" si="57">IF(T$12=0,0,T64/T$12)</f>
        <v>8.98105872837799E-2</v>
      </c>
      <c r="W64" s="4"/>
      <c r="X64" s="4">
        <f t="shared" ref="X64:X65" si="58">+P64-T64</f>
        <v>-15714.55</v>
      </c>
      <c r="Y64" s="4"/>
      <c r="Z64" s="12">
        <f t="shared" ref="Z64:Z65" si="59">IF(T64=0,0,X64/T64)</f>
        <v>-0.91301291269045848</v>
      </c>
    </row>
    <row r="65" spans="1:26" s="24" customFormat="1" hidden="1" outlineLevel="1" x14ac:dyDescent="0.25">
      <c r="A65" s="44"/>
      <c r="B65" s="11" t="str">
        <f>CONCATENATE("          ", "9150", " - ", "MISC. INCOME")</f>
        <v xml:space="preserve">          9150 - MISC. INCOME</v>
      </c>
      <c r="C65" s="11"/>
      <c r="D65" s="2">
        <f>--237</f>
        <v>237</v>
      </c>
      <c r="E65" s="2"/>
      <c r="F65" s="19">
        <f t="shared" si="52"/>
        <v>6.9738700564971751E-3</v>
      </c>
      <c r="G65" s="2"/>
      <c r="H65" s="2">
        <f>--3460.41</f>
        <v>3460.41</v>
      </c>
      <c r="I65" s="2"/>
      <c r="J65" s="19">
        <f t="shared" si="53"/>
        <v>0.13928554178071165</v>
      </c>
      <c r="K65" s="2"/>
      <c r="L65" s="2">
        <f t="shared" si="54"/>
        <v>-3223.41</v>
      </c>
      <c r="M65" s="2"/>
      <c r="N65" s="19">
        <f t="shared" si="55"/>
        <v>-0.93151100592126368</v>
      </c>
      <c r="O65" s="11"/>
      <c r="P65" s="2">
        <f>--1497.2</f>
        <v>1497.2</v>
      </c>
      <c r="Q65" s="2"/>
      <c r="R65" s="19">
        <f t="shared" si="56"/>
        <v>4.0502521263012098E-3</v>
      </c>
      <c r="S65" s="2"/>
      <c r="T65" s="2">
        <f>--17211.75</f>
        <v>17211.75</v>
      </c>
      <c r="U65" s="2"/>
      <c r="V65" s="19">
        <f t="shared" si="57"/>
        <v>8.98105872837799E-2</v>
      </c>
      <c r="W65" s="2"/>
      <c r="X65" s="2">
        <f t="shared" si="58"/>
        <v>-15714.55</v>
      </c>
      <c r="Y65" s="2"/>
      <c r="Z65" s="19">
        <f t="shared" si="59"/>
        <v>-0.91301291269045848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8" t="s">
        <v>3</v>
      </c>
      <c r="C67" s="28"/>
      <c r="D67" s="20">
        <f>+D17-D19+D64</f>
        <v>10869.900000000005</v>
      </c>
      <c r="E67" s="14"/>
      <c r="F67" s="22">
        <f>IF(D$12=0,0,D67/D$12)</f>
        <v>0.31985346045197754</v>
      </c>
      <c r="G67" s="14"/>
      <c r="H67" s="20">
        <f>+H17-H19+H64</f>
        <v>2655.25</v>
      </c>
      <c r="I67" s="14"/>
      <c r="J67" s="22">
        <f>IF(H$12=0,0,H67/H$12)</f>
        <v>0.10687691193044599</v>
      </c>
      <c r="K67" s="15"/>
      <c r="L67" s="20">
        <f>+D67-H67</f>
        <v>8214.6500000000051</v>
      </c>
      <c r="M67" s="15"/>
      <c r="N67" s="22">
        <f>IF(H67=0,0,L67/H67)</f>
        <v>3.0937388193202167</v>
      </c>
      <c r="O67" s="29"/>
      <c r="P67" s="20">
        <f>+P17-P19+P64</f>
        <v>62106.910000000018</v>
      </c>
      <c r="Q67" s="14"/>
      <c r="R67" s="22">
        <f>IF(P$12=0,0,P67/P$12)</f>
        <v>0.16801271993420916</v>
      </c>
      <c r="S67" s="14"/>
      <c r="T67" s="20">
        <f>+T17-T19+T64</f>
        <v>17932.640000000072</v>
      </c>
      <c r="U67" s="14"/>
      <c r="V67" s="22">
        <f>IF(T$12=0,0,T67/T$12)</f>
        <v>9.3572177724438793E-2</v>
      </c>
      <c r="W67" s="15"/>
      <c r="X67" s="20">
        <f>+P67-T67</f>
        <v>44174.269999999946</v>
      </c>
      <c r="Y67" s="15"/>
      <c r="Z67" s="22">
        <f>IF(T67=0,0,X67/T67)</f>
        <v>2.4633444936160971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1"/>
      <c r="B69" s="10" t="s">
        <v>13</v>
      </c>
      <c r="C69" s="10"/>
      <c r="D69" s="4">
        <v>4995.91</v>
      </c>
      <c r="E69" s="4"/>
      <c r="F69" s="12">
        <f>IF(D$12=0,0,D69/D$12)</f>
        <v>0.1470077095103578</v>
      </c>
      <c r="G69" s="4"/>
      <c r="H69" s="4">
        <v>1970.07</v>
      </c>
      <c r="I69" s="4"/>
      <c r="J69" s="12">
        <f>IF(H$12=0,0,H69/H$12)</f>
        <v>7.9297617130896794E-2</v>
      </c>
      <c r="K69" s="4"/>
      <c r="L69" s="4">
        <f>+D69-H69</f>
        <v>3025.84</v>
      </c>
      <c r="M69" s="4"/>
      <c r="N69" s="12">
        <f>IF(H69=0,0,L69/H69)</f>
        <v>1.5359048155649293</v>
      </c>
      <c r="O69" s="10"/>
      <c r="P69" s="4">
        <v>67102.34</v>
      </c>
      <c r="Q69" s="4"/>
      <c r="R69" s="12">
        <f>IF(P$12=0,0,P69/P$12)</f>
        <v>0.18152644620944877</v>
      </c>
      <c r="S69" s="4"/>
      <c r="T69" s="4">
        <v>19985.86</v>
      </c>
      <c r="U69" s="4"/>
      <c r="V69" s="12">
        <f>IF(T$12=0,0,T69/T$12)</f>
        <v>0.10428584100811396</v>
      </c>
      <c r="W69" s="4"/>
      <c r="X69" s="4">
        <f>+P69-T69</f>
        <v>47116.479999999996</v>
      </c>
      <c r="Y69" s="4"/>
      <c r="Z69" s="12">
        <f>IF(T69=0,0,X69/T69)</f>
        <v>2.3574907459573917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8" t="s">
        <v>4</v>
      </c>
      <c r="C71" s="28"/>
      <c r="D71" s="30">
        <f>+D67-D69</f>
        <v>5873.9900000000052</v>
      </c>
      <c r="E71" s="14"/>
      <c r="F71" s="36">
        <f>IF(D$12=0,0,D71/D$12)</f>
        <v>0.17284575094161975</v>
      </c>
      <c r="G71" s="14"/>
      <c r="H71" s="30">
        <f>+H67-H69</f>
        <v>685.18000000000006</v>
      </c>
      <c r="I71" s="14"/>
      <c r="J71" s="36">
        <f>IF(H$12=0,0,H71/H$12)</f>
        <v>2.7579294799549188E-2</v>
      </c>
      <c r="K71" s="15"/>
      <c r="L71" s="30">
        <f>D71-H71</f>
        <v>5188.8100000000049</v>
      </c>
      <c r="M71" s="15"/>
      <c r="N71" s="36">
        <f>IF(H71=0,0,L71/H71)</f>
        <v>7.572915146384898</v>
      </c>
      <c r="O71" s="29"/>
      <c r="P71" s="30">
        <f>+P67-P69</f>
        <v>-4995.4299999999785</v>
      </c>
      <c r="Q71" s="14"/>
      <c r="R71" s="36">
        <f>IF(P$12=0,0,P71/P$12)</f>
        <v>-1.3513726275239625E-2</v>
      </c>
      <c r="S71" s="14"/>
      <c r="T71" s="30">
        <f>+T67-T69</f>
        <v>-2053.2199999999284</v>
      </c>
      <c r="U71" s="14"/>
      <c r="V71" s="36">
        <f>IF(T$12=0,0,T71/T$12)</f>
        <v>-1.0713663283675172E-2</v>
      </c>
      <c r="W71" s="15"/>
      <c r="X71" s="30">
        <f>P71-T71</f>
        <v>-2942.2100000000501</v>
      </c>
      <c r="Y71" s="15"/>
      <c r="Z71" s="36">
        <f>IF(T71=0,0,X71/T71)</f>
        <v>1.4329735732167779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5</v>
      </c>
      <c r="C74" s="28"/>
      <c r="D74" s="32">
        <f>SUM(D71:D73)</f>
        <v>5873.9900000000052</v>
      </c>
      <c r="E74" s="14"/>
      <c r="F74" s="31">
        <f>IF(D$12=0,0,D74/D$12)</f>
        <v>0.17284575094161975</v>
      </c>
      <c r="G74" s="14"/>
      <c r="H74" s="32">
        <f>SUM(H71:H73)</f>
        <v>685.18000000000006</v>
      </c>
      <c r="I74" s="14"/>
      <c r="J74" s="31">
        <f>IF(H$12=0,0,H74/H$12)</f>
        <v>2.7579294799549188E-2</v>
      </c>
      <c r="K74" s="15"/>
      <c r="L74" s="32">
        <f>+D74-H74</f>
        <v>5188.8100000000049</v>
      </c>
      <c r="M74" s="15"/>
      <c r="N74" s="31">
        <f>IF(H74=0,0,L74/H74)</f>
        <v>7.572915146384898</v>
      </c>
      <c r="O74" s="29"/>
      <c r="P74" s="32">
        <f>SUM(P71:P73)</f>
        <v>-4995.4299999999785</v>
      </c>
      <c r="Q74" s="14"/>
      <c r="R74" s="31">
        <f>IF(P$12=0,0,P74/P$12)</f>
        <v>-1.3513726275239625E-2</v>
      </c>
      <c r="S74" s="14"/>
      <c r="T74" s="32">
        <f>SUM(T71:T73)</f>
        <v>-2053.2199999999284</v>
      </c>
      <c r="U74" s="14"/>
      <c r="V74" s="31">
        <f>IF(T$12=0,0,T74/T$12)</f>
        <v>-1.0713663283675172E-2</v>
      </c>
      <c r="W74" s="15"/>
      <c r="X74" s="32">
        <f>+P74-T74</f>
        <v>-2942.2100000000501</v>
      </c>
      <c r="Y74" s="15"/>
      <c r="Z74" s="31">
        <f>IF(T74=0,0,X74/T74)</f>
        <v>1.4329735732167779</v>
      </c>
    </row>
    <row r="75" spans="1:26" ht="15.75" thickTop="1" x14ac:dyDescent="0.25">
      <c r="A75" s="9"/>
      <c r="C75" s="9"/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62">
        <v>44238.496732326392</v>
      </c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9" t="s">
        <v>313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6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46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46"/>
      <c r="W9" s="16"/>
      <c r="X9" s="16"/>
      <c r="Y9" s="16"/>
      <c r="Z9" s="40"/>
    </row>
    <row r="10" spans="1:26" x14ac:dyDescent="0.25">
      <c r="A10" s="10"/>
      <c r="B10" s="55"/>
      <c r="C10" s="10"/>
      <c r="D10" s="43" t="s">
        <v>10</v>
      </c>
      <c r="E10" s="34"/>
      <c r="F10" s="33" t="s">
        <v>14</v>
      </c>
      <c r="G10" s="34"/>
      <c r="H10" s="45" t="s">
        <v>306</v>
      </c>
      <c r="I10" s="34"/>
      <c r="J10" s="33" t="s">
        <v>14</v>
      </c>
      <c r="K10" s="10"/>
      <c r="L10" s="43" t="s">
        <v>11</v>
      </c>
      <c r="M10" s="10"/>
      <c r="N10" s="33" t="s">
        <v>15</v>
      </c>
      <c r="O10" s="10"/>
      <c r="P10" s="54" t="s">
        <v>10</v>
      </c>
      <c r="Q10" s="34"/>
      <c r="R10" s="33" t="s">
        <v>14</v>
      </c>
      <c r="S10" s="34"/>
      <c r="T10" s="45" t="s">
        <v>306</v>
      </c>
      <c r="U10" s="34"/>
      <c r="V10" s="33" t="s">
        <v>14</v>
      </c>
      <c r="W10" s="10"/>
      <c r="X10" s="43" t="s">
        <v>11</v>
      </c>
      <c r="Y10" s="10"/>
      <c r="Z10" s="33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6" t="e">
        <f ca="1">IF(D$12=0,0,D31/D$12)</f>
        <v>#NAME?</v>
      </c>
      <c r="G31" s="14"/>
      <c r="H31" s="30" t="e">
        <f ca="1">+H27-H29</f>
        <v>#NAME?</v>
      </c>
      <c r="I31" s="14"/>
      <c r="J31" s="36" t="e">
        <f ca="1">IF(H$12=0,0,H31/H$12)</f>
        <v>#NAME?</v>
      </c>
      <c r="K31" s="15"/>
      <c r="L31" s="30" t="e">
        <f ca="1">D31-H31</f>
        <v>#NAME?</v>
      </c>
      <c r="M31" s="15"/>
      <c r="N31" s="36" t="e">
        <f ca="1">IF(H31=0,0,L31/H31)</f>
        <v>#NAME?</v>
      </c>
      <c r="O31" s="29"/>
      <c r="P31" s="30" t="e">
        <f ca="1">+P27-P29</f>
        <v>#NAME?</v>
      </c>
      <c r="Q31" s="14"/>
      <c r="R31" s="36" t="e">
        <f ca="1">IF(P$12=0,0,P31/P$12)</f>
        <v>#NAME?</v>
      </c>
      <c r="S31" s="14"/>
      <c r="T31" s="30" t="e">
        <f ca="1">+T27-T29</f>
        <v>#NAME?</v>
      </c>
      <c r="U31" s="14"/>
      <c r="V31" s="36" t="e">
        <f ca="1">IF(T$12=0,0,T31/T$12)</f>
        <v>#NAME?</v>
      </c>
      <c r="W31" s="15"/>
      <c r="X31" s="30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1" t="e">
        <f ca="1">IF(D$12=0,0,D36/D$12)</f>
        <v>#NAME?</v>
      </c>
      <c r="G36" s="14"/>
      <c r="H36" s="32" t="e">
        <f ca="1">SUM(H31:H35)</f>
        <v>#NAME?</v>
      </c>
      <c r="I36" s="14"/>
      <c r="J36" s="31" t="e">
        <f ca="1">IF(H$12=0,0,H36/H$12)</f>
        <v>#NAME?</v>
      </c>
      <c r="K36" s="15"/>
      <c r="L36" s="32" t="e">
        <f ca="1">+D36-H36</f>
        <v>#NAME?</v>
      </c>
      <c r="M36" s="15"/>
      <c r="N36" s="31" t="e">
        <f ca="1">IF(H36=0,0,L36/H36)</f>
        <v>#NAME?</v>
      </c>
      <c r="O36" s="29"/>
      <c r="P36" s="32" t="e">
        <f ca="1">SUM(P31:P35)</f>
        <v>#NAME?</v>
      </c>
      <c r="Q36" s="14"/>
      <c r="R36" s="31" t="e">
        <f ca="1">IF(P$12=0,0,P36/P$12)</f>
        <v>#NAME?</v>
      </c>
      <c r="S36" s="14"/>
      <c r="T36" s="32" t="e">
        <f ca="1">SUM(T31:T35)</f>
        <v>#NAME?</v>
      </c>
      <c r="U36" s="14"/>
      <c r="V36" s="31" t="e">
        <f ca="1">IF(T$12=0,0,T36/T$12)</f>
        <v>#NAME?</v>
      </c>
      <c r="W36" s="15"/>
      <c r="X36" s="32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9" ma:contentTypeDescription="Create a new document." ma:contentTypeScope="" ma:versionID="d40e98030b3dc663e0d4553b7dcd1867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c520295a271e8254a7ac83f751e3a076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59B89FF-C8FD-4F13-B0E6-33D4E9EF95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AF660B-8D2B-4B94-90C1-C78816E18C7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160C1CD-8879-49BE-A280-D6A5FE9F39CE}">
  <ds:schemaRefs>
    <ds:schemaRef ds:uri="http://purl.org/dc/elements/1.1/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762caf36-b0c2-49b4-ab14-ff4bceb8c0ae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100</vt:i4>
      </vt:variant>
      <vt:variant>
        <vt:lpstr>Named Ranges</vt:lpstr>
      </vt:variant>
      <vt:variant>
        <vt:i4>4400</vt:i4>
      </vt:variant>
    </vt:vector>
  </HeadingPairs>
  <TitlesOfParts>
    <vt:vector size="4500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'424'!OSRRefD22_12x_0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'316'!OSRRefD22_13x_0</vt:lpstr>
      <vt:lpstr>'317'!OSRRefD22_13x_0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'Div 6'!OSRRefD22_13x_0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'325'!OSRRefD22_14x_0</vt:lpstr>
      <vt:lpstr>'326'!OSRRefD22_14x_0</vt:lpstr>
      <vt:lpstr>'330'!OSRRefD22_14x_0</vt:lpstr>
      <vt:lpstr>'331'!OSRRefD22_14x_0</vt:lpstr>
      <vt:lpstr>'332'!OSRRefD22_14x_0</vt:lpstr>
      <vt:lpstr>'405'!OSRRefD22_14x_0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'433'!OSRRefD22_16x_0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'405'!OSRRefD22_17x_0</vt:lpstr>
      <vt:lpstr>'411'!OSRRefD22_17x_0</vt:lpstr>
      <vt:lpstr>'415'!OSRRefD22_17x_0</vt:lpstr>
      <vt:lpstr>'444'!OSRRefD22_17x_0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'411'!OSRRefD22_18x_0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'331'!OSRRefD22_19x_0</vt:lpstr>
      <vt:lpstr>'411'!OSRRefD22_19x_0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 &amp; 491'!OSRRefD22_22x_0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'491'!OSRRefD22_24x_0</vt:lpstr>
      <vt:lpstr>'Div 3'!OSRRefD22_24x_0</vt:lpstr>
      <vt:lpstr>'Div 4'!OSRRefD22_24x_0</vt:lpstr>
      <vt:lpstr>Summary!OSRRefD22_24x_0</vt:lpstr>
      <vt:lpstr>'Div 3'!OSRRefD22_25x_0</vt:lpstr>
      <vt:lpstr>'Div 4'!OSRRefD22_25x_0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'424'!OSRRefH22_12x_0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'316'!OSRRefH22_13x_0</vt:lpstr>
      <vt:lpstr>'317'!OSRRefH22_13x_0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'Div 6'!OSRRefH22_13x_0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'325'!OSRRefH22_14x_0</vt:lpstr>
      <vt:lpstr>'326'!OSRRefH22_14x_0</vt:lpstr>
      <vt:lpstr>'330'!OSRRefH22_14x_0</vt:lpstr>
      <vt:lpstr>'331'!OSRRefH22_14x_0</vt:lpstr>
      <vt:lpstr>'332'!OSRRefH22_14x_0</vt:lpstr>
      <vt:lpstr>'405'!OSRRefH22_14x_0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'433'!OSRRefH22_16x_0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'405'!OSRRefH22_17x_0</vt:lpstr>
      <vt:lpstr>'411'!OSRRefH22_17x_0</vt:lpstr>
      <vt:lpstr>'415'!OSRRefH22_17x_0</vt:lpstr>
      <vt:lpstr>'444'!OSRRefH22_17x_0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'411'!OSRRefH22_18x_0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'331'!OSRRefH22_19x_0</vt:lpstr>
      <vt:lpstr>'411'!OSRRefH22_19x_0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 &amp; 491'!OSRRefH22_22x_0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'491'!OSRRefH22_24x_0</vt:lpstr>
      <vt:lpstr>'Div 3'!OSRRefH22_24x_0</vt:lpstr>
      <vt:lpstr>'Div 4'!OSRRefH22_24x_0</vt:lpstr>
      <vt:lpstr>Summary!OSRRefH22_24x_0</vt:lpstr>
      <vt:lpstr>'Div 3'!OSRRefH22_25x_0</vt:lpstr>
      <vt:lpstr>'Div 4'!OSRRefH22_25x_0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'424'!OSRRefP22_12x_0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'316'!OSRRefP22_13x_0</vt:lpstr>
      <vt:lpstr>'317'!OSRRefP22_13x_0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'Div 6'!OSRRefP22_13x_0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'325'!OSRRefP22_14x_0</vt:lpstr>
      <vt:lpstr>'326'!OSRRefP22_14x_0</vt:lpstr>
      <vt:lpstr>'330'!OSRRefP22_14x_0</vt:lpstr>
      <vt:lpstr>'331'!OSRRefP22_14x_0</vt:lpstr>
      <vt:lpstr>'332'!OSRRefP22_14x_0</vt:lpstr>
      <vt:lpstr>'405'!OSRRefP22_14x_0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'433'!OSRRefP22_16x_0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'405'!OSRRefP22_17x_0</vt:lpstr>
      <vt:lpstr>'411'!OSRRefP22_17x_0</vt:lpstr>
      <vt:lpstr>'415'!OSRRefP22_17x_0</vt:lpstr>
      <vt:lpstr>'444'!OSRRefP22_17x_0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'411'!OSRRefP22_18x_0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'331'!OSRRefP22_19x_0</vt:lpstr>
      <vt:lpstr>'411'!OSRRefP22_19x_0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 &amp; 491'!OSRRefP22_22x_0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'491'!OSRRefP22_24x_0</vt:lpstr>
      <vt:lpstr>'Div 3'!OSRRefP22_24x_0</vt:lpstr>
      <vt:lpstr>'Div 4'!OSRRefP22_24x_0</vt:lpstr>
      <vt:lpstr>Summary!OSRRefP22_24x_0</vt:lpstr>
      <vt:lpstr>'Div 3'!OSRRefP22_25x_0</vt:lpstr>
      <vt:lpstr>'Div 4'!OSRRefP22_25x_0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'424'!OSRRefT22_12x_0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'316'!OSRRefT22_13x_0</vt:lpstr>
      <vt:lpstr>'317'!OSRRefT22_13x_0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'Div 6'!OSRRefT22_13x_0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'325'!OSRRefT22_14x_0</vt:lpstr>
      <vt:lpstr>'326'!OSRRefT22_14x_0</vt:lpstr>
      <vt:lpstr>'330'!OSRRefT22_14x_0</vt:lpstr>
      <vt:lpstr>'331'!OSRRefT22_14x_0</vt:lpstr>
      <vt:lpstr>'332'!OSRRefT22_14x_0</vt:lpstr>
      <vt:lpstr>'405'!OSRRefT22_14x_0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'433'!OSRRefT22_16x_0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'405'!OSRRefT22_17x_0</vt:lpstr>
      <vt:lpstr>'411'!OSRRefT22_17x_0</vt:lpstr>
      <vt:lpstr>'415'!OSRRefT22_17x_0</vt:lpstr>
      <vt:lpstr>'444'!OSRRefT22_17x_0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'411'!OSRRefT22_18x_0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'331'!OSRRefT22_19x_0</vt:lpstr>
      <vt:lpstr>'411'!OSRRefT22_19x_0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 &amp; 491'!OSRRefT22_22x_0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'491'!OSRRefT22_24x_0</vt:lpstr>
      <vt:lpstr>'Div 3'!OSRRefT22_24x_0</vt:lpstr>
      <vt:lpstr>'Div 4'!OSRRefT22_24x_0</vt:lpstr>
      <vt:lpstr>Summary!OSRRefT22_24x_0</vt:lpstr>
      <vt:lpstr>'Div 3'!OSRRefT22_25x_0</vt:lpstr>
      <vt:lpstr>'Div 4'!OSRRefT22_25x_0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2021-02-16T02:45:51Z</dcterms:created>
  <dcterms:modified xsi:type="dcterms:W3CDTF">2021-02-16T02:45:52Z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